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한샘\○ 예산\2024년\1. 2025년 본예산\공단 3차(최종) - 야영장 2억삭감\"/>
    </mc:Choice>
  </mc:AlternateContent>
  <xr:revisionPtr revIDLastSave="0" documentId="13_ncr:1_{7B52F66C-7040-4837-B189-FA0D966DA86A}" xr6:coauthVersionLast="36" xr6:coauthVersionMax="36" xr10:uidLastSave="{00000000-0000-0000-0000-000000000000}"/>
  <bookViews>
    <workbookView xWindow="0" yWindow="0" windowWidth="28800" windowHeight="12060" firstSheet="7" activeTab="11" xr2:uid="{93497B1F-3379-4014-AF17-EF1926B940C2}"/>
  </bookViews>
  <sheets>
    <sheet name="표지" sheetId="2" r:id="rId1"/>
    <sheet name="목차" sheetId="3" r:id="rId2"/>
    <sheet name="1.사업운영계획" sheetId="4" r:id="rId3"/>
    <sheet name="사업운영계획1장" sheetId="5" r:id="rId4"/>
    <sheet name="2.예산총칙" sheetId="6" r:id="rId5"/>
    <sheet name="예산총칙" sheetId="7" r:id="rId6"/>
    <sheet name="3.예산총괄표" sheetId="8" r:id="rId7"/>
    <sheet name="예산총괄표3장" sheetId="9" r:id="rId8"/>
    <sheet name="3-1.사업예산총괄표" sheetId="10" r:id="rId9"/>
    <sheet name="3-2.자본예산총괄표" sheetId="11" r:id="rId10"/>
    <sheet name="가. 수입예산 총괄표(사업수익+자본적수입)" sheetId="24" r:id="rId11"/>
    <sheet name="나. 지출예산 총괄표" sheetId="29" r:id="rId12"/>
    <sheet name="경영본부" sheetId="31" r:id="rId13"/>
    <sheet name="교통휴양시설부" sheetId="36" r:id="rId14"/>
    <sheet name="도시미화부" sheetId="37" r:id="rId15"/>
    <sheet name="체육시설부" sheetId="38" r:id="rId16"/>
    <sheet name="환경자원사업소" sheetId="39" r:id="rId17"/>
    <sheet name="4.자금운영계획" sheetId="26" r:id="rId18"/>
    <sheet name="자금운용수입4장" sheetId="27" r:id="rId19"/>
    <sheet name="자금운용지출5장" sheetId="28" r:id="rId20"/>
    <sheet name="사고이월" sheetId="41" r:id="rId21"/>
  </sheets>
  <externalReferences>
    <externalReference r:id="rId22"/>
    <externalReference r:id="rId23"/>
  </externalReferences>
  <definedNames>
    <definedName name="_xlnm._FilterDatabase" localSheetId="12" hidden="1">경영본부!$A$3:$WWA$3</definedName>
    <definedName name="_xlnm._FilterDatabase" localSheetId="11" hidden="1">'나. 지출예산 총괄표'!$A$4:$M$316</definedName>
    <definedName name="_xlnm._FilterDatabase" localSheetId="14" hidden="1">도시미화부!$A$1:$M$269</definedName>
    <definedName name="_xlnm._FilterDatabase" localSheetId="16" hidden="1">환경자원사업소!$A$1:$M$8</definedName>
    <definedName name="_xlnm.Database" localSheetId="12">#REF!</definedName>
    <definedName name="_xlnm.Database" localSheetId="13">#REF!</definedName>
    <definedName name="_xlnm.Database" localSheetId="11">#REF!</definedName>
    <definedName name="_xlnm.Database" localSheetId="14">#REF!</definedName>
    <definedName name="_xlnm.Database" localSheetId="16">#REF!</definedName>
    <definedName name="_xlnm.Database">#REF!</definedName>
    <definedName name="Document_array" localSheetId="13">{"Book1"}</definedName>
    <definedName name="Document_array" localSheetId="14">{"Book1"}</definedName>
    <definedName name="Document_array" localSheetId="16">{"Book1"}</definedName>
    <definedName name="Document_array">{"Book1"}</definedName>
    <definedName name="_xlnm.Print_Area" localSheetId="2">'1.사업운영계획'!$A$1:$K$27</definedName>
    <definedName name="_xlnm.Print_Area" localSheetId="4">'2.예산총칙'!$A$1:$K$19</definedName>
    <definedName name="_xlnm.Print_Area" localSheetId="6">'3.예산총괄표'!$A$1:$K$19</definedName>
    <definedName name="_xlnm.Print_Area" localSheetId="8">'3-1.사업예산총괄표'!$A$1:$F$21</definedName>
    <definedName name="_xlnm.Print_Area" localSheetId="9">'3-2.자본예산총괄표'!$A$1:$F$27</definedName>
    <definedName name="_xlnm.Print_Area" localSheetId="17">'4.자금운영계획'!$A$1:$K$19</definedName>
    <definedName name="_xlnm.Print_Area" localSheetId="12">경영본부!$A$1:$M$532</definedName>
    <definedName name="_xlnm.Print_Area" localSheetId="13">교통휴양시설부!$A$1:$M$302</definedName>
    <definedName name="_xlnm.Print_Area" localSheetId="11">'나. 지출예산 총괄표'!$A$1:$J$316</definedName>
    <definedName name="_xlnm.Print_Area" localSheetId="14">도시미화부!$A$1:$M$259</definedName>
    <definedName name="_xlnm.Print_Area" localSheetId="1">목차!$A$1:$L$16</definedName>
    <definedName name="_xlnm.Print_Area" localSheetId="3">사업운영계획1장!$A$1:$G$32</definedName>
    <definedName name="_xlnm.Print_Area" localSheetId="7">예산총괄표3장!$A$1:$G$22</definedName>
    <definedName name="_xlnm.Print_Area" localSheetId="5">예산총칙!$A$1:$D$51</definedName>
    <definedName name="_xlnm.Print_Area" localSheetId="18">자금운용수입4장!$A$1:$F$22</definedName>
    <definedName name="_xlnm.Print_Area" localSheetId="19">자금운용지출5장!$A$1:$G$36</definedName>
    <definedName name="_xlnm.Print_Area" localSheetId="15">체육시설부!$A$1:$M$329</definedName>
    <definedName name="_xlnm.Print_Area" localSheetId="0">표지!$A$1:$H$21</definedName>
    <definedName name="_xlnm.Print_Area" localSheetId="16">환경자원사업소!$A$1:$M$199</definedName>
    <definedName name="_xlnm.Print_Titles" localSheetId="12">경영본부!$2:$4</definedName>
    <definedName name="_xlnm.Print_Titles" localSheetId="13">교통휴양시설부!$2:$4</definedName>
    <definedName name="_xlnm.Print_Titles" localSheetId="11">'나. 지출예산 총괄표'!$3:$5</definedName>
    <definedName name="_xlnm.Print_Titles" localSheetId="14">도시미화부!$2:$4</definedName>
    <definedName name="_xlnm.Print_Titles" localSheetId="18">자금운용수입4장!$3:$3</definedName>
    <definedName name="_xlnm.Print_Titles" localSheetId="19">자금운용지출5장!$2:$2</definedName>
    <definedName name="_xlnm.Print_Titles" localSheetId="15">체육시설부!$2:$4</definedName>
    <definedName name="_xlnm.Print_Titles" localSheetId="16">환경자원사업소!$2:$4</definedName>
    <definedName name="교통휴양시설부">#REF!</definedName>
    <definedName name="도시미화부">#REF!</definedName>
    <definedName name="ㄹㄹㄹ" localSheetId="12">#REF!</definedName>
    <definedName name="ㄹㄹㄹ" localSheetId="13">#REF!</definedName>
    <definedName name="ㄹㄹㄹ" localSheetId="11">#REF!</definedName>
    <definedName name="ㄹㄹㄹ" localSheetId="14">#REF!</definedName>
    <definedName name="ㄹㄹㄹ" localSheetId="16">#REF!</definedName>
    <definedName name="ㄹㄹㄹ">#REF!</definedName>
    <definedName name="ㅁ1" localSheetId="12">#REF!</definedName>
    <definedName name="ㅁ1" localSheetId="13">#REF!</definedName>
    <definedName name="ㅁ1" localSheetId="11">#REF!</definedName>
    <definedName name="ㅁ1" localSheetId="14">#REF!</definedName>
    <definedName name="ㅁ1" localSheetId="0">#REF!</definedName>
    <definedName name="ㅁ1" localSheetId="16">#REF!</definedName>
    <definedName name="ㅁ1">#REF!</definedName>
    <definedName name="ㅇㅇ" localSheetId="13">#REF!</definedName>
    <definedName name="ㅇㅇ" localSheetId="14">#REF!</definedName>
    <definedName name="ㅇㅇ" localSheetId="16">#REF!</definedName>
    <definedName name="ㅇㅇ">#REF!</definedName>
    <definedName name="ㅇㅇㅇ" localSheetId="13">#REF!</definedName>
    <definedName name="ㅇㅇㅇ" localSheetId="14">#REF!</definedName>
    <definedName name="ㅇㅇㅇ" localSheetId="16">#REF!</definedName>
    <definedName name="ㅇㅇㅇ">#REF!</definedName>
    <definedName name="야영장">#REF!</definedName>
  </definedNames>
  <calcPr calcId="191029"/>
</workbook>
</file>

<file path=xl/calcChain.xml><?xml version="1.0" encoding="utf-8"?>
<calcChain xmlns="http://schemas.openxmlformats.org/spreadsheetml/2006/main">
  <c r="I257" i="29" l="1"/>
  <c r="H257" i="29"/>
  <c r="J256" i="29"/>
  <c r="I256" i="29"/>
  <c r="H256" i="29"/>
  <c r="K19" i="41" l="1"/>
  <c r="I19" i="41"/>
  <c r="K18" i="41"/>
  <c r="J18" i="41"/>
  <c r="I18" i="41"/>
  <c r="H18" i="41"/>
  <c r="G18" i="41"/>
  <c r="G17" i="41" s="1"/>
  <c r="G16" i="41" s="1"/>
  <c r="F18" i="41"/>
  <c r="F17" i="41" s="1"/>
  <c r="F16" i="41" s="1"/>
  <c r="K17" i="41"/>
  <c r="K16" i="41" s="1"/>
  <c r="J17" i="41"/>
  <c r="J16" i="41" s="1"/>
  <c r="I17" i="41"/>
  <c r="I16" i="41" s="1"/>
  <c r="H17" i="41"/>
  <c r="H16" i="41" s="1"/>
  <c r="K15" i="41"/>
  <c r="I15" i="41"/>
  <c r="K14" i="41"/>
  <c r="K13" i="41" s="1"/>
  <c r="K12" i="41" s="1"/>
  <c r="K11" i="41" s="1"/>
  <c r="J14" i="41"/>
  <c r="J13" i="41" s="1"/>
  <c r="J12" i="41" s="1"/>
  <c r="I14" i="41"/>
  <c r="I13" i="41" s="1"/>
  <c r="I12" i="41" s="1"/>
  <c r="H14" i="41"/>
  <c r="G14" i="41"/>
  <c r="F14" i="41"/>
  <c r="H13" i="41"/>
  <c r="G13" i="41"/>
  <c r="G12" i="41" s="1"/>
  <c r="G11" i="41" s="1"/>
  <c r="F13" i="41"/>
  <c r="F12" i="41" s="1"/>
  <c r="F11" i="41" s="1"/>
  <c r="H12" i="41"/>
  <c r="K10" i="41"/>
  <c r="I10" i="41"/>
  <c r="K9" i="41"/>
  <c r="K8" i="41" s="1"/>
  <c r="K7" i="41" s="1"/>
  <c r="K6" i="41" s="1"/>
  <c r="J9" i="41"/>
  <c r="J8" i="41" s="1"/>
  <c r="J7" i="41" s="1"/>
  <c r="J6" i="41" s="1"/>
  <c r="I9" i="41"/>
  <c r="I8" i="41" s="1"/>
  <c r="I7" i="41" s="1"/>
  <c r="I6" i="41" s="1"/>
  <c r="H9" i="41"/>
  <c r="H8" i="41" s="1"/>
  <c r="H7" i="41" s="1"/>
  <c r="H6" i="41" s="1"/>
  <c r="G9" i="41"/>
  <c r="G8" i="41" s="1"/>
  <c r="G7" i="41" s="1"/>
  <c r="G6" i="41" s="1"/>
  <c r="F9" i="41"/>
  <c r="F8" i="41"/>
  <c r="F7" i="41"/>
  <c r="F6" i="41" s="1"/>
  <c r="H11" i="41" l="1"/>
  <c r="H5" i="41"/>
  <c r="I11" i="41"/>
  <c r="G5" i="41"/>
  <c r="F5" i="41"/>
  <c r="J11" i="41"/>
  <c r="J5" i="41" s="1"/>
  <c r="I5" i="41"/>
  <c r="K5" i="41"/>
  <c r="H30" i="29"/>
  <c r="M276" i="36" l="1"/>
  <c r="M245" i="36"/>
  <c r="M244" i="36"/>
  <c r="M243" i="36"/>
  <c r="M242" i="36"/>
  <c r="M241" i="36"/>
  <c r="M240" i="36"/>
  <c r="M251" i="36"/>
  <c r="M247" i="36"/>
  <c r="BF220" i="36"/>
  <c r="BF221" i="36"/>
  <c r="BF219" i="36"/>
  <c r="BF218" i="36"/>
  <c r="BF217" i="36"/>
  <c r="S218" i="36"/>
  <c r="AB218" i="36"/>
  <c r="BF216" i="36"/>
  <c r="BF224" i="36"/>
  <c r="BF223" i="36"/>
  <c r="BF222" i="36"/>
  <c r="F5" i="5" l="1"/>
  <c r="D13" i="5"/>
  <c r="D12" i="5"/>
  <c r="D11" i="5"/>
  <c r="D9" i="5"/>
  <c r="D10" i="5"/>
  <c r="F17" i="5"/>
  <c r="D24" i="5" l="1"/>
  <c r="I301" i="29" l="1"/>
  <c r="I300" i="29"/>
  <c r="I299" i="29"/>
  <c r="H299" i="29"/>
  <c r="H300" i="29"/>
  <c r="H301" i="29"/>
  <c r="I179" i="39"/>
  <c r="H179" i="39"/>
  <c r="H182" i="39"/>
  <c r="H181" i="39" s="1"/>
  <c r="H180" i="39" s="1"/>
  <c r="I188" i="39"/>
  <c r="I187" i="39" s="1"/>
  <c r="I186" i="39" s="1"/>
  <c r="P185" i="39"/>
  <c r="O185" i="39" s="1"/>
  <c r="I182" i="39"/>
  <c r="I181" i="39" s="1"/>
  <c r="I180" i="39" s="1"/>
  <c r="M181" i="39"/>
  <c r="I138" i="39"/>
  <c r="J299" i="29" l="1"/>
  <c r="J301" i="29"/>
  <c r="J300" i="29"/>
  <c r="M185" i="39"/>
  <c r="M184" i="39" s="1"/>
  <c r="M183" i="39" s="1"/>
  <c r="O184" i="39"/>
  <c r="J183" i="39" l="1"/>
  <c r="J182" i="39" l="1"/>
  <c r="J181" i="39" l="1"/>
  <c r="J180" i="39"/>
  <c r="P199" i="39" l="1"/>
  <c r="O199" i="39" s="1"/>
  <c r="M199" i="39" s="1"/>
  <c r="P198" i="39"/>
  <c r="O198" i="39" s="1"/>
  <c r="P196" i="39"/>
  <c r="O196" i="39" s="1"/>
  <c r="M196" i="39" s="1"/>
  <c r="P191" i="39"/>
  <c r="O191" i="39" s="1"/>
  <c r="P166" i="39"/>
  <c r="M166" i="39" s="1"/>
  <c r="M165" i="39" s="1"/>
  <c r="P164" i="39"/>
  <c r="O164" i="39" s="1"/>
  <c r="M164" i="39"/>
  <c r="P163" i="39"/>
  <c r="O162" i="39"/>
  <c r="M162" i="39"/>
  <c r="P161" i="39"/>
  <c r="P160" i="39"/>
  <c r="M160" i="39" s="1"/>
  <c r="P159" i="39"/>
  <c r="M159" i="39" s="1"/>
  <c r="P158" i="39"/>
  <c r="M158" i="39"/>
  <c r="P157" i="39"/>
  <c r="M157" i="39"/>
  <c r="P155" i="39"/>
  <c r="M155" i="39" s="1"/>
  <c r="P154" i="39"/>
  <c r="M154" i="39" s="1"/>
  <c r="P152" i="39"/>
  <c r="O152" i="39" s="1"/>
  <c r="P151" i="39"/>
  <c r="O151" i="39" s="1"/>
  <c r="M151" i="39" s="1"/>
  <c r="P150" i="39"/>
  <c r="O150" i="39" s="1"/>
  <c r="M150" i="39" s="1"/>
  <c r="P149" i="39"/>
  <c r="M149" i="39" s="1"/>
  <c r="M148" i="39" s="1"/>
  <c r="P147" i="39"/>
  <c r="M147" i="39" s="1"/>
  <c r="M146" i="39" s="1"/>
  <c r="P145" i="39"/>
  <c r="M145" i="39"/>
  <c r="O144" i="39"/>
  <c r="M144" i="39"/>
  <c r="P143" i="39"/>
  <c r="M143" i="39" s="1"/>
  <c r="M142" i="39" s="1"/>
  <c r="P137" i="39"/>
  <c r="M137" i="39" s="1"/>
  <c r="P136" i="39"/>
  <c r="M136" i="39" s="1"/>
  <c r="P135" i="39"/>
  <c r="M135" i="39" s="1"/>
  <c r="P134" i="39"/>
  <c r="M134" i="39" s="1"/>
  <c r="P133" i="39"/>
  <c r="M133" i="39" s="1"/>
  <c r="P132" i="39"/>
  <c r="M132" i="39"/>
  <c r="P131" i="39"/>
  <c r="M131" i="39" s="1"/>
  <c r="P130" i="39"/>
  <c r="M130" i="39" s="1"/>
  <c r="P129" i="39"/>
  <c r="M129" i="39" s="1"/>
  <c r="P128" i="39"/>
  <c r="M128" i="39" s="1"/>
  <c r="P127" i="39"/>
  <c r="M127" i="39" s="1"/>
  <c r="P126" i="39"/>
  <c r="M126" i="39" s="1"/>
  <c r="P125" i="39"/>
  <c r="M125" i="39" s="1"/>
  <c r="P124" i="39"/>
  <c r="M124" i="39" s="1"/>
  <c r="P123" i="39"/>
  <c r="M123" i="39" s="1"/>
  <c r="P122" i="39"/>
  <c r="M122" i="39" s="1"/>
  <c r="P110" i="39"/>
  <c r="M110" i="39" s="1"/>
  <c r="P109" i="39"/>
  <c r="M109" i="39" s="1"/>
  <c r="P108" i="39"/>
  <c r="M108" i="39"/>
  <c r="P105" i="39"/>
  <c r="M105" i="39" s="1"/>
  <c r="P104" i="39"/>
  <c r="M104" i="39" s="1"/>
  <c r="P103" i="39"/>
  <c r="M103" i="39"/>
  <c r="P101" i="39"/>
  <c r="M101" i="39"/>
  <c r="P100" i="39"/>
  <c r="M100" i="39" s="1"/>
  <c r="M99" i="39" s="1"/>
  <c r="P98" i="39"/>
  <c r="M98" i="39"/>
  <c r="M97" i="39" s="1"/>
  <c r="O97" i="39"/>
  <c r="P96" i="39"/>
  <c r="M96" i="39"/>
  <c r="P95" i="39"/>
  <c r="M95" i="39" s="1"/>
  <c r="M94" i="39" s="1"/>
  <c r="O94" i="39"/>
  <c r="P93" i="39"/>
  <c r="M93" i="39" s="1"/>
  <c r="P92" i="39"/>
  <c r="M92" i="39" s="1"/>
  <c r="P91" i="39"/>
  <c r="M91" i="39" s="1"/>
  <c r="P90" i="39"/>
  <c r="M90" i="39"/>
  <c r="P89" i="39"/>
  <c r="M89" i="39" s="1"/>
  <c r="P88" i="39"/>
  <c r="M88" i="39"/>
  <c r="P86" i="39"/>
  <c r="O85" i="39" s="1"/>
  <c r="M86" i="39"/>
  <c r="M85" i="39" s="1"/>
  <c r="O84" i="39"/>
  <c r="M84" i="39"/>
  <c r="P83" i="39"/>
  <c r="M83" i="39"/>
  <c r="P82" i="39"/>
  <c r="M82" i="39" s="1"/>
  <c r="P81" i="39"/>
  <c r="M81" i="39" s="1"/>
  <c r="P80" i="39"/>
  <c r="M80" i="39" s="1"/>
  <c r="P78" i="39"/>
  <c r="M78" i="39" s="1"/>
  <c r="P77" i="39"/>
  <c r="M77" i="39" s="1"/>
  <c r="P76" i="39"/>
  <c r="M76" i="39"/>
  <c r="P73" i="39"/>
  <c r="M73" i="39" s="1"/>
  <c r="O72" i="39"/>
  <c r="M72" i="39"/>
  <c r="P71" i="39"/>
  <c r="M71" i="39" s="1"/>
  <c r="P70" i="39"/>
  <c r="M70" i="39" s="1"/>
  <c r="P68" i="39"/>
  <c r="M68" i="39" s="1"/>
  <c r="P67" i="39"/>
  <c r="M67" i="39"/>
  <c r="P66" i="39"/>
  <c r="M66" i="39" s="1"/>
  <c r="P65" i="39"/>
  <c r="M65" i="39"/>
  <c r="P62" i="39"/>
  <c r="O62" i="39" s="1"/>
  <c r="M62" i="39" s="1"/>
  <c r="P61" i="39"/>
  <c r="M61" i="39" s="1"/>
  <c r="P60" i="39"/>
  <c r="M60" i="39" s="1"/>
  <c r="O59" i="39"/>
  <c r="P58" i="39"/>
  <c r="M58" i="39" s="1"/>
  <c r="P57" i="39"/>
  <c r="M57" i="39" s="1"/>
  <c r="P56" i="39"/>
  <c r="M56" i="39" s="1"/>
  <c r="P55" i="39"/>
  <c r="M55" i="39" s="1"/>
  <c r="P54" i="39"/>
  <c r="M54" i="39" s="1"/>
  <c r="P53" i="39"/>
  <c r="M53" i="39" s="1"/>
  <c r="P52" i="39"/>
  <c r="M52" i="39" s="1"/>
  <c r="P51" i="39"/>
  <c r="M51" i="39" s="1"/>
  <c r="P50" i="39"/>
  <c r="M50" i="39" s="1"/>
  <c r="P49" i="39"/>
  <c r="M49" i="39"/>
  <c r="P47" i="39"/>
  <c r="M47" i="39" s="1"/>
  <c r="P46" i="39"/>
  <c r="M46" i="39" s="1"/>
  <c r="P45" i="39"/>
  <c r="M45" i="39" s="1"/>
  <c r="P44" i="39"/>
  <c r="M44" i="39" s="1"/>
  <c r="P43" i="39"/>
  <c r="M43" i="39"/>
  <c r="P42" i="39"/>
  <c r="M42" i="39"/>
  <c r="P40" i="39"/>
  <c r="M40" i="39"/>
  <c r="P39" i="39"/>
  <c r="M39" i="39" s="1"/>
  <c r="P38" i="39"/>
  <c r="M38" i="39" s="1"/>
  <c r="P37" i="39"/>
  <c r="M37" i="39" s="1"/>
  <c r="P36" i="39"/>
  <c r="M36" i="39" s="1"/>
  <c r="P35" i="39"/>
  <c r="M35" i="39" s="1"/>
  <c r="P32" i="39"/>
  <c r="M32" i="39" s="1"/>
  <c r="M31" i="39" s="1"/>
  <c r="P30" i="39"/>
  <c r="M30" i="39"/>
  <c r="P29" i="39"/>
  <c r="M29" i="39" s="1"/>
  <c r="P28" i="39"/>
  <c r="M28" i="39" s="1"/>
  <c r="M27" i="39" s="1"/>
  <c r="P26" i="39"/>
  <c r="M26" i="39" s="1"/>
  <c r="P25" i="39"/>
  <c r="M25" i="39" s="1"/>
  <c r="M24" i="39" s="1"/>
  <c r="P23" i="39"/>
  <c r="M23" i="39" s="1"/>
  <c r="M22" i="39" s="1"/>
  <c r="P21" i="39"/>
  <c r="P20" i="39"/>
  <c r="M20" i="39" s="1"/>
  <c r="P19" i="39"/>
  <c r="M19" i="39" s="1"/>
  <c r="P18" i="39"/>
  <c r="M18" i="39"/>
  <c r="P16" i="39"/>
  <c r="M16" i="39" s="1"/>
  <c r="P15" i="39"/>
  <c r="M15" i="39" s="1"/>
  <c r="P14" i="39"/>
  <c r="M14" i="39" s="1"/>
  <c r="P13" i="39"/>
  <c r="M13" i="39" s="1"/>
  <c r="M121" i="39" l="1"/>
  <c r="O49" i="39"/>
  <c r="M69" i="39"/>
  <c r="M59" i="39"/>
  <c r="M79" i="39"/>
  <c r="O146" i="39"/>
  <c r="M64" i="39"/>
  <c r="M63" i="39" s="1"/>
  <c r="M153" i="39"/>
  <c r="O17" i="39"/>
  <c r="M41" i="39"/>
  <c r="O64" i="39"/>
  <c r="M102" i="39"/>
  <c r="O121" i="39"/>
  <c r="H121" i="39" s="1"/>
  <c r="J121" i="39" s="1"/>
  <c r="O22" i="39"/>
  <c r="M34" i="39"/>
  <c r="M75" i="39"/>
  <c r="O79" i="39"/>
  <c r="O106" i="39"/>
  <c r="O75" i="39"/>
  <c r="M12" i="39"/>
  <c r="O99" i="39"/>
  <c r="M152" i="39"/>
  <c r="M141" i="39" s="1"/>
  <c r="H141" i="39" s="1"/>
  <c r="J141" i="39" s="1"/>
  <c r="M87" i="39"/>
  <c r="M107" i="39"/>
  <c r="M106" i="39" s="1"/>
  <c r="H106" i="39" s="1"/>
  <c r="J106" i="39" s="1"/>
  <c r="M198" i="39"/>
  <c r="M197" i="39" s="1"/>
  <c r="M195" i="39" s="1"/>
  <c r="H195" i="39" s="1"/>
  <c r="J195" i="39" s="1"/>
  <c r="O195" i="39"/>
  <c r="M191" i="39"/>
  <c r="M190" i="39" s="1"/>
  <c r="M189" i="39" s="1"/>
  <c r="H189" i="39" s="1"/>
  <c r="J189" i="39" s="1"/>
  <c r="O190" i="39"/>
  <c r="M156" i="39"/>
  <c r="O156" i="39"/>
  <c r="O142" i="39"/>
  <c r="O148" i="39"/>
  <c r="O165" i="39"/>
  <c r="O153" i="39"/>
  <c r="O74" i="39"/>
  <c r="H74" i="39" s="1"/>
  <c r="J74" i="39" s="1"/>
  <c r="M74" i="39"/>
  <c r="O88" i="39"/>
  <c r="O102" i="39"/>
  <c r="O69" i="39"/>
  <c r="M48" i="39"/>
  <c r="O42" i="39"/>
  <c r="O34" i="39"/>
  <c r="O33" i="39" s="1"/>
  <c r="O27" i="39"/>
  <c r="M21" i="39"/>
  <c r="M17" i="39" s="1"/>
  <c r="M11" i="39" s="1"/>
  <c r="H11" i="39" s="1"/>
  <c r="J11" i="39" s="1"/>
  <c r="O12" i="39"/>
  <c r="O24" i="39"/>
  <c r="O31" i="39"/>
  <c r="I83" i="29"/>
  <c r="I82" i="29"/>
  <c r="I81" i="29"/>
  <c r="I80" i="29"/>
  <c r="I79" i="29"/>
  <c r="I78" i="29"/>
  <c r="I86" i="29"/>
  <c r="I85" i="29"/>
  <c r="I84" i="29" s="1"/>
  <c r="M293" i="36"/>
  <c r="N295" i="36"/>
  <c r="N287" i="36"/>
  <c r="N209" i="36"/>
  <c r="N208" i="36"/>
  <c r="N194" i="36"/>
  <c r="N193" i="36"/>
  <c r="N192" i="36"/>
  <c r="N191" i="36"/>
  <c r="N189" i="36"/>
  <c r="N188" i="36"/>
  <c r="N186" i="36"/>
  <c r="N177" i="36"/>
  <c r="N176" i="36"/>
  <c r="N175" i="36"/>
  <c r="N174" i="36"/>
  <c r="N173" i="36"/>
  <c r="N172" i="36"/>
  <c r="N171" i="36"/>
  <c r="AA167" i="36"/>
  <c r="U167" i="36"/>
  <c r="N167" i="36"/>
  <c r="AA166" i="36"/>
  <c r="U166" i="36"/>
  <c r="N166" i="36"/>
  <c r="AA165" i="36"/>
  <c r="T165" i="36"/>
  <c r="N165" i="36"/>
  <c r="AA164" i="36"/>
  <c r="N164" i="36"/>
  <c r="AA163" i="36"/>
  <c r="R163" i="36"/>
  <c r="T163" i="36" s="1"/>
  <c r="N163" i="36"/>
  <c r="AA162" i="36"/>
  <c r="Q162" i="36"/>
  <c r="P162" i="36"/>
  <c r="P161" i="36" s="1"/>
  <c r="N162" i="36"/>
  <c r="AA161" i="36"/>
  <c r="N161" i="36"/>
  <c r="S157" i="36"/>
  <c r="N157" i="36"/>
  <c r="M156" i="36"/>
  <c r="S155" i="36"/>
  <c r="N155" i="36"/>
  <c r="S154" i="36"/>
  <c r="N154" i="36"/>
  <c r="S153" i="36"/>
  <c r="N153" i="36"/>
  <c r="S152" i="36"/>
  <c r="N152" i="36"/>
  <c r="M151" i="36"/>
  <c r="N123" i="36"/>
  <c r="M33" i="39" l="1"/>
  <c r="H33" i="39" s="1"/>
  <c r="J33" i="39" s="1"/>
  <c r="O63" i="39"/>
  <c r="H63" i="39" s="1"/>
  <c r="J63" i="39" s="1"/>
  <c r="O141" i="39"/>
  <c r="O87" i="39"/>
  <c r="H87" i="39" s="1"/>
  <c r="J87" i="39" s="1"/>
  <c r="O11" i="39"/>
  <c r="M300" i="38"/>
  <c r="M299" i="38"/>
  <c r="M293" i="38"/>
  <c r="M292" i="38" s="1"/>
  <c r="M287" i="38" s="1"/>
  <c r="M288" i="38"/>
  <c r="I286" i="38"/>
  <c r="I281" i="38" s="1"/>
  <c r="I280" i="38" s="1"/>
  <c r="M284" i="38"/>
  <c r="M283" i="38" s="1"/>
  <c r="I282" i="38"/>
  <c r="M281" i="38"/>
  <c r="M277" i="38"/>
  <c r="M272" i="38"/>
  <c r="M270" i="38" s="1"/>
  <c r="H270" i="38" s="1"/>
  <c r="J270" i="38" s="1"/>
  <c r="M268" i="38"/>
  <c r="H268" i="38" s="1"/>
  <c r="J268" i="38" s="1"/>
  <c r="M267" i="38"/>
  <c r="M264" i="38" s="1"/>
  <c r="M266" i="38"/>
  <c r="M263" i="38"/>
  <c r="M261" i="38"/>
  <c r="M251" i="38"/>
  <c r="H251" i="38" s="1"/>
  <c r="J251" i="38" s="1"/>
  <c r="M249" i="38"/>
  <c r="H249" i="38" s="1"/>
  <c r="J249" i="38" s="1"/>
  <c r="M248" i="38"/>
  <c r="M247" i="38"/>
  <c r="M243" i="38"/>
  <c r="M240" i="38"/>
  <c r="M239" i="38" s="1"/>
  <c r="M236" i="38"/>
  <c r="M234" i="38" s="1"/>
  <c r="I232" i="38"/>
  <c r="I231" i="38" s="1"/>
  <c r="I230" i="38" s="1"/>
  <c r="I229" i="38" s="1"/>
  <c r="M231" i="38"/>
  <c r="M228" i="38"/>
  <c r="M227" i="38"/>
  <c r="M226" i="38"/>
  <c r="M225" i="38"/>
  <c r="M224" i="38"/>
  <c r="M223" i="38"/>
  <c r="M222" i="38"/>
  <c r="M221" i="38"/>
  <c r="M220" i="38"/>
  <c r="M219" i="38"/>
  <c r="M218" i="38"/>
  <c r="M217" i="38"/>
  <c r="M216" i="38"/>
  <c r="M215" i="38"/>
  <c r="M214" i="38"/>
  <c r="M213" i="38"/>
  <c r="M212" i="38"/>
  <c r="I210" i="38"/>
  <c r="M209" i="38"/>
  <c r="M208" i="38"/>
  <c r="M207" i="38"/>
  <c r="M205" i="38"/>
  <c r="M204" i="38" s="1"/>
  <c r="H204" i="38" s="1"/>
  <c r="I203" i="38"/>
  <c r="I202" i="38" s="1"/>
  <c r="I201" i="38" s="1"/>
  <c r="M200" i="38"/>
  <c r="M199" i="38"/>
  <c r="M198" i="38"/>
  <c r="M197" i="38"/>
  <c r="M196" i="38"/>
  <c r="M195" i="38"/>
  <c r="M194" i="38"/>
  <c r="M193" i="38"/>
  <c r="M192" i="38"/>
  <c r="M191" i="38" s="1"/>
  <c r="H191" i="38" s="1"/>
  <c r="J191" i="38" s="1"/>
  <c r="M190" i="38"/>
  <c r="M189" i="38"/>
  <c r="M188" i="38"/>
  <c r="M187" i="38" s="1"/>
  <c r="H187" i="38" s="1"/>
  <c r="J187" i="38" s="1"/>
  <c r="M186" i="38"/>
  <c r="M185" i="38"/>
  <c r="M184" i="38"/>
  <c r="M183" i="38"/>
  <c r="M182" i="38"/>
  <c r="M180" i="38"/>
  <c r="M179" i="38"/>
  <c r="M178" i="38"/>
  <c r="M177" i="38"/>
  <c r="M176" i="38"/>
  <c r="M175" i="38"/>
  <c r="M174" i="38"/>
  <c r="M173" i="38"/>
  <c r="M172" i="38"/>
  <c r="M171" i="38"/>
  <c r="M170" i="38"/>
  <c r="M169" i="38"/>
  <c r="M168" i="38"/>
  <c r="M167" i="38"/>
  <c r="M165" i="38"/>
  <c r="M164" i="38"/>
  <c r="M163" i="38"/>
  <c r="M162" i="38"/>
  <c r="M161" i="38"/>
  <c r="M160" i="38"/>
  <c r="M159" i="38"/>
  <c r="M158" i="38"/>
  <c r="M157" i="38"/>
  <c r="M156" i="38"/>
  <c r="M155" i="38"/>
  <c r="M154" i="38"/>
  <c r="M153" i="38"/>
  <c r="M152" i="38"/>
  <c r="I150" i="38"/>
  <c r="I149" i="38" s="1"/>
  <c r="M148" i="38"/>
  <c r="M147" i="38" s="1"/>
  <c r="M146" i="38"/>
  <c r="M145" i="38"/>
  <c r="M144" i="38"/>
  <c r="M143" i="38"/>
  <c r="M142" i="38"/>
  <c r="M141" i="38"/>
  <c r="M140" i="38"/>
  <c r="J138" i="38"/>
  <c r="I137" i="38"/>
  <c r="I136" i="38" s="1"/>
  <c r="M133" i="38"/>
  <c r="M132" i="38"/>
  <c r="M131" i="38"/>
  <c r="M130" i="38"/>
  <c r="M129" i="38"/>
  <c r="M128" i="38"/>
  <c r="M127" i="38"/>
  <c r="M126" i="38"/>
  <c r="M125" i="38"/>
  <c r="M124" i="38"/>
  <c r="M123" i="38"/>
  <c r="M122" i="38"/>
  <c r="M121" i="38"/>
  <c r="M120" i="38"/>
  <c r="M119" i="38"/>
  <c r="M118" i="38"/>
  <c r="M117" i="38"/>
  <c r="M116" i="38"/>
  <c r="M115" i="38"/>
  <c r="M114" i="38"/>
  <c r="M113" i="38"/>
  <c r="M110" i="38"/>
  <c r="M109" i="38"/>
  <c r="M108" i="38"/>
  <c r="M107" i="38"/>
  <c r="M105" i="38" s="1"/>
  <c r="H105" i="38" s="1"/>
  <c r="J105" i="38" s="1"/>
  <c r="M106" i="38"/>
  <c r="M103" i="38"/>
  <c r="H103" i="38" s="1"/>
  <c r="I101" i="38"/>
  <c r="I100" i="38"/>
  <c r="M96" i="38"/>
  <c r="M95" i="38"/>
  <c r="H95" i="38" s="1"/>
  <c r="M93" i="38"/>
  <c r="M92" i="38"/>
  <c r="M91" i="38" s="1"/>
  <c r="H91" i="38" s="1"/>
  <c r="M89" i="38"/>
  <c r="M88" i="38"/>
  <c r="M87" i="38"/>
  <c r="M86" i="38"/>
  <c r="M79" i="38" s="1"/>
  <c r="H79" i="38" s="1"/>
  <c r="J79" i="38" s="1"/>
  <c r="M85" i="38"/>
  <c r="M84" i="38"/>
  <c r="M83" i="38"/>
  <c r="M82" i="38"/>
  <c r="M81" i="38"/>
  <c r="M78" i="38"/>
  <c r="M77" i="38"/>
  <c r="M76" i="38"/>
  <c r="M75" i="38"/>
  <c r="M74" i="38" s="1"/>
  <c r="M73" i="38"/>
  <c r="M72" i="38" s="1"/>
  <c r="M71" i="38"/>
  <c r="M70" i="38"/>
  <c r="M68" i="38"/>
  <c r="M67" i="38"/>
  <c r="M66" i="38"/>
  <c r="M65" i="38"/>
  <c r="M64" i="38"/>
  <c r="M62" i="38"/>
  <c r="M61" i="38"/>
  <c r="M60" i="38"/>
  <c r="M59" i="38"/>
  <c r="M58" i="38"/>
  <c r="M57" i="38"/>
  <c r="M56" i="38"/>
  <c r="M55" i="38"/>
  <c r="M54" i="38"/>
  <c r="M53" i="38"/>
  <c r="M52" i="38"/>
  <c r="M51" i="38"/>
  <c r="M50" i="38"/>
  <c r="M49" i="38"/>
  <c r="M48" i="38"/>
  <c r="M47" i="38"/>
  <c r="M46" i="38"/>
  <c r="M45" i="38"/>
  <c r="M44" i="38"/>
  <c r="M43" i="38"/>
  <c r="M42" i="38"/>
  <c r="M41" i="38"/>
  <c r="M38" i="38"/>
  <c r="M37" i="38"/>
  <c r="M36" i="38"/>
  <c r="M35" i="38"/>
  <c r="M34" i="38"/>
  <c r="M33" i="38"/>
  <c r="M32" i="38"/>
  <c r="M31" i="38"/>
  <c r="M29" i="38"/>
  <c r="M28" i="38"/>
  <c r="M27" i="38"/>
  <c r="M26" i="38"/>
  <c r="M25" i="38"/>
  <c r="M24" i="38"/>
  <c r="M23" i="38"/>
  <c r="I20" i="38"/>
  <c r="M19" i="38"/>
  <c r="M18" i="38"/>
  <c r="M17" i="38"/>
  <c r="M16" i="38"/>
  <c r="M15" i="38"/>
  <c r="M14" i="38"/>
  <c r="M13" i="38"/>
  <c r="I10" i="38"/>
  <c r="I9" i="38"/>
  <c r="I8" i="38" s="1"/>
  <c r="I7" i="38" s="1"/>
  <c r="H283" i="38" l="1"/>
  <c r="J283" i="38" s="1"/>
  <c r="M282" i="38"/>
  <c r="H282" i="38" s="1"/>
  <c r="J282" i="38" s="1"/>
  <c r="I135" i="38"/>
  <c r="M206" i="38"/>
  <c r="H206" i="38" s="1"/>
  <c r="J206" i="38" s="1"/>
  <c r="M233" i="38"/>
  <c r="H233" i="38" s="1"/>
  <c r="M63" i="38"/>
  <c r="H63" i="38" s="1"/>
  <c r="J63" i="38" s="1"/>
  <c r="M181" i="38"/>
  <c r="H181" i="38" s="1"/>
  <c r="J181" i="38" s="1"/>
  <c r="M12" i="38"/>
  <c r="M11" i="38" s="1"/>
  <c r="H11" i="38" s="1"/>
  <c r="J11" i="38" s="1"/>
  <c r="M39" i="38"/>
  <c r="H39" i="38" s="1"/>
  <c r="J39" i="38" s="1"/>
  <c r="M69" i="38"/>
  <c r="H69" i="38" s="1"/>
  <c r="J69" i="38" s="1"/>
  <c r="M139" i="38"/>
  <c r="H139" i="38" s="1"/>
  <c r="J139" i="38" s="1"/>
  <c r="M30" i="38"/>
  <c r="M22" i="38" s="1"/>
  <c r="H22" i="38" s="1"/>
  <c r="M151" i="38"/>
  <c r="M166" i="38"/>
  <c r="H166" i="38" s="1"/>
  <c r="J166" i="38" s="1"/>
  <c r="M211" i="38"/>
  <c r="H211" i="38" s="1"/>
  <c r="J211" i="38" s="1"/>
  <c r="M112" i="38"/>
  <c r="H112" i="38" s="1"/>
  <c r="H111" i="38" s="1"/>
  <c r="J111" i="38" s="1"/>
  <c r="H264" i="38"/>
  <c r="J264" i="38" s="1"/>
  <c r="H287" i="38"/>
  <c r="M286" i="38"/>
  <c r="H151" i="38"/>
  <c r="J151" i="38" s="1"/>
  <c r="M150" i="38"/>
  <c r="I134" i="38"/>
  <c r="J204" i="38"/>
  <c r="H203" i="38"/>
  <c r="J91" i="38"/>
  <c r="H90" i="38"/>
  <c r="J90" i="38" s="1"/>
  <c r="H10" i="38"/>
  <c r="J95" i="38"/>
  <c r="H94" i="38"/>
  <c r="J94" i="38" s="1"/>
  <c r="H102" i="38"/>
  <c r="J103" i="38"/>
  <c r="M232" i="38" l="1"/>
  <c r="H137" i="38"/>
  <c r="H210" i="38"/>
  <c r="J210" i="38" s="1"/>
  <c r="J112" i="38"/>
  <c r="J287" i="38"/>
  <c r="J286" i="38" s="1"/>
  <c r="H286" i="38"/>
  <c r="H281" i="38" s="1"/>
  <c r="H232" i="38"/>
  <c r="J233" i="38"/>
  <c r="H202" i="38"/>
  <c r="J203" i="38"/>
  <c r="J137" i="38"/>
  <c r="H136" i="38"/>
  <c r="M149" i="38"/>
  <c r="H150" i="38"/>
  <c r="M20" i="38"/>
  <c r="J102" i="38"/>
  <c r="H101" i="38"/>
  <c r="J22" i="38"/>
  <c r="H21" i="38"/>
  <c r="H9" i="38"/>
  <c r="J10" i="38"/>
  <c r="H280" i="38" l="1"/>
  <c r="J280" i="38" s="1"/>
  <c r="J281" i="38"/>
  <c r="H231" i="38"/>
  <c r="J232" i="38"/>
  <c r="J202" i="38"/>
  <c r="H201" i="38"/>
  <c r="J201" i="38" s="1"/>
  <c r="H149" i="38"/>
  <c r="J149" i="38" s="1"/>
  <c r="J150" i="38"/>
  <c r="H135" i="38"/>
  <c r="J136" i="38"/>
  <c r="J9" i="38"/>
  <c r="J21" i="38"/>
  <c r="H20" i="38"/>
  <c r="J20" i="38" s="1"/>
  <c r="J101" i="38"/>
  <c r="H100" i="38"/>
  <c r="J100" i="38" s="1"/>
  <c r="J231" i="38" l="1"/>
  <c r="H230" i="38"/>
  <c r="H134" i="38"/>
  <c r="J134" i="38" s="1"/>
  <c r="J135" i="38"/>
  <c r="H8" i="38"/>
  <c r="J230" i="38" l="1"/>
  <c r="H229" i="38"/>
  <c r="J229" i="38" s="1"/>
  <c r="H7" i="38"/>
  <c r="J7" i="38" s="1"/>
  <c r="J8" i="38"/>
  <c r="R248" i="37" l="1"/>
  <c r="M248" i="37" s="1"/>
  <c r="R247" i="37"/>
  <c r="M247" i="37" s="1"/>
  <c r="R246" i="37"/>
  <c r="M246" i="37" s="1"/>
  <c r="M245" i="37" s="1"/>
  <c r="M244" i="37" s="1"/>
  <c r="H244" i="37" s="1"/>
  <c r="M242" i="37"/>
  <c r="I238" i="37"/>
  <c r="M236" i="37"/>
  <c r="H236" i="37" s="1"/>
  <c r="M233" i="37"/>
  <c r="H233" i="37"/>
  <c r="J233" i="37" s="1"/>
  <c r="M228" i="37"/>
  <c r="H228" i="37" s="1"/>
  <c r="J228" i="37" s="1"/>
  <c r="M219" i="37"/>
  <c r="H219" i="37" s="1"/>
  <c r="J219" i="37" s="1"/>
  <c r="M213" i="37"/>
  <c r="M212" i="37" s="1"/>
  <c r="H212" i="37" s="1"/>
  <c r="J212" i="37" s="1"/>
  <c r="M207" i="37"/>
  <c r="M206" i="37" s="1"/>
  <c r="H206" i="37" s="1"/>
  <c r="J206" i="37" s="1"/>
  <c r="M201" i="37"/>
  <c r="M199" i="37" s="1"/>
  <c r="H199" i="37" s="1"/>
  <c r="M197" i="37"/>
  <c r="M192" i="37"/>
  <c r="M191" i="37" s="1"/>
  <c r="H191" i="37" s="1"/>
  <c r="J191" i="37" s="1"/>
  <c r="M189" i="37"/>
  <c r="R186" i="37"/>
  <c r="M186" i="37" s="1"/>
  <c r="R185" i="37"/>
  <c r="M185" i="37" s="1"/>
  <c r="R184" i="37"/>
  <c r="M184" i="37" s="1"/>
  <c r="R183" i="37"/>
  <c r="M183" i="37" s="1"/>
  <c r="R182" i="37"/>
  <c r="M182" i="37" s="1"/>
  <c r="M179" i="37"/>
  <c r="R177" i="37"/>
  <c r="M177" i="37" s="1"/>
  <c r="S176" i="37"/>
  <c r="M176" i="37" s="1"/>
  <c r="R175" i="37"/>
  <c r="M175" i="37" s="1"/>
  <c r="R174" i="37"/>
  <c r="M174" i="37" s="1"/>
  <c r="S173" i="37"/>
  <c r="M173" i="37" s="1"/>
  <c r="R172" i="37"/>
  <c r="M172" i="37" s="1"/>
  <c r="R171" i="37"/>
  <c r="M171" i="37" s="1"/>
  <c r="R170" i="37"/>
  <c r="M170" i="37" s="1"/>
  <c r="R169" i="37"/>
  <c r="M169" i="37" s="1"/>
  <c r="S168" i="37"/>
  <c r="M168" i="37" s="1"/>
  <c r="R167" i="37"/>
  <c r="M167" i="37" s="1"/>
  <c r="R166" i="37"/>
  <c r="M166" i="37" s="1"/>
  <c r="R165" i="37"/>
  <c r="M165" i="37" s="1"/>
  <c r="R164" i="37"/>
  <c r="M164" i="37" s="1"/>
  <c r="R163" i="37"/>
  <c r="M163" i="37" s="1"/>
  <c r="R162" i="37"/>
  <c r="M162" i="37" s="1"/>
  <c r="R161" i="37"/>
  <c r="M161" i="37" s="1"/>
  <c r="R160" i="37"/>
  <c r="M160" i="37" s="1"/>
  <c r="R159" i="37"/>
  <c r="M159" i="37" s="1"/>
  <c r="R158" i="37"/>
  <c r="M158" i="37" s="1"/>
  <c r="R157" i="37"/>
  <c r="M157" i="37" s="1"/>
  <c r="R156" i="37"/>
  <c r="M156" i="37" s="1"/>
  <c r="R155" i="37"/>
  <c r="M155" i="37" s="1"/>
  <c r="R154" i="37"/>
  <c r="M154" i="37" s="1"/>
  <c r="R153" i="37"/>
  <c r="M153" i="37" s="1"/>
  <c r="R152" i="37"/>
  <c r="M152" i="37" s="1"/>
  <c r="R146" i="37"/>
  <c r="M146" i="37" s="1"/>
  <c r="R145" i="37"/>
  <c r="M145" i="37" s="1"/>
  <c r="M144" i="37" s="1"/>
  <c r="H144" i="37" s="1"/>
  <c r="R142" i="37"/>
  <c r="M142" i="37" s="1"/>
  <c r="S141" i="37"/>
  <c r="M141" i="37" s="1"/>
  <c r="R140" i="37"/>
  <c r="M140" i="37"/>
  <c r="R139" i="37"/>
  <c r="M139" i="37"/>
  <c r="S137" i="37"/>
  <c r="M137" i="37" s="1"/>
  <c r="M136" i="37" s="1"/>
  <c r="R133" i="37"/>
  <c r="M133" i="37" s="1"/>
  <c r="S132" i="37"/>
  <c r="M132" i="37" s="1"/>
  <c r="S131" i="37"/>
  <c r="M131" i="37" s="1"/>
  <c r="S130" i="37"/>
  <c r="M130" i="37" s="1"/>
  <c r="S129" i="37"/>
  <c r="M129" i="37" s="1"/>
  <c r="R127" i="37"/>
  <c r="M127" i="37" s="1"/>
  <c r="R125" i="37"/>
  <c r="M125" i="37" s="1"/>
  <c r="R124" i="37"/>
  <c r="M124" i="37" s="1"/>
  <c r="R123" i="37"/>
  <c r="M123" i="37" s="1"/>
  <c r="R122" i="37"/>
  <c r="M122" i="37" s="1"/>
  <c r="R120" i="37"/>
  <c r="M120" i="37" s="1"/>
  <c r="R119" i="37"/>
  <c r="M119" i="37"/>
  <c r="R116" i="37"/>
  <c r="M116" i="37" s="1"/>
  <c r="R115" i="37"/>
  <c r="M115" i="37" s="1"/>
  <c r="R114" i="37"/>
  <c r="M114" i="37"/>
  <c r="R113" i="37"/>
  <c r="M113" i="37" s="1"/>
  <c r="R112" i="37"/>
  <c r="M112" i="37" s="1"/>
  <c r="R111" i="37"/>
  <c r="M111" i="37" s="1"/>
  <c r="R110" i="37"/>
  <c r="M110" i="37"/>
  <c r="R109" i="37"/>
  <c r="M109" i="37" s="1"/>
  <c r="S106" i="37"/>
  <c r="M105" i="37" s="1"/>
  <c r="R104" i="37"/>
  <c r="M104" i="37" s="1"/>
  <c r="R103" i="37"/>
  <c r="M103" i="37" s="1"/>
  <c r="R102" i="37"/>
  <c r="M102" i="37"/>
  <c r="R101" i="37"/>
  <c r="M101" i="37" s="1"/>
  <c r="R98" i="37"/>
  <c r="M98" i="37" s="1"/>
  <c r="M97" i="37"/>
  <c r="R95" i="37"/>
  <c r="M95" i="37" s="1"/>
  <c r="R93" i="37"/>
  <c r="M93" i="37"/>
  <c r="R92" i="37"/>
  <c r="M92" i="37"/>
  <c r="R91" i="37"/>
  <c r="M91" i="37" s="1"/>
  <c r="R90" i="37"/>
  <c r="M90" i="37"/>
  <c r="R89" i="37"/>
  <c r="M89" i="37" s="1"/>
  <c r="R88" i="37"/>
  <c r="M88" i="37" s="1"/>
  <c r="R87" i="37"/>
  <c r="M87" i="37" s="1"/>
  <c r="R86" i="37"/>
  <c r="M86" i="37" s="1"/>
  <c r="R85" i="37"/>
  <c r="M85" i="37" s="1"/>
  <c r="R84" i="37"/>
  <c r="M84" i="37"/>
  <c r="R83" i="37"/>
  <c r="M83" i="37" s="1"/>
  <c r="R82" i="37"/>
  <c r="M82" i="37"/>
  <c r="R81" i="37"/>
  <c r="M81" i="37"/>
  <c r="R79" i="37"/>
  <c r="M79" i="37" s="1"/>
  <c r="R78" i="37"/>
  <c r="M78" i="37" s="1"/>
  <c r="S77" i="37"/>
  <c r="M77" i="37" s="1"/>
  <c r="R76" i="37"/>
  <c r="M76" i="37" s="1"/>
  <c r="R75" i="37"/>
  <c r="M75" i="37" s="1"/>
  <c r="R74" i="37"/>
  <c r="M74" i="37" s="1"/>
  <c r="R73" i="37"/>
  <c r="M73" i="37" s="1"/>
  <c r="R72" i="37"/>
  <c r="M72" i="37"/>
  <c r="R71" i="37"/>
  <c r="M71" i="37" s="1"/>
  <c r="R70" i="37"/>
  <c r="M70" i="37" s="1"/>
  <c r="R65" i="37"/>
  <c r="M65" i="37" s="1"/>
  <c r="S64" i="37"/>
  <c r="M64" i="37" s="1"/>
  <c r="M63" i="37" s="1"/>
  <c r="M62" i="37" s="1"/>
  <c r="H62" i="37" s="1"/>
  <c r="J62" i="37" s="1"/>
  <c r="R61" i="37"/>
  <c r="M61" i="37" s="1"/>
  <c r="R60" i="37"/>
  <c r="M60" i="37" s="1"/>
  <c r="R59" i="37"/>
  <c r="M59" i="37" s="1"/>
  <c r="O57" i="37"/>
  <c r="R57" i="37" s="1"/>
  <c r="M57" i="37" s="1"/>
  <c r="T56" i="37"/>
  <c r="M56" i="37" s="1"/>
  <c r="T55" i="37"/>
  <c r="M55" i="37" s="1"/>
  <c r="T54" i="37"/>
  <c r="M54" i="37" s="1"/>
  <c r="R52" i="37"/>
  <c r="M52" i="37" s="1"/>
  <c r="R51" i="37"/>
  <c r="M51" i="37"/>
  <c r="R49" i="37"/>
  <c r="M49" i="37" s="1"/>
  <c r="R48" i="37"/>
  <c r="M48" i="37" s="1"/>
  <c r="R47" i="37"/>
  <c r="M47" i="37" s="1"/>
  <c r="R46" i="37"/>
  <c r="M46" i="37" s="1"/>
  <c r="R45" i="37"/>
  <c r="M45" i="37" s="1"/>
  <c r="M44" i="37" s="1"/>
  <c r="R39" i="37"/>
  <c r="M39" i="37"/>
  <c r="R38" i="37"/>
  <c r="M38" i="37"/>
  <c r="R37" i="37"/>
  <c r="M37" i="37" s="1"/>
  <c r="O36" i="37"/>
  <c r="O41" i="37" s="1"/>
  <c r="R41" i="37" s="1"/>
  <c r="M41" i="37" s="1"/>
  <c r="O31" i="37"/>
  <c r="R31" i="37" s="1"/>
  <c r="M31" i="37" s="1"/>
  <c r="T30" i="37"/>
  <c r="M30" i="37" s="1"/>
  <c r="T29" i="37"/>
  <c r="M29" i="37" s="1"/>
  <c r="T28" i="37"/>
  <c r="M28" i="37"/>
  <c r="M27" i="37" s="1"/>
  <c r="R26" i="37"/>
  <c r="M26" i="37" s="1"/>
  <c r="R25" i="37"/>
  <c r="M25" i="37" s="1"/>
  <c r="R24" i="37"/>
  <c r="M24" i="37" s="1"/>
  <c r="R23" i="37"/>
  <c r="M23" i="37" s="1"/>
  <c r="R22" i="37"/>
  <c r="M22" i="37" s="1"/>
  <c r="R17" i="37"/>
  <c r="M17" i="37" s="1"/>
  <c r="R16" i="37"/>
  <c r="M16" i="37" s="1"/>
  <c r="O15" i="37"/>
  <c r="O34" i="37" s="1"/>
  <c r="R34" i="37" s="1"/>
  <c r="M34" i="37" s="1"/>
  <c r="O14" i="37"/>
  <c r="O33" i="37" s="1"/>
  <c r="R33" i="37" s="1"/>
  <c r="M33" i="37" s="1"/>
  <c r="M32" i="37" s="1"/>
  <c r="I6" i="37"/>
  <c r="I5" i="37" s="1"/>
  <c r="M106" i="37" l="1"/>
  <c r="H232" i="37"/>
  <c r="J232" i="37" s="1"/>
  <c r="M128" i="37"/>
  <c r="M126" i="37" s="1"/>
  <c r="H126" i="37" s="1"/>
  <c r="J126" i="37" s="1"/>
  <c r="M50" i="37"/>
  <c r="M80" i="37"/>
  <c r="O20" i="37"/>
  <c r="R20" i="37" s="1"/>
  <c r="M20" i="37" s="1"/>
  <c r="M96" i="37"/>
  <c r="H96" i="37" s="1"/>
  <c r="J96" i="37" s="1"/>
  <c r="M138" i="37"/>
  <c r="M181" i="37"/>
  <c r="H181" i="37" s="1"/>
  <c r="M108" i="37"/>
  <c r="M107" i="37" s="1"/>
  <c r="H107" i="37" s="1"/>
  <c r="J107" i="37" s="1"/>
  <c r="J236" i="37"/>
  <c r="H235" i="37"/>
  <c r="J235" i="37" s="1"/>
  <c r="H143" i="37"/>
  <c r="J143" i="37" s="1"/>
  <c r="J144" i="37"/>
  <c r="M21" i="37"/>
  <c r="M69" i="37"/>
  <c r="M68" i="37" s="1"/>
  <c r="H68" i="37" s="1"/>
  <c r="M53" i="37"/>
  <c r="M100" i="37"/>
  <c r="M99" i="37" s="1"/>
  <c r="H99" i="37" s="1"/>
  <c r="J99" i="37" s="1"/>
  <c r="M151" i="37"/>
  <c r="M150" i="37" s="1"/>
  <c r="H150" i="37" s="1"/>
  <c r="J244" i="37"/>
  <c r="H243" i="37"/>
  <c r="M135" i="37"/>
  <c r="H135" i="37" s="1"/>
  <c r="H190" i="37"/>
  <c r="J199" i="37"/>
  <c r="M121" i="37"/>
  <c r="O19" i="37"/>
  <c r="R19" i="37" s="1"/>
  <c r="M19" i="37" s="1"/>
  <c r="O42" i="37"/>
  <c r="R42" i="37" s="1"/>
  <c r="M42" i="37" s="1"/>
  <c r="R14" i="37"/>
  <c r="M14" i="37" s="1"/>
  <c r="R36" i="37"/>
  <c r="M36" i="37" s="1"/>
  <c r="R15" i="37"/>
  <c r="M15" i="37" s="1"/>
  <c r="O58" i="37"/>
  <c r="R58" i="37" s="1"/>
  <c r="M58" i="37" s="1"/>
  <c r="O43" i="37"/>
  <c r="R43" i="37" s="1"/>
  <c r="M43" i="37" s="1"/>
  <c r="M18" i="37" l="1"/>
  <c r="M94" i="37"/>
  <c r="H94" i="37" s="1"/>
  <c r="J94" i="37" s="1"/>
  <c r="M40" i="37"/>
  <c r="M35" i="37"/>
  <c r="M13" i="37"/>
  <c r="M12" i="37" s="1"/>
  <c r="M11" i="37" s="1"/>
  <c r="J150" i="37"/>
  <c r="H149" i="37"/>
  <c r="H189" i="37"/>
  <c r="J190" i="37"/>
  <c r="J135" i="37"/>
  <c r="H134" i="37"/>
  <c r="J134" i="37" s="1"/>
  <c r="J68" i="37"/>
  <c r="H242" i="37"/>
  <c r="J243" i="37"/>
  <c r="J181" i="37"/>
  <c r="H180" i="37"/>
  <c r="H148" i="37" l="1"/>
  <c r="J149" i="37"/>
  <c r="J242" i="37"/>
  <c r="H241" i="37"/>
  <c r="O118" i="37"/>
  <c r="R118" i="37" s="1"/>
  <c r="M118" i="37" s="1"/>
  <c r="M117" i="37" s="1"/>
  <c r="H117" i="37" s="1"/>
  <c r="H11" i="37"/>
  <c r="J189" i="37"/>
  <c r="H188" i="37"/>
  <c r="J188" i="37" s="1"/>
  <c r="H187" i="37"/>
  <c r="J187" i="37" s="1"/>
  <c r="J180" i="37"/>
  <c r="H179" i="37"/>
  <c r="H178" i="37" l="1"/>
  <c r="J178" i="37" s="1"/>
  <c r="J179" i="37"/>
  <c r="J11" i="37"/>
  <c r="H10" i="37"/>
  <c r="J117" i="37"/>
  <c r="H67" i="37"/>
  <c r="J241" i="37"/>
  <c r="J148" i="37"/>
  <c r="H147" i="37"/>
  <c r="J147" i="37" s="1"/>
  <c r="J67" i="37" l="1"/>
  <c r="H66" i="37"/>
  <c r="J66" i="37" s="1"/>
  <c r="J10" i="37"/>
  <c r="H9" i="37"/>
  <c r="J9" i="37" l="1"/>
  <c r="H8" i="37"/>
  <c r="H7" i="37" l="1"/>
  <c r="J8" i="37"/>
  <c r="H6" i="37" l="1"/>
  <c r="J7" i="37"/>
  <c r="H5" i="37" l="1"/>
  <c r="J5" i="37" s="1"/>
  <c r="J6" i="37"/>
  <c r="M315" i="38" l="1"/>
  <c r="M312" i="38" s="1"/>
  <c r="H312" i="38" s="1"/>
  <c r="J312" i="38" s="1"/>
  <c r="M300" i="36" l="1"/>
  <c r="H300" i="36" s="1"/>
  <c r="H276" i="36"/>
  <c r="M274" i="36"/>
  <c r="AB272" i="36"/>
  <c r="M271" i="36"/>
  <c r="H271" i="36" s="1"/>
  <c r="H83" i="29" s="1"/>
  <c r="M268" i="36"/>
  <c r="H268" i="36"/>
  <c r="M267" i="36"/>
  <c r="H267" i="36"/>
  <c r="AB266" i="36"/>
  <c r="S266" i="36"/>
  <c r="AB265" i="36"/>
  <c r="M264" i="36"/>
  <c r="H264" i="36" s="1"/>
  <c r="H79" i="29" s="1"/>
  <c r="AB262" i="36"/>
  <c r="S262" i="36"/>
  <c r="M261" i="36"/>
  <c r="H261" i="36"/>
  <c r="J261" i="36" s="1"/>
  <c r="AB260" i="36"/>
  <c r="AB259" i="36"/>
  <c r="AB258" i="36"/>
  <c r="AB257" i="36"/>
  <c r="AB256" i="36"/>
  <c r="S255" i="36"/>
  <c r="M255" i="36"/>
  <c r="H255" i="36" s="1"/>
  <c r="J255" i="36" s="1"/>
  <c r="AB253" i="36"/>
  <c r="M252" i="36"/>
  <c r="M250" i="36" s="1"/>
  <c r="H250" i="36" s="1"/>
  <c r="AB251" i="36"/>
  <c r="AB249" i="36"/>
  <c r="AB248" i="36"/>
  <c r="U248" i="36"/>
  <c r="AB247" i="36"/>
  <c r="U247" i="36"/>
  <c r="U246" i="36"/>
  <c r="M246" i="36"/>
  <c r="H246" i="36" s="1"/>
  <c r="J246" i="36" s="1"/>
  <c r="AB245" i="36"/>
  <c r="AB244" i="36"/>
  <c r="AB243" i="36"/>
  <c r="AB242" i="36"/>
  <c r="AB241" i="36"/>
  <c r="AB240" i="36"/>
  <c r="AB239" i="36"/>
  <c r="M238" i="36"/>
  <c r="H238" i="36" s="1"/>
  <c r="J238" i="36" s="1"/>
  <c r="AB237" i="36"/>
  <c r="M236" i="36"/>
  <c r="H236" i="36" s="1"/>
  <c r="J236" i="36" s="1"/>
  <c r="AB234" i="36"/>
  <c r="AA234" i="36"/>
  <c r="AB233" i="36"/>
  <c r="AA233" i="36"/>
  <c r="AB232" i="36"/>
  <c r="AA232" i="36"/>
  <c r="AB231" i="36"/>
  <c r="AA231" i="36"/>
  <c r="AB230" i="36"/>
  <c r="AA230" i="36"/>
  <c r="U230" i="36"/>
  <c r="AB229" i="36"/>
  <c r="AA229" i="36"/>
  <c r="R229" i="36"/>
  <c r="T229" i="36" s="1"/>
  <c r="P228" i="36"/>
  <c r="AB228" i="36"/>
  <c r="AA228" i="36"/>
  <c r="M227" i="36"/>
  <c r="H227" i="36" s="1"/>
  <c r="J227" i="36" s="1"/>
  <c r="R226" i="36"/>
  <c r="T226" i="36" s="1"/>
  <c r="M225" i="36"/>
  <c r="AB224" i="36"/>
  <c r="AB223" i="36"/>
  <c r="S223" i="36"/>
  <c r="AB222" i="36"/>
  <c r="S222" i="36"/>
  <c r="M221" i="36"/>
  <c r="AB220" i="36"/>
  <c r="AB219" i="36"/>
  <c r="S219" i="36"/>
  <c r="AB217" i="36"/>
  <c r="S217" i="36"/>
  <c r="AB216" i="36"/>
  <c r="S216" i="36"/>
  <c r="M215" i="36"/>
  <c r="R214" i="36"/>
  <c r="I212" i="36"/>
  <c r="M150" i="36"/>
  <c r="H150" i="36" s="1"/>
  <c r="J150" i="36" s="1"/>
  <c r="R150" i="36"/>
  <c r="N119" i="36"/>
  <c r="N118" i="36"/>
  <c r="N117" i="36"/>
  <c r="N116" i="36"/>
  <c r="M115" i="36"/>
  <c r="M114" i="36" s="1"/>
  <c r="H114" i="36" s="1"/>
  <c r="J114" i="36" s="1"/>
  <c r="N23" i="36"/>
  <c r="M22" i="36"/>
  <c r="N21" i="36"/>
  <c r="N20" i="36"/>
  <c r="N19" i="36"/>
  <c r="N18" i="36"/>
  <c r="M17" i="36"/>
  <c r="N16" i="36"/>
  <c r="N15" i="36"/>
  <c r="N14" i="36"/>
  <c r="N13" i="36"/>
  <c r="M12" i="36"/>
  <c r="M214" i="36" l="1"/>
  <c r="H214" i="36" s="1"/>
  <c r="J214" i="36" s="1"/>
  <c r="J267" i="36"/>
  <c r="H80" i="29"/>
  <c r="J268" i="36"/>
  <c r="H81" i="29"/>
  <c r="J276" i="36"/>
  <c r="H86" i="29"/>
  <c r="M11" i="36"/>
  <c r="H11" i="36" s="1"/>
  <c r="J11" i="36" s="1"/>
  <c r="J300" i="36"/>
  <c r="H299" i="36"/>
  <c r="J271" i="36"/>
  <c r="H270" i="36"/>
  <c r="J250" i="36"/>
  <c r="H226" i="36"/>
  <c r="J264" i="36"/>
  <c r="H263" i="36"/>
  <c r="H275" i="36"/>
  <c r="H85" i="29" s="1"/>
  <c r="H84" i="29" s="1"/>
  <c r="J270" i="36" l="1"/>
  <c r="H82" i="29"/>
  <c r="J263" i="36"/>
  <c r="H78" i="29"/>
  <c r="H213" i="36"/>
  <c r="H212" i="36" s="1"/>
  <c r="J299" i="36"/>
  <c r="H298" i="36"/>
  <c r="J226" i="36"/>
  <c r="H225" i="36"/>
  <c r="J225" i="36" s="1"/>
  <c r="J213" i="36"/>
  <c r="M213" i="36"/>
  <c r="M212" i="36" s="1"/>
  <c r="J275" i="36"/>
  <c r="H274" i="36"/>
  <c r="J298" i="36" l="1"/>
  <c r="H297" i="36"/>
  <c r="J274" i="36"/>
  <c r="H273" i="36"/>
  <c r="J273" i="36" s="1"/>
  <c r="J212" i="36"/>
  <c r="H211" i="36"/>
  <c r="H296" i="36" l="1"/>
  <c r="J296" i="36" s="1"/>
  <c r="J297" i="36"/>
  <c r="H210" i="36"/>
  <c r="J210" i="36" s="1"/>
  <c r="J211" i="36"/>
  <c r="I194" i="39" l="1"/>
  <c r="I193" i="39" s="1"/>
  <c r="I192" i="39" s="1"/>
  <c r="M193" i="39"/>
  <c r="M187" i="39"/>
  <c r="P176" i="39"/>
  <c r="M176" i="39" s="1"/>
  <c r="P175" i="39"/>
  <c r="M175" i="39" s="1"/>
  <c r="P174" i="39"/>
  <c r="M174" i="39" s="1"/>
  <c r="P173" i="39"/>
  <c r="O172" i="39" s="1"/>
  <c r="P171" i="39"/>
  <c r="O171" i="39" s="1"/>
  <c r="M171" i="39" s="1"/>
  <c r="P170" i="39"/>
  <c r="M170" i="39" s="1"/>
  <c r="P169" i="39"/>
  <c r="M169" i="39"/>
  <c r="I140" i="39"/>
  <c r="P139" i="39"/>
  <c r="O139" i="39"/>
  <c r="J139" i="39"/>
  <c r="H139" i="39"/>
  <c r="O138" i="39"/>
  <c r="J138" i="39"/>
  <c r="H138" i="39"/>
  <c r="I120" i="39"/>
  <c r="I119" i="39" s="1"/>
  <c r="I118" i="39" s="1"/>
  <c r="P117" i="39"/>
  <c r="O116" i="39" s="1"/>
  <c r="O115" i="39" s="1"/>
  <c r="I115" i="39"/>
  <c r="P114" i="39"/>
  <c r="M114" i="39"/>
  <c r="P113" i="39"/>
  <c r="O112" i="39" s="1"/>
  <c r="H112" i="39" s="1"/>
  <c r="M113" i="39"/>
  <c r="M112" i="39" s="1"/>
  <c r="I111" i="39"/>
  <c r="I10" i="39"/>
  <c r="I9" i="39" s="1"/>
  <c r="I8" i="39" s="1"/>
  <c r="M168" i="39" l="1"/>
  <c r="M117" i="39"/>
  <c r="M116" i="39" s="1"/>
  <c r="H116" i="39" s="1"/>
  <c r="O168" i="39"/>
  <c r="I178" i="39"/>
  <c r="I177" i="39" s="1"/>
  <c r="I7" i="39"/>
  <c r="I6" i="39" s="1"/>
  <c r="I5" i="39" s="1"/>
  <c r="H115" i="39"/>
  <c r="J115" i="39" s="1"/>
  <c r="J116" i="39"/>
  <c r="H120" i="39"/>
  <c r="H111" i="39"/>
  <c r="J111" i="39" s="1"/>
  <c r="J112" i="39"/>
  <c r="O167" i="39"/>
  <c r="H167" i="39" s="1"/>
  <c r="J167" i="39" s="1"/>
  <c r="M173" i="39"/>
  <c r="M172" i="39" s="1"/>
  <c r="M167" i="39" s="1"/>
  <c r="I4" i="39" l="1"/>
  <c r="H10" i="39"/>
  <c r="H188" i="39"/>
  <c r="J120" i="39"/>
  <c r="H194" i="39"/>
  <c r="H140" i="39"/>
  <c r="J140" i="39" s="1"/>
  <c r="H187" i="39" l="1"/>
  <c r="J188" i="39"/>
  <c r="J194" i="39"/>
  <c r="H193" i="39"/>
  <c r="H119" i="39"/>
  <c r="H9" i="39"/>
  <c r="J10" i="39"/>
  <c r="J9" i="39" l="1"/>
  <c r="H8" i="39"/>
  <c r="J119" i="39"/>
  <c r="H118" i="39"/>
  <c r="J118" i="39" s="1"/>
  <c r="H192" i="39"/>
  <c r="J192" i="39" s="1"/>
  <c r="J193" i="39"/>
  <c r="J187" i="39"/>
  <c r="H186" i="39"/>
  <c r="J186" i="39" l="1"/>
  <c r="H7" i="39"/>
  <c r="J8" i="39"/>
  <c r="H6" i="39" l="1"/>
  <c r="J7" i="39"/>
  <c r="H178" i="39"/>
  <c r="J179" i="39"/>
  <c r="H177" i="39" l="1"/>
  <c r="J177" i="39" s="1"/>
  <c r="J178" i="39"/>
  <c r="J6" i="39"/>
  <c r="H5" i="39"/>
  <c r="J5" i="39" l="1"/>
  <c r="H4" i="39"/>
  <c r="J4" i="39" s="1"/>
  <c r="M466" i="31" l="1"/>
  <c r="M314" i="31"/>
  <c r="M300" i="31"/>
  <c r="M275" i="31"/>
  <c r="T60" i="31"/>
  <c r="M60" i="31" s="1"/>
  <c r="T57" i="31"/>
  <c r="M57" i="31" s="1"/>
  <c r="T45" i="31"/>
  <c r="M45" i="31" s="1"/>
  <c r="T18" i="31"/>
  <c r="M18" i="31" s="1"/>
  <c r="T101" i="31" l="1"/>
  <c r="M101" i="31" s="1"/>
  <c r="T100" i="31"/>
  <c r="M100" i="31" s="1"/>
  <c r="T99" i="31"/>
  <c r="M99" i="31" s="1"/>
  <c r="T98" i="31"/>
  <c r="M98" i="31" s="1"/>
  <c r="T59" i="31" l="1"/>
  <c r="M59" i="31" s="1"/>
  <c r="T56" i="31"/>
  <c r="M56" i="31" s="1"/>
  <c r="M55" i="31" s="1"/>
  <c r="T53" i="31"/>
  <c r="M53" i="31" s="1"/>
  <c r="T13" i="31"/>
  <c r="M13" i="31" s="1"/>
  <c r="I316" i="29" l="1"/>
  <c r="I315" i="29"/>
  <c r="I314" i="29"/>
  <c r="I313" i="29"/>
  <c r="I312" i="29"/>
  <c r="I311" i="29"/>
  <c r="I310" i="29"/>
  <c r="I309" i="29" s="1"/>
  <c r="I308" i="29" s="1"/>
  <c r="I307" i="29"/>
  <c r="I304" i="29"/>
  <c r="I297" i="29"/>
  <c r="I293" i="29"/>
  <c r="I292" i="29"/>
  <c r="I291" i="29" s="1"/>
  <c r="I290" i="29"/>
  <c r="I289" i="29"/>
  <c r="I288" i="29" s="1"/>
  <c r="I285" i="29"/>
  <c r="I281" i="29"/>
  <c r="I277" i="29"/>
  <c r="I272" i="29"/>
  <c r="I271" i="29"/>
  <c r="I270" i="29" s="1"/>
  <c r="I269" i="29" s="1"/>
  <c r="I268" i="29"/>
  <c r="I267" i="29"/>
  <c r="I266" i="29" s="1"/>
  <c r="I265" i="29" s="1"/>
  <c r="I264" i="29"/>
  <c r="I255" i="29"/>
  <c r="I254" i="29"/>
  <c r="I253" i="29"/>
  <c r="I252" i="29"/>
  <c r="I251" i="29"/>
  <c r="I250" i="29"/>
  <c r="I249" i="29"/>
  <c r="I248" i="29"/>
  <c r="I247" i="29" s="1"/>
  <c r="I246" i="29"/>
  <c r="I245" i="29"/>
  <c r="I244" i="29"/>
  <c r="I243" i="29"/>
  <c r="I242" i="29"/>
  <c r="I241" i="29"/>
  <c r="I240" i="29"/>
  <c r="I239" i="29"/>
  <c r="I238" i="29"/>
  <c r="I237" i="29"/>
  <c r="I235" i="29"/>
  <c r="I234" i="29"/>
  <c r="I233" i="29"/>
  <c r="I232" i="29"/>
  <c r="I231" i="29"/>
  <c r="I230" i="29"/>
  <c r="I229" i="29"/>
  <c r="I228" i="29"/>
  <c r="I227" i="29"/>
  <c r="I226" i="29"/>
  <c r="I225" i="29"/>
  <c r="I224" i="29"/>
  <c r="I223" i="29"/>
  <c r="I222" i="29"/>
  <c r="I221" i="29"/>
  <c r="I220" i="29"/>
  <c r="I219" i="29"/>
  <c r="I218" i="29"/>
  <c r="I217" i="29"/>
  <c r="I216" i="29"/>
  <c r="I215" i="29"/>
  <c r="I214" i="29"/>
  <c r="I213" i="29"/>
  <c r="I212" i="29"/>
  <c r="I211" i="29"/>
  <c r="I210" i="29"/>
  <c r="I209" i="29"/>
  <c r="I208" i="29"/>
  <c r="I207" i="29"/>
  <c r="I206" i="29"/>
  <c r="I205" i="29"/>
  <c r="I201" i="29"/>
  <c r="I200" i="29"/>
  <c r="I199" i="29"/>
  <c r="I197" i="29"/>
  <c r="I195" i="29"/>
  <c r="I192" i="29"/>
  <c r="I190" i="29"/>
  <c r="I188" i="29"/>
  <c r="I187" i="29"/>
  <c r="I186" i="29"/>
  <c r="I185" i="29"/>
  <c r="I184" i="29"/>
  <c r="I183" i="29"/>
  <c r="I177" i="29"/>
  <c r="I176" i="29"/>
  <c r="I173" i="29"/>
  <c r="I172" i="29"/>
  <c r="I171" i="29"/>
  <c r="I170" i="29"/>
  <c r="I169" i="29"/>
  <c r="I168" i="29"/>
  <c r="I167" i="29"/>
  <c r="I166" i="29"/>
  <c r="I165" i="29"/>
  <c r="I162" i="29"/>
  <c r="I161" i="29"/>
  <c r="I159" i="29" s="1"/>
  <c r="I158" i="29"/>
  <c r="I157" i="29"/>
  <c r="I156" i="29" s="1"/>
  <c r="I155" i="29"/>
  <c r="I154" i="29"/>
  <c r="I153" i="29"/>
  <c r="I152" i="29"/>
  <c r="I151" i="29"/>
  <c r="I150" i="29"/>
  <c r="I149" i="29"/>
  <c r="I148" i="29"/>
  <c r="I147" i="29"/>
  <c r="I146" i="29"/>
  <c r="I145" i="29"/>
  <c r="I144" i="29"/>
  <c r="I143" i="29"/>
  <c r="I142" i="29"/>
  <c r="I141" i="29"/>
  <c r="I137" i="29"/>
  <c r="I135" i="29"/>
  <c r="I132" i="29"/>
  <c r="I131" i="29"/>
  <c r="I130" i="29"/>
  <c r="I129" i="29"/>
  <c r="I128" i="29"/>
  <c r="I127" i="29"/>
  <c r="I123" i="29"/>
  <c r="I121" i="29"/>
  <c r="I120" i="29"/>
  <c r="I117" i="29"/>
  <c r="I116" i="29"/>
  <c r="I115" i="29"/>
  <c r="I114" i="29"/>
  <c r="I113" i="29"/>
  <c r="I111" i="29"/>
  <c r="I107" i="29"/>
  <c r="I106" i="29"/>
  <c r="I105" i="29"/>
  <c r="I104" i="29"/>
  <c r="I103" i="29"/>
  <c r="I101" i="29"/>
  <c r="I100" i="29"/>
  <c r="I99" i="29"/>
  <c r="I98" i="29"/>
  <c r="I97" i="29"/>
  <c r="I96" i="29"/>
  <c r="I95" i="29"/>
  <c r="I94" i="29"/>
  <c r="I93" i="29"/>
  <c r="I92" i="29"/>
  <c r="I91" i="29"/>
  <c r="I77" i="29"/>
  <c r="I76" i="29"/>
  <c r="I75" i="29"/>
  <c r="I74" i="29"/>
  <c r="I73" i="29"/>
  <c r="I72" i="29"/>
  <c r="I71" i="29"/>
  <c r="I70" i="29"/>
  <c r="I69" i="29"/>
  <c r="I68" i="29"/>
  <c r="I65" i="29"/>
  <c r="I62" i="29"/>
  <c r="I60" i="29"/>
  <c r="I58" i="29"/>
  <c r="I57" i="29"/>
  <c r="I56" i="29"/>
  <c r="I55" i="29"/>
  <c r="I54" i="29"/>
  <c r="I53" i="29"/>
  <c r="I52" i="29"/>
  <c r="I50" i="29"/>
  <c r="I46" i="29"/>
  <c r="I43" i="29"/>
  <c r="I42" i="29"/>
  <c r="I41" i="29"/>
  <c r="I40" i="29"/>
  <c r="I39" i="29"/>
  <c r="I38" i="29"/>
  <c r="I37" i="29"/>
  <c r="I36" i="29"/>
  <c r="I34" i="29"/>
  <c r="I30" i="29"/>
  <c r="I27" i="29"/>
  <c r="I26" i="29"/>
  <c r="I25" i="29"/>
  <c r="I23" i="29"/>
  <c r="I21" i="29"/>
  <c r="I20" i="29"/>
  <c r="I19" i="29"/>
  <c r="I18" i="29"/>
  <c r="I17" i="29"/>
  <c r="I16" i="29"/>
  <c r="I15" i="29"/>
  <c r="I14" i="29"/>
  <c r="I12" i="29"/>
  <c r="H272" i="29"/>
  <c r="H271" i="29"/>
  <c r="J271" i="29" l="1"/>
  <c r="J272" i="29"/>
  <c r="I102" i="29"/>
  <c r="I164" i="29"/>
  <c r="I163" i="29" s="1"/>
  <c r="I140" i="29"/>
  <c r="I139" i="29" s="1"/>
  <c r="I287" i="29"/>
  <c r="H270" i="29"/>
  <c r="H269" i="29" s="1"/>
  <c r="I236" i="29"/>
  <c r="I204" i="29"/>
  <c r="I203" i="29" s="1"/>
  <c r="I202" i="29" s="1"/>
  <c r="I67" i="29"/>
  <c r="I66" i="29" s="1"/>
  <c r="J270" i="29"/>
  <c r="J269" i="29"/>
  <c r="H77" i="29"/>
  <c r="J77" i="29" s="1"/>
  <c r="H76" i="29"/>
  <c r="J76" i="29" s="1"/>
  <c r="H75" i="29"/>
  <c r="J75" i="29" s="1"/>
  <c r="H74" i="29"/>
  <c r="J74" i="29" s="1"/>
  <c r="H73" i="29"/>
  <c r="J73" i="29" s="1"/>
  <c r="H72" i="29"/>
  <c r="H71" i="29"/>
  <c r="J71" i="29" s="1"/>
  <c r="H70" i="29"/>
  <c r="J70" i="29" s="1"/>
  <c r="H69" i="29"/>
  <c r="J69" i="29" s="1"/>
  <c r="H68" i="29"/>
  <c r="J86" i="29"/>
  <c r="J85" i="29"/>
  <c r="J84" i="29"/>
  <c r="J83" i="29"/>
  <c r="J82" i="29"/>
  <c r="J81" i="29"/>
  <c r="J80" i="29"/>
  <c r="J79" i="29"/>
  <c r="J78" i="29"/>
  <c r="J72" i="29"/>
  <c r="J68" i="29" l="1"/>
  <c r="H67" i="29"/>
  <c r="K36" i="24"/>
  <c r="F36" i="24" s="1"/>
  <c r="H36" i="24" s="1"/>
  <c r="E9" i="28"/>
  <c r="J67" i="29" l="1"/>
  <c r="H66" i="29"/>
  <c r="D9" i="28" l="1"/>
  <c r="F9" i="28" s="1"/>
  <c r="K14" i="24"/>
  <c r="F14" i="24" s="1"/>
  <c r="H14" i="24" s="1"/>
  <c r="J66" i="29"/>
  <c r="H50" i="29"/>
  <c r="H34" i="29"/>
  <c r="H12" i="29"/>
  <c r="I306" i="29"/>
  <c r="I305" i="29" s="1"/>
  <c r="I198" i="29"/>
  <c r="I194" i="29"/>
  <c r="I191" i="29"/>
  <c r="H190" i="29"/>
  <c r="I189" i="29"/>
  <c r="I182" i="29"/>
  <c r="I179" i="29" l="1"/>
  <c r="I196" i="29"/>
  <c r="I193" i="29" s="1"/>
  <c r="I178" i="29" s="1"/>
  <c r="I138" i="29" s="1"/>
  <c r="H197" i="29"/>
  <c r="I303" i="29"/>
  <c r="I302" i="29" s="1"/>
  <c r="I298" i="29" s="1"/>
  <c r="H192" i="29"/>
  <c r="H183" i="29"/>
  <c r="H307" i="29"/>
  <c r="H304" i="29"/>
  <c r="H199" i="29"/>
  <c r="H195" i="29"/>
  <c r="H187" i="29" l="1"/>
  <c r="H201" i="29"/>
  <c r="H200" i="29"/>
  <c r="H189" i="29"/>
  <c r="H196" i="29"/>
  <c r="H188" i="29"/>
  <c r="H186" i="29"/>
  <c r="H185" i="29"/>
  <c r="H306" i="29"/>
  <c r="H194" i="29"/>
  <c r="H303" i="29"/>
  <c r="H191" i="29" l="1"/>
  <c r="H198" i="29"/>
  <c r="H184" i="29"/>
  <c r="H182" i="29"/>
  <c r="M329" i="38" l="1"/>
  <c r="H329" i="38" s="1"/>
  <c r="H285" i="29" s="1"/>
  <c r="I328" i="38"/>
  <c r="I284" i="29" s="1"/>
  <c r="I283" i="29" s="1"/>
  <c r="I282" i="29" s="1"/>
  <c r="M324" i="38"/>
  <c r="M322" i="38" s="1"/>
  <c r="M323" i="38"/>
  <c r="I321" i="38"/>
  <c r="H277" i="29"/>
  <c r="I311" i="38"/>
  <c r="I276" i="29" s="1"/>
  <c r="I275" i="29" s="1"/>
  <c r="I274" i="29" s="1"/>
  <c r="I136" i="29"/>
  <c r="I134" i="29"/>
  <c r="I133" i="29" s="1"/>
  <c r="H123" i="29"/>
  <c r="I122" i="29"/>
  <c r="H120" i="29"/>
  <c r="I112" i="29"/>
  <c r="H107" i="29"/>
  <c r="H104" i="29"/>
  <c r="H101" i="29"/>
  <c r="H99" i="29"/>
  <c r="H91" i="29"/>
  <c r="H322" i="38" l="1"/>
  <c r="H281" i="29" s="1"/>
  <c r="M101" i="38"/>
  <c r="I327" i="38"/>
  <c r="I326" i="38" s="1"/>
  <c r="I325" i="38" s="1"/>
  <c r="I310" i="38"/>
  <c r="I309" i="38" s="1"/>
  <c r="I308" i="38" s="1"/>
  <c r="H128" i="29"/>
  <c r="H97" i="29"/>
  <c r="H132" i="29"/>
  <c r="H131" i="29"/>
  <c r="H129" i="29"/>
  <c r="I124" i="29"/>
  <c r="H134" i="29"/>
  <c r="I119" i="29"/>
  <c r="I118" i="29" s="1"/>
  <c r="H135" i="29"/>
  <c r="I110" i="29"/>
  <c r="I109" i="29" s="1"/>
  <c r="I320" i="38"/>
  <c r="I319" i="38" s="1"/>
  <c r="I318" i="38" s="1"/>
  <c r="I280" i="29"/>
  <c r="I279" i="29" s="1"/>
  <c r="I278" i="29" s="1"/>
  <c r="I273" i="29" s="1"/>
  <c r="H111" i="29"/>
  <c r="I90" i="29"/>
  <c r="I89" i="29" s="1"/>
  <c r="I88" i="29" s="1"/>
  <c r="I126" i="29"/>
  <c r="I125" i="29" s="1"/>
  <c r="H121" i="29"/>
  <c r="H117" i="29"/>
  <c r="H114" i="29"/>
  <c r="H96" i="29"/>
  <c r="H119" i="29"/>
  <c r="H110" i="29"/>
  <c r="H137" i="29"/>
  <c r="J322" i="38"/>
  <c r="H321" i="38"/>
  <c r="H280" i="29" s="1"/>
  <c r="H93" i="29"/>
  <c r="H311" i="38"/>
  <c r="H276" i="29" s="1"/>
  <c r="H90" i="29"/>
  <c r="H127" i="29"/>
  <c r="H103" i="29"/>
  <c r="J329" i="38"/>
  <c r="H328" i="38"/>
  <c r="H284" i="29" s="1"/>
  <c r="I307" i="38" l="1"/>
  <c r="I306" i="38" s="1"/>
  <c r="I108" i="29"/>
  <c r="H94" i="29"/>
  <c r="I87" i="29"/>
  <c r="H113" i="29"/>
  <c r="I6" i="38"/>
  <c r="I5" i="38" s="1"/>
  <c r="I4" i="38" s="1"/>
  <c r="H116" i="29"/>
  <c r="H130" i="29"/>
  <c r="H105" i="29"/>
  <c r="H115" i="29"/>
  <c r="H95" i="29"/>
  <c r="H100" i="29"/>
  <c r="H98" i="29"/>
  <c r="H122" i="29"/>
  <c r="H106" i="29"/>
  <c r="H126" i="29"/>
  <c r="J311" i="38"/>
  <c r="H310" i="38"/>
  <c r="H92" i="29"/>
  <c r="J328" i="38"/>
  <c r="H327" i="38"/>
  <c r="H320" i="38"/>
  <c r="J321" i="38"/>
  <c r="H112" i="29"/>
  <c r="H136" i="29" l="1"/>
  <c r="H309" i="38"/>
  <c r="J310" i="38"/>
  <c r="H319" i="38"/>
  <c r="J320" i="38"/>
  <c r="J327" i="38"/>
  <c r="H326" i="38"/>
  <c r="J319" i="38" l="1"/>
  <c r="H318" i="38"/>
  <c r="J318" i="38" s="1"/>
  <c r="H308" i="38"/>
  <c r="J309" i="38"/>
  <c r="H325" i="38"/>
  <c r="J325" i="38" s="1"/>
  <c r="J326" i="38"/>
  <c r="H307" i="38" l="1"/>
  <c r="J308" i="38"/>
  <c r="H6" i="38" l="1"/>
  <c r="H5" i="38" s="1"/>
  <c r="J307" i="38"/>
  <c r="H306" i="38"/>
  <c r="J6" i="38" l="1"/>
  <c r="J306" i="38"/>
  <c r="H4" i="38"/>
  <c r="J4" i="38" s="1"/>
  <c r="J5" i="38"/>
  <c r="H258" i="37" l="1"/>
  <c r="H297" i="29" s="1"/>
  <c r="I257" i="37"/>
  <c r="I296" i="29" s="1"/>
  <c r="I295" i="29" s="1"/>
  <c r="I294" i="29" s="1"/>
  <c r="I286" i="29" s="1"/>
  <c r="I256" i="37"/>
  <c r="M255" i="37"/>
  <c r="I255" i="37"/>
  <c r="I254" i="37" s="1"/>
  <c r="R253" i="37"/>
  <c r="M253" i="37" s="1"/>
  <c r="M252" i="37" s="1"/>
  <c r="H252" i="37" s="1"/>
  <c r="H293" i="29" s="1"/>
  <c r="M250" i="37"/>
  <c r="H162" i="29"/>
  <c r="H155" i="29"/>
  <c r="H145" i="29"/>
  <c r="I4" i="37"/>
  <c r="H257" i="37" l="1"/>
  <c r="H147" i="29"/>
  <c r="H153" i="29"/>
  <c r="H177" i="29"/>
  <c r="H146" i="29"/>
  <c r="H143" i="29"/>
  <c r="H290" i="29"/>
  <c r="H158" i="29"/>
  <c r="J257" i="37"/>
  <c r="J258" i="37"/>
  <c r="H170" i="29"/>
  <c r="H169" i="29"/>
  <c r="H167" i="29"/>
  <c r="H173" i="29"/>
  <c r="H171" i="29"/>
  <c r="H168" i="29"/>
  <c r="H165" i="29"/>
  <c r="H166" i="29"/>
  <c r="H161" i="29"/>
  <c r="J252" i="37"/>
  <c r="H251" i="37"/>
  <c r="H292" i="29" s="1"/>
  <c r="H291" i="29" s="1"/>
  <c r="H296" i="29" l="1"/>
  <c r="H256" i="37"/>
  <c r="H157" i="29"/>
  <c r="H148" i="29"/>
  <c r="H149" i="29"/>
  <c r="H151" i="29"/>
  <c r="H289" i="29"/>
  <c r="H152" i="29"/>
  <c r="H176" i="29"/>
  <c r="H154" i="29"/>
  <c r="H172" i="29"/>
  <c r="H250" i="37"/>
  <c r="J251" i="37"/>
  <c r="J256" i="37" l="1"/>
  <c r="H255" i="37"/>
  <c r="H142" i="29"/>
  <c r="H150" i="29"/>
  <c r="H249" i="37"/>
  <c r="J250" i="37"/>
  <c r="H144" i="29"/>
  <c r="J249" i="37" l="1"/>
  <c r="H240" i="37"/>
  <c r="H254" i="37"/>
  <c r="J254" i="37" s="1"/>
  <c r="J255" i="37"/>
  <c r="H141" i="29"/>
  <c r="J240" i="37" l="1"/>
  <c r="H239" i="37"/>
  <c r="J239" i="37" l="1"/>
  <c r="H238" i="37"/>
  <c r="H293" i="36"/>
  <c r="H268" i="29" s="1"/>
  <c r="I291" i="36"/>
  <c r="I290" i="36" s="1"/>
  <c r="I289" i="36" s="1"/>
  <c r="M286" i="36"/>
  <c r="H286" i="36" s="1"/>
  <c r="I285" i="36"/>
  <c r="M207" i="36"/>
  <c r="H207" i="36" s="1"/>
  <c r="I206" i="36"/>
  <c r="I64" i="29" s="1"/>
  <c r="I63" i="29" s="1"/>
  <c r="M205" i="36"/>
  <c r="N203" i="36"/>
  <c r="M202" i="36"/>
  <c r="H202" i="36" s="1"/>
  <c r="H62" i="29" s="1"/>
  <c r="I201" i="36"/>
  <c r="R200" i="36"/>
  <c r="N200" i="36"/>
  <c r="R199" i="36"/>
  <c r="N199" i="36"/>
  <c r="M198" i="36"/>
  <c r="H198" i="36" s="1"/>
  <c r="I197" i="36"/>
  <c r="I59" i="29" s="1"/>
  <c r="O196" i="36"/>
  <c r="N196" i="36"/>
  <c r="M195" i="36"/>
  <c r="H195" i="36" s="1"/>
  <c r="S190" i="36"/>
  <c r="M190" i="36"/>
  <c r="H190" i="36" s="1"/>
  <c r="M185" i="36"/>
  <c r="H185" i="36" s="1"/>
  <c r="N184" i="36"/>
  <c r="U183" i="36"/>
  <c r="N183" i="36"/>
  <c r="N182" i="36"/>
  <c r="N181" i="36"/>
  <c r="U180" i="36"/>
  <c r="N180" i="36"/>
  <c r="U179" i="36"/>
  <c r="N179" i="36"/>
  <c r="U178" i="36"/>
  <c r="M178" i="36"/>
  <c r="H178" i="36" s="1"/>
  <c r="U170" i="36"/>
  <c r="U172" i="36" s="1"/>
  <c r="M170" i="36"/>
  <c r="H170" i="36" s="1"/>
  <c r="N169" i="36"/>
  <c r="M168" i="36"/>
  <c r="H168" i="36" s="1"/>
  <c r="M160" i="36"/>
  <c r="H160" i="36" s="1"/>
  <c r="H52" i="29" s="1"/>
  <c r="R159" i="36"/>
  <c r="T159" i="36" s="1"/>
  <c r="I159" i="36"/>
  <c r="I51" i="29" s="1"/>
  <c r="M158" i="36"/>
  <c r="I149" i="36"/>
  <c r="I49" i="29" s="1"/>
  <c r="M144" i="36"/>
  <c r="M143" i="36" s="1"/>
  <c r="I143" i="36"/>
  <c r="I45" i="29" s="1"/>
  <c r="I44" i="29" s="1"/>
  <c r="M142" i="36"/>
  <c r="M139" i="36"/>
  <c r="H139" i="36" s="1"/>
  <c r="H43" i="29" s="1"/>
  <c r="M137" i="36"/>
  <c r="I137" i="36"/>
  <c r="N136" i="36"/>
  <c r="M135" i="36"/>
  <c r="M134" i="36" s="1"/>
  <c r="N132" i="36"/>
  <c r="N131" i="36"/>
  <c r="M130" i="36"/>
  <c r="H130" i="36" s="1"/>
  <c r="N129" i="36"/>
  <c r="N128" i="36"/>
  <c r="M126" i="36"/>
  <c r="H126" i="36" s="1"/>
  <c r="N125" i="36"/>
  <c r="M124" i="36"/>
  <c r="H124" i="36" s="1"/>
  <c r="M122" i="36"/>
  <c r="H122" i="36" s="1"/>
  <c r="H36" i="29" s="1"/>
  <c r="I121" i="36"/>
  <c r="I35" i="29" s="1"/>
  <c r="M120" i="36"/>
  <c r="I113" i="36"/>
  <c r="I112" i="36" s="1"/>
  <c r="M112" i="36"/>
  <c r="M107" i="36"/>
  <c r="M106" i="36" s="1"/>
  <c r="I106" i="36"/>
  <c r="I29" i="29" s="1"/>
  <c r="I28" i="29" s="1"/>
  <c r="M105" i="36"/>
  <c r="I105" i="36"/>
  <c r="I104" i="36"/>
  <c r="N103" i="36"/>
  <c r="M102" i="36"/>
  <c r="H102" i="36" s="1"/>
  <c r="H27" i="29" s="1"/>
  <c r="M100" i="36"/>
  <c r="I100" i="36"/>
  <c r="N99" i="36"/>
  <c r="N98" i="36"/>
  <c r="M97" i="36"/>
  <c r="M96" i="36" s="1"/>
  <c r="H96" i="36" s="1"/>
  <c r="H25" i="29" s="1"/>
  <c r="I95" i="36"/>
  <c r="I24" i="29" s="1"/>
  <c r="H94" i="36"/>
  <c r="H93" i="36" s="1"/>
  <c r="I93" i="36"/>
  <c r="I22" i="29" s="1"/>
  <c r="N92" i="36"/>
  <c r="N91" i="36"/>
  <c r="M90" i="36"/>
  <c r="H90" i="36" s="1"/>
  <c r="H21" i="29" s="1"/>
  <c r="N88" i="36"/>
  <c r="M87" i="36"/>
  <c r="H87" i="36" s="1"/>
  <c r="N86" i="36"/>
  <c r="N85" i="36"/>
  <c r="N84" i="36"/>
  <c r="N83" i="36"/>
  <c r="N82" i="36"/>
  <c r="M81" i="36"/>
  <c r="H81" i="36" s="1"/>
  <c r="N80" i="36"/>
  <c r="N79" i="36"/>
  <c r="N78" i="36"/>
  <c r="N77" i="36"/>
  <c r="M76" i="36"/>
  <c r="M75" i="36" s="1"/>
  <c r="H75" i="36" s="1"/>
  <c r="N74" i="36"/>
  <c r="N73" i="36"/>
  <c r="N72" i="36"/>
  <c r="N71" i="36"/>
  <c r="N70" i="36"/>
  <c r="M69" i="36"/>
  <c r="N68" i="36"/>
  <c r="N67" i="36"/>
  <c r="N66" i="36"/>
  <c r="M65" i="36"/>
  <c r="N64" i="36"/>
  <c r="N63" i="36"/>
  <c r="N62" i="36"/>
  <c r="M61" i="36"/>
  <c r="N59" i="36"/>
  <c r="N58" i="36"/>
  <c r="N57" i="36"/>
  <c r="N56" i="36"/>
  <c r="N55" i="36"/>
  <c r="N53" i="36"/>
  <c r="M52" i="36"/>
  <c r="N51" i="36"/>
  <c r="M50" i="36"/>
  <c r="N49" i="36"/>
  <c r="N48" i="36"/>
  <c r="M47" i="36"/>
  <c r="N46" i="36"/>
  <c r="N45" i="36"/>
  <c r="N44" i="36"/>
  <c r="N43" i="36"/>
  <c r="N42" i="36"/>
  <c r="M41" i="36"/>
  <c r="N40" i="36"/>
  <c r="M39" i="36"/>
  <c r="N37" i="36"/>
  <c r="N36" i="36"/>
  <c r="N35" i="36"/>
  <c r="N34" i="36"/>
  <c r="N33" i="36"/>
  <c r="N32" i="36"/>
  <c r="N31" i="36"/>
  <c r="N30" i="36"/>
  <c r="N29" i="36"/>
  <c r="N28" i="36"/>
  <c r="N27" i="36"/>
  <c r="M26" i="36"/>
  <c r="H26" i="36" s="1"/>
  <c r="H14" i="29" s="1"/>
  <c r="I25" i="36"/>
  <c r="I10" i="36"/>
  <c r="I9" i="36" s="1"/>
  <c r="H144" i="36" l="1"/>
  <c r="M60" i="36"/>
  <c r="H60" i="36" s="1"/>
  <c r="N76" i="36"/>
  <c r="I148" i="36"/>
  <c r="H107" i="36"/>
  <c r="H106" i="36" s="1"/>
  <c r="H29" i="29" s="1"/>
  <c r="H28" i="29" s="1"/>
  <c r="J238" i="37"/>
  <c r="H4" i="37"/>
  <c r="J4" i="37" s="1"/>
  <c r="H134" i="36"/>
  <c r="H41" i="29" s="1"/>
  <c r="M133" i="36"/>
  <c r="J75" i="36"/>
  <c r="H17" i="29"/>
  <c r="J87" i="36"/>
  <c r="H19" i="29"/>
  <c r="I158" i="36"/>
  <c r="I61" i="29"/>
  <c r="I48" i="29" s="1"/>
  <c r="I47" i="29" s="1"/>
  <c r="J94" i="36"/>
  <c r="H23" i="29"/>
  <c r="J195" i="36"/>
  <c r="H58" i="29"/>
  <c r="J126" i="36"/>
  <c r="H38" i="29"/>
  <c r="I205" i="36"/>
  <c r="I204" i="36" s="1"/>
  <c r="M138" i="36"/>
  <c r="J144" i="36"/>
  <c r="H46" i="29"/>
  <c r="J178" i="36"/>
  <c r="H55" i="29"/>
  <c r="J198" i="36"/>
  <c r="H60" i="29"/>
  <c r="M38" i="36"/>
  <c r="M89" i="36"/>
  <c r="J130" i="36"/>
  <c r="H39" i="29"/>
  <c r="I142" i="36"/>
  <c r="I141" i="36" s="1"/>
  <c r="I284" i="36"/>
  <c r="I283" i="36" s="1"/>
  <c r="I282" i="36" s="1"/>
  <c r="I281" i="36" s="1"/>
  <c r="I280" i="36" s="1"/>
  <c r="I263" i="29"/>
  <c r="I262" i="29" s="1"/>
  <c r="I261" i="29" s="1"/>
  <c r="I260" i="29" s="1"/>
  <c r="I259" i="29" s="1"/>
  <c r="I258" i="29" s="1"/>
  <c r="J93" i="36"/>
  <c r="H22" i="29"/>
  <c r="J124" i="36"/>
  <c r="H37" i="29"/>
  <c r="I120" i="36"/>
  <c r="I111" i="36" s="1"/>
  <c r="J168" i="36"/>
  <c r="H53" i="29"/>
  <c r="J60" i="36"/>
  <c r="H16" i="29"/>
  <c r="H143" i="36"/>
  <c r="I24" i="36"/>
  <c r="I8" i="36" s="1"/>
  <c r="I7" i="36" s="1"/>
  <c r="I13" i="29"/>
  <c r="J81" i="36"/>
  <c r="H18" i="29"/>
  <c r="H285" i="36"/>
  <c r="H263" i="29" s="1"/>
  <c r="H264" i="29"/>
  <c r="J207" i="36"/>
  <c r="H65" i="29"/>
  <c r="J190" i="36"/>
  <c r="H57" i="29"/>
  <c r="J185" i="36"/>
  <c r="H56" i="29"/>
  <c r="J170" i="36"/>
  <c r="H54" i="29"/>
  <c r="I33" i="29"/>
  <c r="I32" i="29" s="1"/>
  <c r="I31" i="29" s="1"/>
  <c r="I11" i="29"/>
  <c r="J102" i="36"/>
  <c r="H101" i="36"/>
  <c r="H26" i="29" s="1"/>
  <c r="J202" i="36"/>
  <c r="H201" i="36"/>
  <c r="J293" i="36"/>
  <c r="H292" i="36"/>
  <c r="H267" i="29" s="1"/>
  <c r="J139" i="36"/>
  <c r="H138" i="36"/>
  <c r="H42" i="29" s="1"/>
  <c r="H159" i="36"/>
  <c r="H51" i="29" s="1"/>
  <c r="H149" i="36"/>
  <c r="H49" i="29" s="1"/>
  <c r="H10" i="36"/>
  <c r="J96" i="36"/>
  <c r="H95" i="36"/>
  <c r="J122" i="36"/>
  <c r="H121" i="36"/>
  <c r="H35" i="29" s="1"/>
  <c r="H133" i="36"/>
  <c r="H113" i="36"/>
  <c r="M25" i="36"/>
  <c r="H38" i="36"/>
  <c r="J90" i="36"/>
  <c r="H89" i="36"/>
  <c r="J26" i="36"/>
  <c r="J286" i="36"/>
  <c r="J160" i="36"/>
  <c r="H197" i="36"/>
  <c r="H206" i="36"/>
  <c r="H64" i="29" s="1"/>
  <c r="H63" i="29" s="1"/>
  <c r="M95" i="36"/>
  <c r="M121" i="36"/>
  <c r="M101" i="36"/>
  <c r="J134" i="36" l="1"/>
  <c r="J107" i="36"/>
  <c r="I110" i="36"/>
  <c r="I147" i="36"/>
  <c r="I146" i="36" s="1"/>
  <c r="I6" i="36"/>
  <c r="I5" i="36" s="1"/>
  <c r="I4" i="36" s="1"/>
  <c r="H284" i="36"/>
  <c r="H283" i="36" s="1"/>
  <c r="J197" i="36"/>
  <c r="H59" i="29"/>
  <c r="H48" i="29" s="1"/>
  <c r="H47" i="29" s="1"/>
  <c r="J133" i="36"/>
  <c r="H40" i="29"/>
  <c r="J95" i="36"/>
  <c r="H24" i="29"/>
  <c r="J143" i="36"/>
  <c r="H45" i="29"/>
  <c r="H44" i="29" s="1"/>
  <c r="H142" i="36"/>
  <c r="J89" i="36"/>
  <c r="H20" i="29"/>
  <c r="J201" i="36"/>
  <c r="H61" i="29"/>
  <c r="J38" i="36"/>
  <c r="H15" i="29"/>
  <c r="J106" i="36"/>
  <c r="H105" i="36"/>
  <c r="H104" i="36" s="1"/>
  <c r="J104" i="36" s="1"/>
  <c r="J285" i="36"/>
  <c r="I10" i="29"/>
  <c r="I9" i="29" s="1"/>
  <c r="I8" i="29" s="1"/>
  <c r="I7" i="29" s="1"/>
  <c r="I6" i="29" s="1"/>
  <c r="I5" i="29" s="1"/>
  <c r="H148" i="36"/>
  <c r="J149" i="36"/>
  <c r="M149" i="36"/>
  <c r="M148" i="36" s="1"/>
  <c r="H137" i="36"/>
  <c r="J137" i="36" s="1"/>
  <c r="J138" i="36"/>
  <c r="H112" i="36"/>
  <c r="H33" i="29" s="1"/>
  <c r="J113" i="36"/>
  <c r="J121" i="36"/>
  <c r="H120" i="36"/>
  <c r="J120" i="36" s="1"/>
  <c r="J159" i="36"/>
  <c r="H158" i="36"/>
  <c r="J158" i="36" s="1"/>
  <c r="H9" i="36"/>
  <c r="H11" i="29" s="1"/>
  <c r="J10" i="36"/>
  <c r="J101" i="36"/>
  <c r="H100" i="36"/>
  <c r="J100" i="36" s="1"/>
  <c r="H291" i="36"/>
  <c r="J292" i="36"/>
  <c r="H25" i="36"/>
  <c r="H13" i="29" s="1"/>
  <c r="J206" i="36"/>
  <c r="H205" i="36"/>
  <c r="J284" i="36" l="1"/>
  <c r="H32" i="29"/>
  <c r="H31" i="29" s="1"/>
  <c r="J105" i="36"/>
  <c r="H141" i="36"/>
  <c r="J141" i="36" s="1"/>
  <c r="J142" i="36"/>
  <c r="H10" i="29"/>
  <c r="H204" i="36"/>
  <c r="J204" i="36" s="1"/>
  <c r="J205" i="36"/>
  <c r="H24" i="36"/>
  <c r="J24" i="36" s="1"/>
  <c r="J25" i="36"/>
  <c r="H290" i="36"/>
  <c r="J291" i="36"/>
  <c r="J283" i="36"/>
  <c r="H282" i="36"/>
  <c r="J9" i="36"/>
  <c r="H111" i="36"/>
  <c r="J112" i="36"/>
  <c r="J148" i="36"/>
  <c r="H147" i="36"/>
  <c r="H8" i="36" l="1"/>
  <c r="J282" i="36"/>
  <c r="J147" i="36"/>
  <c r="H146" i="36"/>
  <c r="J146" i="36" s="1"/>
  <c r="J290" i="36"/>
  <c r="H289" i="36"/>
  <c r="J289" i="36" s="1"/>
  <c r="J111" i="36"/>
  <c r="H110" i="36"/>
  <c r="J110" i="36" s="1"/>
  <c r="H281" i="36" l="1"/>
  <c r="H280" i="36" s="1"/>
  <c r="J8" i="36"/>
  <c r="H7" i="36"/>
  <c r="J7" i="36" l="1"/>
  <c r="H6" i="36"/>
  <c r="J280" i="36"/>
  <c r="J281" i="36"/>
  <c r="H5" i="36" l="1"/>
  <c r="J6" i="36"/>
  <c r="H4" i="36" l="1"/>
  <c r="J4" i="36" s="1"/>
  <c r="J5" i="36"/>
  <c r="G30" i="24" l="1"/>
  <c r="G29" i="24" s="1"/>
  <c r="G28" i="24" s="1"/>
  <c r="G27" i="24" s="1"/>
  <c r="M102" i="31" l="1"/>
  <c r="M283" i="31" l="1"/>
  <c r="M163" i="31" l="1"/>
  <c r="M183" i="31" l="1"/>
  <c r="M182" i="31" s="1"/>
  <c r="M518" i="31" l="1"/>
  <c r="M517" i="31" s="1"/>
  <c r="M255" i="31"/>
  <c r="R250" i="31"/>
  <c r="Q245" i="31"/>
  <c r="Q246" i="31" s="1"/>
  <c r="R243" i="31"/>
  <c r="M236" i="31"/>
  <c r="Q237" i="31"/>
  <c r="T237" i="31" s="1"/>
  <c r="Q239" i="31" l="1"/>
  <c r="Q242" i="31" s="1"/>
  <c r="T242" i="31" s="1"/>
  <c r="M242" i="31" s="1"/>
  <c r="T246" i="31"/>
  <c r="M246" i="31" s="1"/>
  <c r="Q248" i="31"/>
  <c r="T248" i="31" s="1"/>
  <c r="M248" i="31" s="1"/>
  <c r="Q250" i="31"/>
  <c r="T250" i="31" s="1"/>
  <c r="M250" i="31" s="1"/>
  <c r="Q249" i="31"/>
  <c r="T249" i="31" s="1"/>
  <c r="M249" i="31" s="1"/>
  <c r="T245" i="31"/>
  <c r="M245" i="31" s="1"/>
  <c r="T239" i="31" l="1"/>
  <c r="Q243" i="31"/>
  <c r="T243" i="31" s="1"/>
  <c r="M243" i="31" s="1"/>
  <c r="Q241" i="31"/>
  <c r="T241" i="31" s="1"/>
  <c r="M241" i="31" s="1"/>
  <c r="Q247" i="31"/>
  <c r="T247" i="31" s="1"/>
  <c r="M247" i="31" s="1"/>
  <c r="M239" i="31"/>
  <c r="Q240" i="31"/>
  <c r="T240" i="31" s="1"/>
  <c r="M240" i="31" s="1"/>
  <c r="M213" i="31" l="1"/>
  <c r="M208" i="31" s="1"/>
  <c r="M164" i="31" l="1"/>
  <c r="K139" i="31"/>
  <c r="M76" i="31" l="1"/>
  <c r="M70" i="31"/>
  <c r="M65" i="31"/>
  <c r="M63" i="31"/>
  <c r="M61" i="31"/>
  <c r="M58" i="31"/>
  <c r="M52" i="31"/>
  <c r="M46" i="31"/>
  <c r="M41" i="31"/>
  <c r="M32" i="31"/>
  <c r="M25" i="31"/>
  <c r="M17" i="31"/>
  <c r="M15" i="31"/>
  <c r="M12" i="31"/>
  <c r="M507" i="31"/>
  <c r="M51" i="31" l="1"/>
  <c r="M526" i="31"/>
  <c r="M525" i="31" s="1"/>
  <c r="J532" i="31"/>
  <c r="M501" i="31"/>
  <c r="H501" i="31" s="1"/>
  <c r="J501" i="31" s="1"/>
  <c r="M379" i="31"/>
  <c r="M315" i="31"/>
  <c r="M511" i="31"/>
  <c r="J511" i="31" s="1"/>
  <c r="T512" i="31"/>
  <c r="M513" i="31"/>
  <c r="H514" i="31"/>
  <c r="J514" i="31" s="1"/>
  <c r="T516" i="31"/>
  <c r="M516" i="31" s="1"/>
  <c r="M515" i="31" s="1"/>
  <c r="H517" i="31"/>
  <c r="J517" i="31" s="1"/>
  <c r="T518" i="31"/>
  <c r="M523" i="31"/>
  <c r="M524" i="31"/>
  <c r="T527" i="31"/>
  <c r="T526" i="31" s="1"/>
  <c r="M530" i="31"/>
  <c r="H531" i="31"/>
  <c r="H530" i="31" s="1"/>
  <c r="H529" i="31" s="1"/>
  <c r="J529" i="31" s="1"/>
  <c r="M531" i="31"/>
  <c r="M532" i="31"/>
  <c r="M304" i="31"/>
  <c r="M293" i="31" s="1"/>
  <c r="M278" i="31"/>
  <c r="M271" i="31"/>
  <c r="M268" i="31"/>
  <c r="M178" i="31"/>
  <c r="M162" i="31"/>
  <c r="M136" i="31"/>
  <c r="M133" i="31"/>
  <c r="M123" i="31"/>
  <c r="M97" i="31" s="1"/>
  <c r="T131" i="31"/>
  <c r="M131" i="31" s="1"/>
  <c r="T132" i="31"/>
  <c r="M132" i="31" s="1"/>
  <c r="N133" i="31"/>
  <c r="M90" i="31"/>
  <c r="M86" i="31"/>
  <c r="G25" i="24"/>
  <c r="G24" i="24"/>
  <c r="G23" i="24" s="1"/>
  <c r="M261" i="31" l="1"/>
  <c r="J531" i="31"/>
  <c r="J530" i="31"/>
  <c r="H525" i="31"/>
  <c r="H524" i="31" s="1"/>
  <c r="H523" i="31" s="1"/>
  <c r="H522" i="31" s="1"/>
  <c r="H513" i="31"/>
  <c r="J513" i="31" s="1"/>
  <c r="H466" i="31"/>
  <c r="J466" i="31" s="1"/>
  <c r="H314" i="31"/>
  <c r="M82" i="31"/>
  <c r="M11" i="31"/>
  <c r="H313" i="31" l="1"/>
  <c r="J314" i="31"/>
  <c r="H521" i="31"/>
  <c r="J522" i="31"/>
  <c r="H520" i="31" l="1"/>
  <c r="J521" i="31"/>
  <c r="H312" i="31"/>
  <c r="J313" i="31"/>
  <c r="H311" i="31" l="1"/>
  <c r="J312" i="31"/>
  <c r="J520" i="31"/>
  <c r="H519" i="31"/>
  <c r="J525" i="31" l="1"/>
  <c r="J523" i="31"/>
  <c r="J524" i="31"/>
  <c r="J519" i="31"/>
  <c r="H310" i="31"/>
  <c r="J310" i="31" s="1"/>
  <c r="J311" i="31"/>
  <c r="J196" i="29"/>
  <c r="J197" i="29"/>
  <c r="F34" i="24" l="1"/>
  <c r="G9" i="24"/>
  <c r="G8" i="24" s="1"/>
  <c r="G7" i="24" l="1"/>
  <c r="G6" i="24"/>
  <c r="G5" i="24" s="1"/>
  <c r="H244" i="31" l="1"/>
  <c r="E13" i="28" l="1"/>
  <c r="E16" i="28"/>
  <c r="E12" i="28"/>
  <c r="D22" i="7"/>
  <c r="E19" i="28" l="1"/>
  <c r="E11" i="28"/>
  <c r="E10" i="28" s="1"/>
  <c r="E15" i="28"/>
  <c r="J41" i="29" l="1"/>
  <c r="J38" i="29"/>
  <c r="J36" i="29"/>
  <c r="J34" i="29"/>
  <c r="J23" i="29"/>
  <c r="J264" i="29"/>
  <c r="J53" i="29"/>
  <c r="J52" i="29"/>
  <c r="J50" i="29"/>
  <c r="J46" i="29"/>
  <c r="J37" i="29"/>
  <c r="J30" i="29"/>
  <c r="J27" i="29"/>
  <c r="J25" i="29"/>
  <c r="J21" i="29"/>
  <c r="J14" i="29"/>
  <c r="J15" i="29" l="1"/>
  <c r="J39" i="29"/>
  <c r="J56" i="29"/>
  <c r="J54" i="29"/>
  <c r="E6" i="28"/>
  <c r="J17" i="29"/>
  <c r="J58" i="29"/>
  <c r="J18" i="29"/>
  <c r="J19" i="29"/>
  <c r="J57" i="29"/>
  <c r="J55" i="29"/>
  <c r="J43" i="29"/>
  <c r="E8" i="28" l="1"/>
  <c r="E7" i="28"/>
  <c r="E5" i="28" s="1"/>
  <c r="J16" i="29"/>
  <c r="J169" i="29" l="1"/>
  <c r="J175" i="29"/>
  <c r="J181" i="29"/>
  <c r="H316" i="29"/>
  <c r="J307" i="29"/>
  <c r="J190" i="29"/>
  <c r="J177" i="29"/>
  <c r="J146" i="29"/>
  <c r="H313" i="29"/>
  <c r="K46" i="24" s="1"/>
  <c r="K45" i="24" s="1"/>
  <c r="H250" i="29"/>
  <c r="J250" i="29" s="1"/>
  <c r="T303" i="31"/>
  <c r="M287" i="31"/>
  <c r="M286" i="31" s="1"/>
  <c r="H286" i="31" s="1"/>
  <c r="H283" i="31"/>
  <c r="H243" i="29" s="1"/>
  <c r="J243" i="29" s="1"/>
  <c r="H278" i="31"/>
  <c r="H241" i="29" s="1"/>
  <c r="J241" i="29" s="1"/>
  <c r="H275" i="31"/>
  <c r="J275" i="31" s="1"/>
  <c r="T270" i="31"/>
  <c r="H261" i="31"/>
  <c r="H238" i="29" s="1"/>
  <c r="H257" i="31"/>
  <c r="J257" i="31" s="1"/>
  <c r="M256" i="31"/>
  <c r="M254" i="31"/>
  <c r="H254" i="31" s="1"/>
  <c r="M252" i="31"/>
  <c r="H252" i="31" s="1"/>
  <c r="H231" i="29" s="1"/>
  <c r="J231" i="29" s="1"/>
  <c r="T233" i="31"/>
  <c r="M233" i="31" s="1"/>
  <c r="T231" i="31"/>
  <c r="T230" i="31"/>
  <c r="M230" i="31" s="1"/>
  <c r="T228" i="31"/>
  <c r="M228" i="31" s="1"/>
  <c r="H204" i="31"/>
  <c r="J204" i="31" s="1"/>
  <c r="M203" i="31"/>
  <c r="T202" i="31"/>
  <c r="M201" i="31"/>
  <c r="H201" i="31" s="1"/>
  <c r="T200" i="31"/>
  <c r="M200" i="31" s="1"/>
  <c r="T199" i="31"/>
  <c r="M199" i="31" s="1"/>
  <c r="T196" i="31"/>
  <c r="M196" i="31" s="1"/>
  <c r="T195" i="31"/>
  <c r="M195" i="31" s="1"/>
  <c r="T193" i="31"/>
  <c r="M193" i="31" s="1"/>
  <c r="T192" i="31"/>
  <c r="M192" i="31" s="1"/>
  <c r="T191" i="31"/>
  <c r="M191" i="31" s="1"/>
  <c r="T190" i="31"/>
  <c r="M190" i="31" s="1"/>
  <c r="T189" i="31"/>
  <c r="M189" i="31" s="1"/>
  <c r="T188" i="31"/>
  <c r="M188" i="31" s="1"/>
  <c r="T187" i="31"/>
  <c r="M187" i="31" s="1"/>
  <c r="T186" i="31"/>
  <c r="M186" i="31" s="1"/>
  <c r="T185" i="31"/>
  <c r="M185" i="31" s="1"/>
  <c r="T177" i="31"/>
  <c r="T176" i="31"/>
  <c r="T175" i="31"/>
  <c r="T174" i="31"/>
  <c r="T173" i="31"/>
  <c r="T172" i="31"/>
  <c r="M171" i="31"/>
  <c r="T170" i="31"/>
  <c r="M170" i="31" s="1"/>
  <c r="T169" i="31"/>
  <c r="M169" i="31" s="1"/>
  <c r="T168" i="31"/>
  <c r="M168" i="31" s="1"/>
  <c r="T166" i="31"/>
  <c r="M166" i="31" s="1"/>
  <c r="T161" i="31"/>
  <c r="M161" i="31" s="1"/>
  <c r="T160" i="31"/>
  <c r="M160" i="31" s="1"/>
  <c r="T157" i="31"/>
  <c r="M157" i="31" s="1"/>
  <c r="T156" i="31"/>
  <c r="M156" i="31" s="1"/>
  <c r="T155" i="31"/>
  <c r="M155" i="31" s="1"/>
  <c r="T153" i="31"/>
  <c r="M153" i="31" s="1"/>
  <c r="T152" i="31"/>
  <c r="M152" i="31" s="1"/>
  <c r="T151" i="31"/>
  <c r="M151" i="31" s="1"/>
  <c r="T150" i="31"/>
  <c r="M150" i="31" s="1"/>
  <c r="T149" i="31"/>
  <c r="M149" i="31" s="1"/>
  <c r="T148" i="31"/>
  <c r="M148" i="31" s="1"/>
  <c r="T147" i="31"/>
  <c r="M147" i="31" s="1"/>
  <c r="T145" i="31"/>
  <c r="T144" i="31"/>
  <c r="T143" i="31"/>
  <c r="M141" i="31" s="1"/>
  <c r="T142" i="31"/>
  <c r="T140" i="31"/>
  <c r="M140" i="31" s="1"/>
  <c r="K140" i="31"/>
  <c r="T139" i="31"/>
  <c r="M139" i="31" s="1"/>
  <c r="T81" i="31"/>
  <c r="T80" i="31"/>
  <c r="M80" i="31" s="1"/>
  <c r="M79" i="31" s="1"/>
  <c r="H76" i="31"/>
  <c r="J76" i="31" s="1"/>
  <c r="T133" i="31" l="1"/>
  <c r="H253" i="29"/>
  <c r="J253" i="29" s="1"/>
  <c r="H254" i="29"/>
  <c r="J254" i="29" s="1"/>
  <c r="H251" i="29"/>
  <c r="J251" i="29" s="1"/>
  <c r="J195" i="29"/>
  <c r="J192" i="29"/>
  <c r="J304" i="29"/>
  <c r="M198" i="31"/>
  <c r="H198" i="31" s="1"/>
  <c r="H217" i="29" s="1"/>
  <c r="J217" i="29" s="1"/>
  <c r="T159" i="31"/>
  <c r="M159" i="31" s="1"/>
  <c r="M158" i="31" s="1"/>
  <c r="H240" i="29"/>
  <c r="J240" i="29" s="1"/>
  <c r="H315" i="29"/>
  <c r="T167" i="31"/>
  <c r="M292" i="31"/>
  <c r="J201" i="31"/>
  <c r="H218" i="29"/>
  <c r="J218" i="29" s="1"/>
  <c r="J286" i="31"/>
  <c r="H244" i="29"/>
  <c r="J244" i="29" s="1"/>
  <c r="J254" i="31"/>
  <c r="H233" i="29"/>
  <c r="J233" i="29" s="1"/>
  <c r="H232" i="29"/>
  <c r="J232" i="29" s="1"/>
  <c r="H207" i="29"/>
  <c r="J207" i="29" s="1"/>
  <c r="H235" i="29"/>
  <c r="K26" i="24" s="1"/>
  <c r="M229" i="31"/>
  <c r="H229" i="31" s="1"/>
  <c r="H220" i="29"/>
  <c r="J220" i="29" s="1"/>
  <c r="M207" i="31"/>
  <c r="H79" i="31"/>
  <c r="H314" i="29"/>
  <c r="M154" i="31"/>
  <c r="M146" i="31" s="1"/>
  <c r="J167" i="29"/>
  <c r="J173" i="29"/>
  <c r="J171" i="29"/>
  <c r="H295" i="29"/>
  <c r="H294" i="29" s="1"/>
  <c r="J297" i="29"/>
  <c r="J168" i="29"/>
  <c r="H305" i="29"/>
  <c r="J155" i="29"/>
  <c r="J158" i="29"/>
  <c r="J162" i="29"/>
  <c r="M130" i="31"/>
  <c r="M167" i="31"/>
  <c r="J261" i="31"/>
  <c r="H260" i="31"/>
  <c r="H237" i="29" s="1"/>
  <c r="M184" i="31"/>
  <c r="H184" i="31" s="1"/>
  <c r="M194" i="31"/>
  <c r="H194" i="31" s="1"/>
  <c r="H97" i="31"/>
  <c r="H274" i="31"/>
  <c r="J278" i="31"/>
  <c r="J252" i="31"/>
  <c r="H251" i="31"/>
  <c r="J283" i="31"/>
  <c r="H282" i="31"/>
  <c r="H242" i="29" s="1"/>
  <c r="T229" i="31"/>
  <c r="M274" i="31"/>
  <c r="T79" i="31"/>
  <c r="T165" i="31"/>
  <c r="M165" i="31" s="1"/>
  <c r="T208" i="31"/>
  <c r="H203" i="31"/>
  <c r="M282" i="31"/>
  <c r="H256" i="31"/>
  <c r="T194" i="31"/>
  <c r="T198" i="31"/>
  <c r="T136" i="31"/>
  <c r="T227" i="31"/>
  <c r="M227" i="31" s="1"/>
  <c r="T184" i="31"/>
  <c r="M251" i="31"/>
  <c r="H158" i="31" l="1"/>
  <c r="H146" i="31"/>
  <c r="M197" i="31"/>
  <c r="J282" i="31"/>
  <c r="J187" i="29"/>
  <c r="E20" i="28"/>
  <c r="E18" i="28" s="1"/>
  <c r="J257" i="29"/>
  <c r="J166" i="29"/>
  <c r="H288" i="29"/>
  <c r="H287" i="29" s="1"/>
  <c r="J183" i="29"/>
  <c r="H302" i="29"/>
  <c r="H298" i="29" s="1"/>
  <c r="J201" i="29"/>
  <c r="J186" i="29"/>
  <c r="J188" i="29"/>
  <c r="J153" i="29"/>
  <c r="T236" i="31"/>
  <c r="H236" i="31" s="1"/>
  <c r="H82" i="31"/>
  <c r="J82" i="31" s="1"/>
  <c r="H293" i="31"/>
  <c r="H246" i="29" s="1"/>
  <c r="J246" i="29" s="1"/>
  <c r="H208" i="31"/>
  <c r="H222" i="29" s="1"/>
  <c r="J222" i="29" s="1"/>
  <c r="J235" i="29"/>
  <c r="J274" i="31"/>
  <c r="H239" i="29"/>
  <c r="J203" i="31"/>
  <c r="H219" i="29"/>
  <c r="J79" i="31"/>
  <c r="H208" i="29"/>
  <c r="J208" i="29" s="1"/>
  <c r="J251" i="31"/>
  <c r="H230" i="29"/>
  <c r="J229" i="31"/>
  <c r="H225" i="29"/>
  <c r="J225" i="29" s="1"/>
  <c r="J97" i="31"/>
  <c r="H210" i="29"/>
  <c r="J210" i="29" s="1"/>
  <c r="H312" i="29"/>
  <c r="J312" i="29" s="1"/>
  <c r="J256" i="31"/>
  <c r="H234" i="29"/>
  <c r="J194" i="31"/>
  <c r="H215" i="29"/>
  <c r="J215" i="29" s="1"/>
  <c r="J184" i="31"/>
  <c r="H214" i="29"/>
  <c r="J214" i="29" s="1"/>
  <c r="J151" i="29"/>
  <c r="K38" i="24"/>
  <c r="F38" i="24" s="1"/>
  <c r="J294" i="29"/>
  <c r="J170" i="29"/>
  <c r="J143" i="29"/>
  <c r="J147" i="29"/>
  <c r="J149" i="29"/>
  <c r="H156" i="29"/>
  <c r="H159" i="29"/>
  <c r="H227" i="31"/>
  <c r="H224" i="29" s="1"/>
  <c r="J224" i="29" s="1"/>
  <c r="M226" i="31"/>
  <c r="H197" i="31"/>
  <c r="J198" i="31"/>
  <c r="J260" i="31"/>
  <c r="H259" i="31"/>
  <c r="F12" i="11" l="1"/>
  <c r="J146" i="31"/>
  <c r="H212" i="29"/>
  <c r="J212" i="29" s="1"/>
  <c r="H207" i="31"/>
  <c r="J207" i="31" s="1"/>
  <c r="H252" i="29"/>
  <c r="J252" i="29" s="1"/>
  <c r="H292" i="31"/>
  <c r="H281" i="31" s="1"/>
  <c r="J281" i="31" s="1"/>
  <c r="H249" i="29"/>
  <c r="J249" i="29" s="1"/>
  <c r="E17" i="28"/>
  <c r="E14" i="28" s="1"/>
  <c r="E4" i="28" s="1"/>
  <c r="E3" i="28" s="1"/>
  <c r="J185" i="29"/>
  <c r="H255" i="29"/>
  <c r="J255" i="29" s="1"/>
  <c r="H209" i="29"/>
  <c r="J293" i="31"/>
  <c r="H164" i="29"/>
  <c r="H163" i="29" s="1"/>
  <c r="K42" i="24"/>
  <c r="J298" i="29"/>
  <c r="J184" i="29"/>
  <c r="J148" i="29"/>
  <c r="H130" i="31"/>
  <c r="H211" i="29" s="1"/>
  <c r="J211" i="29" s="1"/>
  <c r="J208" i="31"/>
  <c r="T238" i="31"/>
  <c r="J236" i="31"/>
  <c r="H227" i="29"/>
  <c r="J227" i="29" s="1"/>
  <c r="H221" i="29"/>
  <c r="H11" i="31"/>
  <c r="H311" i="29"/>
  <c r="J197" i="31"/>
  <c r="H216" i="29"/>
  <c r="J158" i="31"/>
  <c r="H213" i="29"/>
  <c r="J213" i="29" s="1"/>
  <c r="H238" i="31"/>
  <c r="K37" i="24"/>
  <c r="H286" i="29"/>
  <c r="E15" i="9" s="1"/>
  <c r="D20" i="7" s="1"/>
  <c r="J145" i="29"/>
  <c r="J199" i="29"/>
  <c r="H179" i="29"/>
  <c r="J227" i="31"/>
  <c r="H226" i="31"/>
  <c r="J259" i="31"/>
  <c r="H206" i="29" l="1"/>
  <c r="J206" i="29" s="1"/>
  <c r="H10" i="31"/>
  <c r="H245" i="29"/>
  <c r="H236" i="29" s="1"/>
  <c r="T244" i="31"/>
  <c r="J292" i="31"/>
  <c r="H258" i="31"/>
  <c r="J258" i="31" s="1"/>
  <c r="K16" i="24"/>
  <c r="D16" i="28"/>
  <c r="F16" i="28" s="1"/>
  <c r="H248" i="29"/>
  <c r="J163" i="29"/>
  <c r="J130" i="31"/>
  <c r="J11" i="31"/>
  <c r="M10" i="31"/>
  <c r="M9" i="31" s="1"/>
  <c r="H310" i="29"/>
  <c r="H309" i="29" s="1"/>
  <c r="E16" i="9" s="1"/>
  <c r="D21" i="7" s="1"/>
  <c r="J226" i="31"/>
  <c r="H223" i="29"/>
  <c r="J238" i="31"/>
  <c r="H228" i="29"/>
  <c r="J228" i="29" s="1"/>
  <c r="J248" i="29" l="1"/>
  <c r="J247" i="29" s="1"/>
  <c r="H247" i="29"/>
  <c r="D20" i="28" s="1"/>
  <c r="F20" i="28" s="1"/>
  <c r="H193" i="29"/>
  <c r="H178" i="29" s="1"/>
  <c r="H205" i="29"/>
  <c r="J10" i="31"/>
  <c r="H9" i="31"/>
  <c r="J9" i="31" s="1"/>
  <c r="K32" i="24"/>
  <c r="H308" i="29"/>
  <c r="J150" i="29"/>
  <c r="M235" i="31"/>
  <c r="D17" i="28" l="1"/>
  <c r="F17" i="28" s="1"/>
  <c r="J178" i="29"/>
  <c r="K20" i="24"/>
  <c r="J244" i="31"/>
  <c r="H229" i="29"/>
  <c r="J229" i="29" s="1"/>
  <c r="J142" i="29"/>
  <c r="M234" i="31"/>
  <c r="H235" i="31"/>
  <c r="H226" i="29" s="1"/>
  <c r="H234" i="31" l="1"/>
  <c r="J235" i="31"/>
  <c r="J234" i="31" l="1"/>
  <c r="H8" i="31"/>
  <c r="H7" i="31" s="1"/>
  <c r="H140" i="29" l="1"/>
  <c r="H139" i="29" s="1"/>
  <c r="J8" i="31"/>
  <c r="K15" i="24" l="1"/>
  <c r="D15" i="28"/>
  <c r="H138" i="29"/>
  <c r="C15" i="9" s="1"/>
  <c r="D13" i="7" s="1"/>
  <c r="J7" i="31"/>
  <c r="H6" i="31"/>
  <c r="F15" i="28" l="1"/>
  <c r="D14" i="28"/>
  <c r="F14" i="28" s="1"/>
  <c r="H5" i="31"/>
  <c r="J6" i="31"/>
  <c r="J5" i="31" l="1"/>
  <c r="H4" i="31"/>
  <c r="J4" i="31" s="1"/>
  <c r="J285" i="29" l="1"/>
  <c r="J281" i="29"/>
  <c r="J277" i="29"/>
  <c r="J120" i="29"/>
  <c r="J104" i="29"/>
  <c r="J101" i="29"/>
  <c r="J99" i="29"/>
  <c r="J128" i="29" l="1"/>
  <c r="J130" i="29"/>
  <c r="J131" i="29"/>
  <c r="J123" i="29"/>
  <c r="J132" i="29"/>
  <c r="J121" i="29"/>
  <c r="J95" i="29"/>
  <c r="J91" i="29"/>
  <c r="J111" i="29"/>
  <c r="J107" i="29"/>
  <c r="J113" i="29"/>
  <c r="H275" i="29"/>
  <c r="H274" i="29" s="1"/>
  <c r="K39" i="24" s="1"/>
  <c r="J93" i="29"/>
  <c r="H279" i="29"/>
  <c r="H278" i="29" s="1"/>
  <c r="K40" i="24" s="1"/>
  <c r="J137" i="29"/>
  <c r="H283" i="29"/>
  <c r="H282" i="29" l="1"/>
  <c r="J129" i="29"/>
  <c r="J116" i="29"/>
  <c r="J94" i="29"/>
  <c r="J96" i="29"/>
  <c r="J115" i="29"/>
  <c r="J135" i="29"/>
  <c r="J114" i="29"/>
  <c r="H109" i="29"/>
  <c r="J105" i="29"/>
  <c r="J117" i="29"/>
  <c r="H102" i="29"/>
  <c r="J97" i="29"/>
  <c r="J127" i="29"/>
  <c r="J282" i="29" l="1"/>
  <c r="K41" i="24"/>
  <c r="F41" i="24" s="1"/>
  <c r="H273" i="29"/>
  <c r="E14" i="9" s="1"/>
  <c r="D19" i="7" s="1"/>
  <c r="H89" i="29"/>
  <c r="H88" i="29" s="1"/>
  <c r="H133" i="29"/>
  <c r="H118" i="29"/>
  <c r="H125" i="29"/>
  <c r="K17" i="24" l="1"/>
  <c r="D11" i="28"/>
  <c r="H124" i="29"/>
  <c r="D13" i="28" s="1"/>
  <c r="F13" i="28" s="1"/>
  <c r="H108" i="29"/>
  <c r="D12" i="28" s="1"/>
  <c r="F12" i="28" s="1"/>
  <c r="F11" i="28" l="1"/>
  <c r="D10" i="28"/>
  <c r="F10" i="28" s="1"/>
  <c r="J124" i="29"/>
  <c r="K19" i="24"/>
  <c r="J108" i="29"/>
  <c r="K18" i="24"/>
  <c r="H87" i="29"/>
  <c r="C14" i="9" s="1"/>
  <c r="D12" i="7" s="1"/>
  <c r="J314" i="29" l="1"/>
  <c r="J313" i="29"/>
  <c r="G9" i="9" l="1"/>
  <c r="E24" i="5"/>
  <c r="J209" i="29" l="1"/>
  <c r="J316" i="29" l="1"/>
  <c r="J268" i="29"/>
  <c r="J238" i="29" l="1"/>
  <c r="J237" i="29" s="1"/>
  <c r="J62" i="29" l="1"/>
  <c r="J65" i="29"/>
  <c r="J60" i="29"/>
  <c r="J12" i="29" l="1"/>
  <c r="J315" i="29" l="1"/>
  <c r="J61" i="29" l="1"/>
  <c r="J59" i="29"/>
  <c r="J22" i="29" l="1"/>
  <c r="J296" i="29"/>
  <c r="J295" i="29"/>
  <c r="J194" i="29" l="1"/>
  <c r="J189" i="29"/>
  <c r="J200" i="29"/>
  <c r="J198" i="29" l="1"/>
  <c r="J193" i="29"/>
  <c r="F21" i="28" l="1"/>
  <c r="J283" i="29"/>
  <c r="J284" i="29"/>
  <c r="J191" i="29"/>
  <c r="J182" i="29"/>
  <c r="J106" i="29"/>
  <c r="J98" i="29"/>
  <c r="J92" i="29"/>
  <c r="J174" i="29"/>
  <c r="J154" i="29"/>
  <c r="J152" i="29"/>
  <c r="J141" i="29"/>
  <c r="J29" i="29"/>
  <c r="J134" i="29"/>
  <c r="J303" i="29"/>
  <c r="J306" i="29"/>
  <c r="F44" i="24"/>
  <c r="F43" i="24" s="1"/>
  <c r="F32" i="5"/>
  <c r="J176" i="29" l="1"/>
  <c r="J278" i="29"/>
  <c r="J292" i="29"/>
  <c r="J136" i="29"/>
  <c r="J161" i="29"/>
  <c r="J40" i="29"/>
  <c r="J119" i="29"/>
  <c r="J133" i="29"/>
  <c r="J159" i="29"/>
  <c r="J110" i="29"/>
  <c r="J302" i="29"/>
  <c r="J280" i="29"/>
  <c r="J165" i="29"/>
  <c r="J90" i="29"/>
  <c r="J275" i="29"/>
  <c r="J276" i="29"/>
  <c r="J100" i="29"/>
  <c r="J35" i="29"/>
  <c r="J305" i="29"/>
  <c r="J144" i="29"/>
  <c r="J289" i="29"/>
  <c r="J279" i="29"/>
  <c r="J156" i="29"/>
  <c r="J42" i="29"/>
  <c r="J44" i="29"/>
  <c r="J112" i="29"/>
  <c r="J288" i="29"/>
  <c r="J291" i="29"/>
  <c r="J172" i="29"/>
  <c r="J122" i="29"/>
  <c r="J126" i="29"/>
  <c r="J45" i="29"/>
  <c r="J20" i="29"/>
  <c r="J160" i="29"/>
  <c r="J33" i="29"/>
  <c r="J103" i="29"/>
  <c r="J157" i="29"/>
  <c r="J24" i="29"/>
  <c r="J125" i="29"/>
  <c r="J109" i="29"/>
  <c r="J26" i="29"/>
  <c r="J13" i="29"/>
  <c r="J28" i="29"/>
  <c r="J89" i="29"/>
  <c r="K12" i="24" l="1"/>
  <c r="D7" i="28"/>
  <c r="F7" i="28" s="1"/>
  <c r="J31" i="29"/>
  <c r="J164" i="29"/>
  <c r="J102" i="29"/>
  <c r="J140" i="29"/>
  <c r="J32" i="29"/>
  <c r="J118" i="29"/>
  <c r="J287" i="29"/>
  <c r="J274" i="29"/>
  <c r="J273" i="29"/>
  <c r="J88" i="29" l="1"/>
  <c r="J87" i="29"/>
  <c r="J286" i="29"/>
  <c r="D12" i="27"/>
  <c r="F36" i="28"/>
  <c r="E35" i="28"/>
  <c r="D35" i="28"/>
  <c r="F34" i="28"/>
  <c r="E33" i="28"/>
  <c r="F32" i="28"/>
  <c r="E31" i="28"/>
  <c r="D31" i="28"/>
  <c r="F30" i="28"/>
  <c r="D29" i="28"/>
  <c r="F29" i="28" s="1"/>
  <c r="F28" i="28"/>
  <c r="F27" i="28"/>
  <c r="E26" i="28"/>
  <c r="D26" i="28"/>
  <c r="D24" i="28"/>
  <c r="E24" i="28"/>
  <c r="D22" i="28"/>
  <c r="E22" i="28"/>
  <c r="E22" i="27"/>
  <c r="C21" i="27"/>
  <c r="E21" i="27" s="1"/>
  <c r="E20" i="27"/>
  <c r="E19" i="27" s="1"/>
  <c r="D19" i="27"/>
  <c r="C19" i="27"/>
  <c r="E16" i="27"/>
  <c r="E15" i="27"/>
  <c r="C15" i="27"/>
  <c r="E14" i="27"/>
  <c r="E11" i="27"/>
  <c r="E8" i="27"/>
  <c r="E7" i="27"/>
  <c r="E6" i="27"/>
  <c r="F31" i="28" l="1"/>
  <c r="F22" i="28"/>
  <c r="F26" i="28"/>
  <c r="F25" i="28"/>
  <c r="F23" i="28"/>
  <c r="C13" i="27"/>
  <c r="E13" i="27" s="1"/>
  <c r="D33" i="28"/>
  <c r="F33" i="28" s="1"/>
  <c r="F35" i="28"/>
  <c r="F24" i="28"/>
  <c r="H38" i="24"/>
  <c r="H34" i="24"/>
  <c r="F40" i="24" l="1"/>
  <c r="F39" i="24"/>
  <c r="J242" i="29" l="1"/>
  <c r="J219" i="29"/>
  <c r="J230" i="29"/>
  <c r="J234" i="29"/>
  <c r="J311" i="29" l="1"/>
  <c r="J205" i="29"/>
  <c r="F32" i="24"/>
  <c r="J245" i="29"/>
  <c r="J310" i="29"/>
  <c r="J221" i="29"/>
  <c r="J226" i="29"/>
  <c r="J309" i="29" l="1"/>
  <c r="J216" i="29"/>
  <c r="J239" i="29"/>
  <c r="J236" i="29"/>
  <c r="J223" i="29"/>
  <c r="H204" i="29" l="1"/>
  <c r="H203" i="29" s="1"/>
  <c r="D19" i="28" s="1"/>
  <c r="J308" i="29"/>
  <c r="D18" i="28" l="1"/>
  <c r="F19" i="28"/>
  <c r="J204" i="29"/>
  <c r="F18" i="28" l="1"/>
  <c r="J203" i="29"/>
  <c r="H202" i="29"/>
  <c r="K22" i="24" l="1"/>
  <c r="C16" i="9"/>
  <c r="D14" i="7" s="1"/>
  <c r="J202" i="29"/>
  <c r="F37" i="24"/>
  <c r="F19" i="24"/>
  <c r="D22" i="5" s="1"/>
  <c r="F18" i="24"/>
  <c r="D21" i="5" s="1"/>
  <c r="F17" i="24"/>
  <c r="D20" i="5" s="1"/>
  <c r="F15" i="24"/>
  <c r="D18" i="5" s="1"/>
  <c r="H41" i="24" l="1"/>
  <c r="H40" i="24"/>
  <c r="H39" i="24"/>
  <c r="H37" i="24"/>
  <c r="H19" i="24"/>
  <c r="H18" i="24"/>
  <c r="H17" i="24"/>
  <c r="H45" i="24"/>
  <c r="K29" i="24"/>
  <c r="K25" i="24"/>
  <c r="K21" i="24"/>
  <c r="F21" i="24" s="1"/>
  <c r="H15" i="24"/>
  <c r="F25" i="24" l="1"/>
  <c r="H25" i="24" s="1"/>
  <c r="F24" i="24"/>
  <c r="F23" i="24" s="1"/>
  <c r="H43" i="24"/>
  <c r="C22" i="11"/>
  <c r="C10" i="10"/>
  <c r="F10" i="10"/>
  <c r="H21" i="24"/>
  <c r="H24" i="24"/>
  <c r="H23" i="24" s="1"/>
  <c r="H44" i="24"/>
  <c r="C15" i="10" l="1"/>
  <c r="F14" i="10"/>
  <c r="C12" i="27"/>
  <c r="C10" i="27"/>
  <c r="E10" i="27" s="1"/>
  <c r="E12" i="27"/>
  <c r="J180" i="29" l="1"/>
  <c r="F16" i="24"/>
  <c r="D19" i="5" s="1"/>
  <c r="J179" i="29" l="1"/>
  <c r="J139" i="29" l="1"/>
  <c r="F42" i="24"/>
  <c r="H42" i="24" s="1"/>
  <c r="F20" i="24"/>
  <c r="H16" i="24"/>
  <c r="D23" i="5" l="1"/>
  <c r="J138" i="29"/>
  <c r="H20" i="24"/>
  <c r="J49" i="29" l="1"/>
  <c r="J51" i="29"/>
  <c r="H266" i="29"/>
  <c r="J267" i="29"/>
  <c r="J63" i="29" l="1"/>
  <c r="J64" i="29"/>
  <c r="H265" i="29"/>
  <c r="J266" i="29"/>
  <c r="K35" i="24" l="1"/>
  <c r="F35" i="24" s="1"/>
  <c r="J265" i="29"/>
  <c r="D8" i="28"/>
  <c r="F8" i="28" s="1"/>
  <c r="J48" i="29"/>
  <c r="K13" i="24" l="1"/>
  <c r="F13" i="24" s="1"/>
  <c r="J47" i="29"/>
  <c r="H13" i="24" l="1"/>
  <c r="D16" i="5"/>
  <c r="H35" i="24"/>
  <c r="F12" i="24" l="1"/>
  <c r="D15" i="5" s="1"/>
  <c r="H12" i="24" l="1"/>
  <c r="D9" i="27"/>
  <c r="D5" i="27" s="1"/>
  <c r="H9" i="29" l="1"/>
  <c r="H8" i="29" s="1"/>
  <c r="J11" i="29"/>
  <c r="H262" i="29"/>
  <c r="J263" i="29"/>
  <c r="H7" i="29" l="1"/>
  <c r="H6" i="29" s="1"/>
  <c r="C13" i="9"/>
  <c r="D11" i="7" s="1"/>
  <c r="K11" i="24"/>
  <c r="J10" i="29"/>
  <c r="H261" i="29"/>
  <c r="H260" i="29" s="1"/>
  <c r="J262" i="29"/>
  <c r="D6" i="28" l="1"/>
  <c r="D5" i="28" s="1"/>
  <c r="H259" i="29"/>
  <c r="E13" i="9"/>
  <c r="D18" i="7" s="1"/>
  <c r="K33" i="24"/>
  <c r="J9" i="29"/>
  <c r="J261" i="29"/>
  <c r="F11" i="24"/>
  <c r="F6" i="28" l="1"/>
  <c r="F10" i="24"/>
  <c r="F9" i="24" s="1"/>
  <c r="F8" i="24" s="1"/>
  <c r="F33" i="24"/>
  <c r="D14" i="5" s="1"/>
  <c r="K31" i="24"/>
  <c r="H258" i="29"/>
  <c r="J8" i="29"/>
  <c r="J260" i="29"/>
  <c r="K10" i="24"/>
  <c r="F5" i="28" l="1"/>
  <c r="D4" i="28"/>
  <c r="H5" i="29"/>
  <c r="H33" i="24"/>
  <c r="F31" i="24"/>
  <c r="F30" i="24" s="1"/>
  <c r="F7" i="24"/>
  <c r="H7" i="24" s="1"/>
  <c r="F6" i="24"/>
  <c r="J6" i="29"/>
  <c r="J7" i="29"/>
  <c r="J259" i="29"/>
  <c r="H11" i="24"/>
  <c r="F14" i="5"/>
  <c r="C21" i="11"/>
  <c r="F25" i="11"/>
  <c r="C25" i="11"/>
  <c r="C24" i="11" s="1"/>
  <c r="F23" i="11"/>
  <c r="F21" i="11"/>
  <c r="F17" i="11"/>
  <c r="F15" i="11"/>
  <c r="C15" i="11"/>
  <c r="C12" i="11"/>
  <c r="C10" i="11" s="1"/>
  <c r="F9" i="11"/>
  <c r="F6" i="11" s="1"/>
  <c r="C6" i="11"/>
  <c r="F17" i="10"/>
  <c r="C17" i="9" s="1"/>
  <c r="F15" i="10"/>
  <c r="F13" i="10"/>
  <c r="C8" i="10"/>
  <c r="E21" i="9"/>
  <c r="G21" i="9" s="1"/>
  <c r="G20" i="9"/>
  <c r="G19" i="9"/>
  <c r="C18" i="9"/>
  <c r="G18" i="9" s="1"/>
  <c r="G14" i="9"/>
  <c r="B27" i="7"/>
  <c r="B26" i="7" s="1"/>
  <c r="D26" i="7"/>
  <c r="F31" i="5"/>
  <c r="F30" i="5"/>
  <c r="F29" i="5"/>
  <c r="F28" i="5"/>
  <c r="F27" i="5"/>
  <c r="F26" i="5"/>
  <c r="F25" i="5"/>
  <c r="F23" i="5"/>
  <c r="F22" i="5"/>
  <c r="F21" i="5"/>
  <c r="F20" i="5"/>
  <c r="F19" i="5"/>
  <c r="F18" i="5"/>
  <c r="F16" i="5"/>
  <c r="F15" i="5"/>
  <c r="F13" i="5"/>
  <c r="F11" i="5"/>
  <c r="F7" i="5"/>
  <c r="F6" i="5"/>
  <c r="F4" i="5"/>
  <c r="F3" i="5"/>
  <c r="B24" i="7" l="1"/>
  <c r="E11" i="9"/>
  <c r="G11" i="9" s="1"/>
  <c r="F4" i="28"/>
  <c r="D3" i="28"/>
  <c r="F29" i="24"/>
  <c r="F28" i="24" s="1"/>
  <c r="C19" i="11"/>
  <c r="F10" i="11" s="1"/>
  <c r="F14" i="11" s="1"/>
  <c r="J258" i="29"/>
  <c r="J5" i="29"/>
  <c r="C9" i="10"/>
  <c r="C6" i="10" s="1"/>
  <c r="H10" i="24"/>
  <c r="F9" i="10"/>
  <c r="F6" i="10" s="1"/>
  <c r="F24" i="5"/>
  <c r="G17" i="9"/>
  <c r="G15" i="9"/>
  <c r="G16" i="9"/>
  <c r="H28" i="24" l="1"/>
  <c r="F27" i="24"/>
  <c r="F5" i="24" s="1"/>
  <c r="C9" i="27"/>
  <c r="H9" i="24"/>
  <c r="F5" i="10"/>
  <c r="E12" i="9"/>
  <c r="F5" i="11"/>
  <c r="C7" i="9"/>
  <c r="G7" i="9" s="1"/>
  <c r="C12" i="9"/>
  <c r="G13" i="9"/>
  <c r="D9" i="7" s="1"/>
  <c r="C13" i="10"/>
  <c r="C8" i="9" s="1"/>
  <c r="G8" i="9" s="1"/>
  <c r="C17" i="11"/>
  <c r="E10" i="9" s="1"/>
  <c r="G10" i="9" s="1"/>
  <c r="G6" i="9" l="1"/>
  <c r="B11" i="7"/>
  <c r="B12" i="7"/>
  <c r="H8" i="24"/>
  <c r="E9" i="27"/>
  <c r="C5" i="27"/>
  <c r="E5" i="27" s="1"/>
  <c r="B23" i="7"/>
  <c r="B17" i="7" s="1"/>
  <c r="B16" i="7" s="1"/>
  <c r="C18" i="27"/>
  <c r="C17" i="27" s="1"/>
  <c r="D17" i="7"/>
  <c r="D16" i="7" s="1"/>
  <c r="D8" i="7" s="1"/>
  <c r="C5" i="11"/>
  <c r="F27" i="11" s="1"/>
  <c r="G12" i="9"/>
  <c r="I12" i="9" s="1"/>
  <c r="C5" i="10"/>
  <c r="D21" i="10" s="1"/>
  <c r="C6" i="9"/>
  <c r="C22" i="9" s="1"/>
  <c r="B10" i="7" l="1"/>
  <c r="B9" i="7" s="1"/>
  <c r="B8" i="7" s="1"/>
  <c r="D33" i="7"/>
  <c r="C33" i="7"/>
  <c r="C4" i="27"/>
  <c r="F3" i="28"/>
  <c r="H6" i="24"/>
  <c r="G22" i="9"/>
  <c r="E6" i="9"/>
  <c r="E22" i="9" s="1"/>
  <c r="H32" i="24"/>
  <c r="I6" i="9" l="1"/>
  <c r="B33" i="7"/>
  <c r="A33" i="7"/>
  <c r="D18" i="27"/>
  <c r="H30" i="24"/>
  <c r="H31" i="24"/>
  <c r="H29" i="24" l="1"/>
  <c r="H5" i="24" l="1"/>
  <c r="H27" i="24"/>
  <c r="D17" i="27" l="1"/>
  <c r="E18" i="27"/>
  <c r="D4" i="27" l="1"/>
  <c r="E4" i="27" s="1"/>
  <c r="E17" i="27"/>
  <c r="F12" i="5" l="1"/>
  <c r="F9" i="5"/>
  <c r="F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B28" authorId="0" shapeId="0" xr:uid="{00000000-0006-0000-0500-000001000000}">
      <text>
        <r>
          <rPr>
            <b/>
            <sz val="9"/>
            <color indexed="81"/>
            <rFont val="돋움"/>
            <family val="3"/>
            <charset val="129"/>
          </rPr>
          <t>본예산 편성시 추정치가 입력되나, 1차 추경시결산에 반영된 차기이월액을 반영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D31" authorId="0" shapeId="0" xr:uid="{311E0C6B-64EB-47FF-A085-59EBF0517C7A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  <comment ref="F144" authorId="0" shapeId="0" xr:uid="{3D8C5DC4-44E8-40F8-847F-C04DC4C9F036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7" authorId="0" shapeId="0" xr:uid="{2A28BB0E-8152-4B0B-BF06-024E93A77924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만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5" authorId="0" shapeId="0" xr:uid="{42C775C1-2005-49FF-A020-0EF9EDFC936E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7" authorId="0" shapeId="0" xr:uid="{D49D420C-3271-405C-9B4F-F4B238996736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K196" authorId="0" shapeId="0" xr:uid="{DF22506F-2139-46C7-BFC3-971DE0931580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저공해차량으로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유류비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K199" authorId="0" shapeId="0" xr:uid="{2702376D-9DF0-4F63-8E4C-1111E17F271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10</t>
        </r>
        <r>
          <rPr>
            <sz val="9"/>
            <color indexed="81"/>
            <rFont val="돋움"/>
            <family val="3"/>
            <charset val="129"/>
          </rPr>
          <t>일에서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K200" authorId="0" shapeId="0" xr:uid="{A312F56A-463D-410B-AC15-4AA8DCF1A3D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회에서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
단가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만원에</t>
        </r>
        <r>
          <rPr>
            <sz val="9"/>
            <color indexed="81"/>
            <rFont val="Tahoma"/>
            <family val="2"/>
          </rPr>
          <t xml:space="preserve"> 11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</t>
        </r>
      </text>
    </comment>
    <comment ref="K254" authorId="0" shapeId="0" xr:uid="{B9898D80-7670-4677-B7F3-6AD7FBE93601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15%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20%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</t>
        </r>
      </text>
    </comment>
    <comment ref="P516" authorId="0" shapeId="0" xr:uid="{6BE00069-3159-42A2-A9C1-D110A0A529E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2023.7.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총계</t>
        </r>
        <r>
          <rPr>
            <sz val="9"/>
            <color indexed="81"/>
            <rFont val="Tahoma"/>
            <family val="2"/>
          </rPr>
          <t xml:space="preserve"> / 7</t>
        </r>
        <r>
          <rPr>
            <sz val="9"/>
            <color indexed="81"/>
            <rFont val="돋움"/>
            <family val="3"/>
            <charset val="129"/>
          </rPr>
          <t>월</t>
        </r>
      </text>
    </comment>
    <comment ref="Q516" authorId="0" shapeId="0" xr:uid="{F52F7993-A7FA-47E3-9685-D2B0ED937B5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지급률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110" authorId="0" shapeId="0" xr:uid="{F31B11C0-8892-4017-95C7-EED77D84680E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TG</author>
  </authors>
  <commentList>
    <comment ref="K35" authorId="0" shapeId="0" xr:uid="{8ECF71E6-EBFE-4A48-8D76-22898B130701}">
      <text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근속자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</text>
    </comment>
    <comment ref="K152" authorId="0" shapeId="0" xr:uid="{6D530645-C87E-48CE-9599-E9A0066FEC15}">
      <text>
        <r>
          <rPr>
            <b/>
            <sz val="10"/>
            <color indexed="81"/>
            <rFont val="Tahoma"/>
            <family val="2"/>
          </rPr>
          <t xml:space="preserve">2025 </t>
        </r>
        <r>
          <rPr>
            <b/>
            <sz val="10"/>
            <color indexed="81"/>
            <rFont val="돋움"/>
            <family val="3"/>
            <charset val="129"/>
          </rPr>
          <t>사무실</t>
        </r>
        <r>
          <rPr>
            <b/>
            <sz val="10"/>
            <color indexed="81"/>
            <rFont val="Tahoma"/>
            <family val="2"/>
          </rPr>
          <t xml:space="preserve"> 6</t>
        </r>
        <r>
          <rPr>
            <b/>
            <sz val="10"/>
            <color indexed="81"/>
            <rFont val="돋움"/>
            <family val="3"/>
            <charset val="129"/>
          </rPr>
          <t>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추가</t>
        </r>
      </text>
    </comment>
    <comment ref="K153" authorId="0" shapeId="0" xr:uid="{F467AAF8-4692-489E-A7F9-3077FF1A409F}">
      <text>
        <r>
          <rPr>
            <b/>
            <sz val="10"/>
            <color indexed="81"/>
            <rFont val="Tahoma"/>
            <family val="2"/>
          </rPr>
          <t xml:space="preserve">2025 </t>
        </r>
        <r>
          <rPr>
            <b/>
            <sz val="10"/>
            <color indexed="81"/>
            <rFont val="돋움"/>
            <family val="3"/>
            <charset val="129"/>
          </rPr>
          <t>사무실</t>
        </r>
        <r>
          <rPr>
            <b/>
            <sz val="10"/>
            <color indexed="81"/>
            <rFont val="Tahoma"/>
            <family val="2"/>
          </rPr>
          <t xml:space="preserve"> 6</t>
        </r>
        <r>
          <rPr>
            <b/>
            <sz val="10"/>
            <color indexed="81"/>
            <rFont val="돋움"/>
            <family val="3"/>
            <charset val="129"/>
          </rPr>
          <t>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추가</t>
        </r>
      </text>
    </comment>
    <comment ref="K177" authorId="0" shapeId="0" xr:uid="{13A768AF-CAE2-4F78-A209-E648DD59E1AD}">
      <text>
        <r>
          <rPr>
            <b/>
            <sz val="10"/>
            <color indexed="81"/>
            <rFont val="Tahoma"/>
            <family val="2"/>
          </rPr>
          <t>2025</t>
        </r>
        <r>
          <rPr>
            <b/>
            <sz val="10"/>
            <color indexed="81"/>
            <rFont val="돋움"/>
            <family val="3"/>
            <charset val="129"/>
          </rPr>
          <t>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편성으로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삭제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  <author>임재윤</author>
    <author>lg</author>
    <author>최광호</author>
  </authors>
  <commentList>
    <comment ref="Q15" authorId="0" shapeId="0" xr:uid="{6CE43E93-95B0-4335-8E1A-9B9451BECA9E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88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</text>
    </comment>
    <comment ref="R16" authorId="1" shapeId="0" xr:uid="{AD51C11D-7B4E-4B8B-B8C7-DDBEC5D507E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(5) : </t>
        </r>
        <r>
          <rPr>
            <sz val="9"/>
            <color indexed="81"/>
            <rFont val="돋움"/>
            <family val="3"/>
            <charset val="129"/>
          </rPr>
          <t>소장실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4 
</t>
        </r>
        <r>
          <rPr>
            <sz val="9"/>
            <color indexed="81"/>
            <rFont val="돋움"/>
            <family val="3"/>
            <charset val="129"/>
          </rPr>
          <t xml:space="preserve">추가인쇄비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흑백</t>
        </r>
        <r>
          <rPr>
            <sz val="9"/>
            <color indexed="81"/>
            <rFont val="Tahoma"/>
            <family val="2"/>
          </rPr>
          <t xml:space="preserve"> : 10,000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초과분</t>
        </r>
        <r>
          <rPr>
            <sz val="9"/>
            <color indexed="81"/>
            <rFont val="Tahoma"/>
            <family val="2"/>
          </rPr>
          <t xml:space="preserve"> - 15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(A4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
-</t>
        </r>
        <r>
          <rPr>
            <sz val="9"/>
            <color indexed="81"/>
            <rFont val="돋움"/>
            <family val="3"/>
            <charset val="129"/>
          </rPr>
          <t>칼라</t>
        </r>
        <r>
          <rPr>
            <sz val="9"/>
            <color indexed="81"/>
            <rFont val="Tahoma"/>
            <family val="2"/>
          </rPr>
          <t xml:space="preserve"> : 1,000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- 150</t>
        </r>
      </text>
    </comment>
    <comment ref="Q35" authorId="1" shapeId="0" xr:uid="{36DECDF7-60C6-4A29-B133-9F0A64F4346D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3,350,000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3,600,000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작업환경측정등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36" authorId="1" shapeId="0" xr:uid="{531AC468-C2A6-483E-851A-1F35ED97900B}">
      <text>
        <r>
          <rPr>
            <sz val="9"/>
            <color indexed="81"/>
            <rFont val="돋움"/>
            <family val="3"/>
            <charset val="129"/>
          </rPr>
          <t>소방시설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설치ㆍ유지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소방시설등의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 2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Q37" authorId="1" shapeId="0" xr:uid="{0B22FF46-6941-42B1-AA06-70249B880E72}">
      <text>
        <r>
          <rPr>
            <sz val="9"/>
            <color indexed="81"/>
            <rFont val="돋움"/>
            <family val="3"/>
            <charset val="129"/>
          </rPr>
          <t xml:space="preserve">TMS 전송항목(1회/분기) : 먼지, 황산화물, 질소산화물, 일산화탄소, 염화수소
TMS 미전송항목(1회/분기) : 황화수소 외 29종(벤조(a)피렌 포함)
바이오가스보일러(1회/년) :  먼지, 황산화물, 질소산화물, 일산화탄소, 염화수소
잉여가스보일러(1회/년) :  먼지, 황산화물, 질소산화물, 일산화탄소, 염화수소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견적서 : 37,248천원(VAT별도)</t>
        </r>
      </text>
    </comment>
    <comment ref="Q38" authorId="1" shapeId="0" xr:uid="{FB123E60-F44E-42D8-A242-644C1ACAFBE5}">
      <text>
        <r>
          <rPr>
            <sz val="9"/>
            <color indexed="81"/>
            <rFont val="돋움"/>
            <family val="3"/>
            <charset val="129"/>
          </rPr>
          <t xml:space="preserve">복합악취(1회/년) : 10지점
지정악취(1회/년) : 암모니아 외 21종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 : 23,000천원(VAT 별도)</t>
        </r>
      </text>
    </comment>
    <comment ref="Q39" authorId="1" shapeId="0" xr:uid="{68450429-2063-46C1-8133-DF94867EF289}">
      <text>
        <r>
          <rPr>
            <sz val="9"/>
            <color indexed="81"/>
            <rFont val="Tahoma"/>
            <family val="2"/>
          </rPr>
          <t>TMS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견적가</t>
        </r>
        <r>
          <rPr>
            <sz val="9"/>
            <color indexed="81"/>
            <rFont val="Tahoma"/>
            <family val="2"/>
          </rPr>
          <t xml:space="preserve"> 42,009,000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대기환경보전법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0" authorId="1" shapeId="0" xr:uid="{B443CD55-E1C3-4640-9B12-BDB444182024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209,000/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250,000 * 12 = 3,000,000</t>
        </r>
      </text>
    </comment>
    <comment ref="Q42" authorId="1" shapeId="0" xr:uid="{D0829F15-A1E1-4BA6-BE84-D5DDF0291784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'22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법정검사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수수료</t>
        </r>
        <r>
          <rPr>
            <sz val="9"/>
            <color indexed="81"/>
            <rFont val="Tahoma"/>
            <family val="2"/>
          </rPr>
          <t xml:space="preserve"> : 1,287,990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수전용량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증설</t>
        </r>
        <r>
          <rPr>
            <sz val="9"/>
            <color indexed="81"/>
            <rFont val="Tahoma"/>
            <family val="2"/>
          </rPr>
          <t xml:space="preserve">(1,550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>2,000)</t>
        </r>
      </text>
    </comment>
    <comment ref="Q43" authorId="1" shapeId="0" xr:uid="{7131E20F-5021-4A01-8D4D-5BF586C908FF}">
      <text>
        <r>
          <rPr>
            <sz val="9"/>
            <color indexed="81"/>
            <rFont val="돋움"/>
            <family val="3"/>
            <charset val="129"/>
          </rPr>
          <t>정도검사 수수료
먼지측정기 : 978,000원
가스측정기 : 916,000원*5항목 = 
항목 : 이산화항, 질소산화물, 일산화탄소, 염화수소, 산소
유속계 : 528,000원
총계 : 6,086,000원(6,100,000)</t>
        </r>
      </text>
    </comment>
    <comment ref="Q44" authorId="1" shapeId="0" xr:uid="{38389607-FC81-4C18-876D-6690F4FFF60E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6,270,000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6,500,000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45" authorId="1" shapeId="0" xr:uid="{2F366CDC-DA48-4C90-8E2A-8054F52F743B}">
      <text>
        <r>
          <rPr>
            <b/>
            <sz val="9"/>
            <color indexed="81"/>
            <rFont val="돋움"/>
            <family val="3"/>
            <charset val="129"/>
          </rPr>
          <t>신소화조 1,500,000/회
구소화조 2,500,000/회</t>
        </r>
      </text>
    </comment>
    <comment ref="Q46" authorId="1" shapeId="0" xr:uid="{FEF827C3-0B98-498F-8C82-085619337A0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36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안전검사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9" authorId="1" shapeId="0" xr:uid="{67B31FAC-39B0-4E45-87AD-BFFC834DF2FE}">
      <text>
        <r>
          <rPr>
            <sz val="9"/>
            <color indexed="81"/>
            <rFont val="돋움"/>
            <family val="3"/>
            <charset val="129"/>
          </rPr>
          <t>'22년 폐수처리비 : 241,492,374원
'23년 폐수처리비 : 232,862,670원</t>
        </r>
      </text>
    </comment>
    <comment ref="Q50" authorId="2" shapeId="0" xr:uid="{B84BD8AF-609D-467C-A735-F766C73CE766}">
      <text>
        <r>
          <rPr>
            <sz val="9"/>
            <color indexed="81"/>
            <rFont val="돋움"/>
            <family val="3"/>
            <charset val="129"/>
          </rPr>
          <t>성상분석</t>
        </r>
        <r>
          <rPr>
            <sz val="9"/>
            <color indexed="81"/>
            <rFont val="Tahoma"/>
            <family val="2"/>
          </rPr>
          <t xml:space="preserve"> : 3,500,000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12 = 42,000,000</t>
        </r>
        <r>
          <rPr>
            <sz val="9"/>
            <color indexed="81"/>
            <rFont val="돋움"/>
            <family val="3"/>
            <charset val="129"/>
          </rPr>
          <t xml:space="preserve">
소각재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4 = 1,200,000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43,200,000/12 = 3,600,000/</t>
        </r>
        <r>
          <rPr>
            <sz val="9"/>
            <color indexed="81"/>
            <rFont val="돋움"/>
            <family val="3"/>
            <charset val="129"/>
          </rPr>
          <t xml:space="preserve">월
</t>
        </r>
      </text>
    </comment>
    <comment ref="Q51" authorId="3" shapeId="0" xr:uid="{B064E3C0-1E77-43EE-BF0B-1E8858038664}">
      <text>
        <r>
          <rPr>
            <b/>
            <sz val="9"/>
            <color indexed="81"/>
            <rFont val="돋움"/>
            <family val="3"/>
            <charset val="129"/>
          </rPr>
          <t>비점오염원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식수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
기타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52" authorId="3" shapeId="0" xr:uid="{30AD538E-DBCB-45C4-8E79-B15C11A826D3}">
      <text>
        <r>
          <rPr>
            <b/>
            <sz val="9"/>
            <color indexed="81"/>
            <rFont val="돋움"/>
            <family val="3"/>
            <charset val="129"/>
          </rPr>
          <t>방류수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오염물질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3,000,000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  <comment ref="Q55" authorId="1" shapeId="0" xr:uid="{54B33756-700D-459C-B18D-01751FE07D5A}">
      <text>
        <r>
          <rPr>
            <sz val="9"/>
            <color indexed="81"/>
            <rFont val="돋움"/>
            <family val="3"/>
            <charset val="129"/>
          </rPr>
          <t>임재윤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계측기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종</t>
        </r>
        <r>
          <rPr>
            <sz val="9"/>
            <color indexed="81"/>
            <rFont val="Tahoma"/>
            <family val="2"/>
          </rPr>
          <t xml:space="preserve">) : DIGITAL INSULATION TESTER </t>
        </r>
        <r>
          <rPr>
            <sz val="9"/>
            <color indexed="81"/>
            <rFont val="돋움"/>
            <family val="3"/>
            <charset val="129"/>
          </rPr>
          <t>외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 xml:space="preserve">종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교정비용</t>
        </r>
        <r>
          <rPr>
            <sz val="9"/>
            <color indexed="81"/>
            <rFont val="Tahoma"/>
            <family val="2"/>
          </rPr>
          <t xml:space="preserve"> : 422,470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65" authorId="1" shapeId="0" xr:uid="{22CFC695-35B3-4037-9C40-E38C136420A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69,900</t>
        </r>
      </text>
    </comment>
    <comment ref="Q66" authorId="1" shapeId="0" xr:uid="{72F97165-7705-4F64-85D8-F6149B1A00F6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19,760</t>
        </r>
      </text>
    </comment>
    <comment ref="R66" authorId="2" shapeId="0" xr:uid="{2BD8BC85-5773-4B61-98B2-C2D9FE28E3E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비데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랜트비용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>)</t>
        </r>
      </text>
    </comment>
    <comment ref="Q67" authorId="1" shapeId="0" xr:uid="{3BC314F6-E44D-4198-939B-04052B4DE4BD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: 150,000(VAT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 xml:space="preserve"> : 90,000(VAT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R67" authorId="2" shapeId="0" xr:uid="{21C80885-6B7B-4C44-BF50-B7E5B934F1F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</text>
    </comment>
    <comment ref="Q68" authorId="1" shapeId="0" xr:uid="{5E745632-657B-42AA-8D56-73AB86960D39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59,900</t>
        </r>
      </text>
    </comment>
    <comment ref="Q70" authorId="0" shapeId="0" xr:uid="{FD052FB4-1ED7-4EB4-9CB5-947D8D6880DA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2,200,000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S70" authorId="1" shapeId="0" xr:uid="{1499C1DF-4870-42B8-8398-A7614F2D3500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하반기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각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)</t>
        </r>
      </text>
    </comment>
    <comment ref="Q71" authorId="1" shapeId="0" xr:uid="{38FEAFFC-3371-41F4-A9CD-FCD2B400695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굴삭기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임대료</t>
        </r>
        <r>
          <rPr>
            <b/>
            <sz val="9"/>
            <color indexed="81"/>
            <rFont val="Tahoma"/>
            <family val="2"/>
          </rPr>
          <t xml:space="preserve"> :  750,000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물가정보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S71" authorId="1" shapeId="0" xr:uid="{479F4E41-57BD-495E-B921-9DB0A9F37DA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하반기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:  </t>
        </r>
        <r>
          <rPr>
            <sz val="9"/>
            <color indexed="81"/>
            <rFont val="돋움"/>
            <family val="3"/>
            <charset val="129"/>
          </rPr>
          <t>각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
 </t>
        </r>
        <r>
          <rPr>
            <sz val="9"/>
            <color indexed="81"/>
            <rFont val="돋움"/>
            <family val="3"/>
            <charset val="129"/>
          </rPr>
          <t>비상</t>
        </r>
        <r>
          <rPr>
            <sz val="9"/>
            <color indexed="81"/>
            <rFont val="Tahoma"/>
            <family val="2"/>
          </rPr>
          <t xml:space="preserve">(emergency) 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: 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Q73" authorId="0" shapeId="0" xr:uid="{3DB00AE8-8F3C-4F3E-8CEF-BBB38AA7868B}">
      <text>
        <r>
          <rPr>
            <sz val="9"/>
            <color indexed="81"/>
            <rFont val="돋움"/>
            <family val="3"/>
            <charset val="129"/>
          </rPr>
          <t>니로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년계약</t>
        </r>
        <r>
          <rPr>
            <sz val="9"/>
            <color indexed="81"/>
            <rFont val="Tahoma"/>
            <family val="2"/>
          </rPr>
          <t xml:space="preserve">(23.3~26.2)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970,000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12 = 11,640,000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Q82" authorId="1" shapeId="0" xr:uid="{2B5C0320-4488-47CC-AAA3-7FAFDBD2788A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방독마스크</t>
        </r>
        <r>
          <rPr>
            <sz val="9"/>
            <color indexed="81"/>
            <rFont val="Tahoma"/>
            <family val="2"/>
          </rPr>
          <t xml:space="preserve"> : 16,500(2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방진마스크</t>
        </r>
        <r>
          <rPr>
            <sz val="9"/>
            <color indexed="81"/>
            <rFont val="Tahoma"/>
            <family val="2"/>
          </rPr>
          <t xml:space="preserve"> : 1,100
</t>
        </r>
        <r>
          <rPr>
            <sz val="9"/>
            <color indexed="81"/>
            <rFont val="돋움"/>
            <family val="3"/>
            <charset val="129"/>
          </rPr>
          <t>방진복</t>
        </r>
        <r>
          <rPr>
            <sz val="9"/>
            <color indexed="81"/>
            <rFont val="Tahoma"/>
            <family val="2"/>
          </rPr>
          <t xml:space="preserve"> : 7,700</t>
        </r>
      </text>
    </comment>
    <comment ref="Q83" authorId="2" shapeId="0" xr:uid="{8913DAA5-C1F2-41BA-9B49-2808258BB7A1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250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150,000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300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180,000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완코팅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×40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960,000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89" authorId="2" shapeId="0" xr:uid="{2D524F34-D0D4-42A4-9886-B1CC9AE2F4A2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684-0915.0916.0917(3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>, TMS(</t>
        </r>
        <r>
          <rPr>
            <sz val="9"/>
            <color indexed="81"/>
            <rFont val="돋움"/>
            <family val="3"/>
            <charset val="129"/>
          </rPr>
          <t>전용</t>
        </r>
        <r>
          <rPr>
            <sz val="9"/>
            <color indexed="81"/>
            <rFont val="Tahoma"/>
            <family val="2"/>
          </rPr>
          <t>))</t>
        </r>
      </text>
    </comment>
    <comment ref="Q91" authorId="1" shapeId="0" xr:uid="{EE4E413B-1166-4C59-959A-97BE271E4BE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전파사용료</t>
        </r>
        <r>
          <rPr>
            <sz val="9"/>
            <color indexed="81"/>
            <rFont val="Tahoma"/>
            <family val="2"/>
          </rPr>
          <t xml:space="preserve"> : 10,800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대</t>
        </r>
      </text>
    </comment>
    <comment ref="Q93" authorId="0" shapeId="0" xr:uid="{87868AAA-D7BD-4FB9-AA80-FC764114FFC8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205,000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Q95" authorId="0" shapeId="0" xr:uid="{500E1500-316B-4EC2-A811-B1CC933D659B}">
      <text>
        <r>
          <rPr>
            <b/>
            <sz val="9"/>
            <color indexed="81"/>
            <rFont val="돋움"/>
            <family val="3"/>
            <charset val="129"/>
          </rPr>
          <t>협회비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소방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위험물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보일러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에너지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98" authorId="1" shapeId="0" xr:uid="{5B15CCDE-AB48-4D36-BC3B-1366F4CFE786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7,215,800(24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>)</t>
        </r>
      </text>
    </comment>
    <comment ref="Q100" authorId="0" shapeId="0" xr:uid="{675FDF1D-48E0-48C9-BCA3-F755CFD23AA5}">
      <text>
        <r>
          <rPr>
            <sz val="9"/>
            <color indexed="81"/>
            <rFont val="돋움"/>
            <family val="3"/>
            <charset val="129"/>
          </rPr>
          <t>소각재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안정화재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바닥재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안정화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바닥재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600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= 600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7.2</t>
        </r>
        <r>
          <rPr>
            <sz val="9"/>
            <color indexed="81"/>
            <rFont val="돋움"/>
            <family val="3"/>
            <charset val="129"/>
          </rPr>
          <t>천톤</t>
        </r>
        <r>
          <rPr>
            <sz val="9"/>
            <color indexed="81"/>
            <rFont val="Tahoma"/>
            <family val="2"/>
          </rPr>
          <t xml:space="preserve">            </t>
        </r>
      </text>
    </comment>
    <comment ref="S100" authorId="0" shapeId="0" xr:uid="{FD61B965-2E77-4E65-8168-9C0FA0E744E2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1" authorId="0" shapeId="0" xr:uid="{D786CCBE-0DA9-42AC-856B-81397125DA6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85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960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S101" authorId="0" shapeId="0" xr:uid="{76193BF5-2F09-40ED-9130-43689E20AC9C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5" authorId="0" shapeId="0" xr:uid="{A09F9D80-23B6-4463-98EE-3095EF400F89}">
      <text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보험료</t>
        </r>
        <r>
          <rPr>
            <sz val="9"/>
            <color indexed="81"/>
            <rFont val="Tahoma"/>
            <family val="2"/>
          </rPr>
          <t xml:space="preserve"> : 
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:  298,590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08" authorId="0" shapeId="0" xr:uid="{98C00992-56A4-43AC-989D-234022E09E79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차량유지비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세차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) : 
  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: 200,000(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: 100,000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</text>
    </comment>
    <comment ref="Q109" authorId="0" shapeId="0" xr:uid="{EF1267B5-40F1-4285-A9AA-A2A14F234390}">
      <text>
        <r>
          <rPr>
            <sz val="9"/>
            <color indexed="81"/>
            <rFont val="돋움"/>
            <family val="3"/>
            <charset val="129"/>
          </rPr>
          <t>경유</t>
        </r>
        <r>
          <rPr>
            <sz val="9"/>
            <color indexed="81"/>
            <rFont val="Tahoma"/>
            <family val="2"/>
          </rPr>
          <t xml:space="preserve"> : 1,700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T109" authorId="0" shapeId="0" xr:uid="{F3568170-D89C-4A48-B435-2200B11355D3}">
      <text>
        <r>
          <rPr>
            <sz val="9"/>
            <color indexed="81"/>
            <rFont val="돋움"/>
            <family val="3"/>
            <charset val="129"/>
          </rPr>
          <t>암롤차의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
지게차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30L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(360 = 30L * 12)</t>
        </r>
      </text>
    </comment>
    <comment ref="Q110" authorId="0" shapeId="0" xr:uid="{1D82E7F6-38AD-4FD9-B1C1-60BDF39BEC1E}">
      <text>
        <r>
          <rPr>
            <sz val="9"/>
            <color indexed="81"/>
            <rFont val="돋움"/>
            <family val="3"/>
            <charset val="129"/>
          </rPr>
          <t>전기차 급속충전시 가격 
347.2원/kWh(2023년)
전기차(니로) 연비 : 5.3km/kwh
100km당 연료비 6,550원
1km 당 연료비 66원
연비적용 66원/km</t>
        </r>
      </text>
    </comment>
    <comment ref="T110" authorId="0" shapeId="0" xr:uid="{541D8BF5-D0CB-4C8D-AB9A-9ED9100A348C}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운행예상거리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km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1,4000km </t>
        </r>
        <r>
          <rPr>
            <sz val="9"/>
            <color indexed="81"/>
            <rFont val="돋움"/>
            <family val="3"/>
            <charset val="129"/>
          </rPr>
          <t xml:space="preserve">운전
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km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  <comment ref="Q114" authorId="0" shapeId="0" xr:uid="{64B179EF-FA9E-4268-A39F-B5F1CC7263FD}">
      <text>
        <r>
          <rPr>
            <b/>
            <sz val="9"/>
            <color indexed="81"/>
            <rFont val="돋움"/>
            <family val="3"/>
            <charset val="129"/>
          </rPr>
          <t>관외여비</t>
        </r>
        <r>
          <rPr>
            <b/>
            <sz val="9"/>
            <color indexed="81"/>
            <rFont val="Tahoma"/>
            <family val="2"/>
          </rPr>
          <t xml:space="preserve"> 150,000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R114" authorId="0" shapeId="0" xr:uid="{E24E5388-04EB-49E2-B6FA-2185F0D3D610}">
      <text>
        <r>
          <rPr>
            <b/>
            <sz val="9"/>
            <color indexed="81"/>
            <rFont val="돋움"/>
            <family val="3"/>
            <charset val="129"/>
          </rPr>
          <t>벤치마킹</t>
        </r>
        <r>
          <rPr>
            <b/>
            <sz val="9"/>
            <color indexed="81"/>
            <rFont val="Tahoma"/>
            <family val="2"/>
          </rPr>
          <t xml:space="preserve"> : 30</t>
        </r>
        <r>
          <rPr>
            <b/>
            <sz val="9"/>
            <color indexed="81"/>
            <rFont val="돋움"/>
            <family val="3"/>
            <charset val="129"/>
          </rPr>
          <t>명
기타</t>
        </r>
        <r>
          <rPr>
            <b/>
            <sz val="9"/>
            <color indexed="81"/>
            <rFont val="Tahoma"/>
            <family val="2"/>
          </rPr>
          <t xml:space="preserve"> : 24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  <comment ref="Q122" authorId="2" shapeId="0" xr:uid="{D13BE980-B97E-4C15-BA27-BA5345FDDB23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최저</t>
        </r>
        <r>
          <rPr>
            <sz val="9"/>
            <color indexed="81"/>
            <rFont val="Tahoma"/>
            <family val="2"/>
          </rPr>
          <t xml:space="preserve"> 625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520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2" authorId="1" shapeId="0" xr:uid="{991C7571-360A-4EB5-A756-CC23BDD20EC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313L</t>
        </r>
      </text>
    </comment>
    <comment ref="Q123" authorId="2" shapeId="0" xr:uid="{993C94F8-A6B4-4353-9475-58BEF998A075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78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81.4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3" authorId="0" shapeId="0" xr:uid="{6897B479-8362-49A6-B6F0-E364838A329B}">
      <text>
        <r>
          <rPr>
            <sz val="9"/>
            <color indexed="81"/>
            <rFont val="돋움"/>
            <family val="3"/>
            <charset val="129"/>
          </rPr>
          <t>24년도 일평균 사용량 : 5,625L</t>
        </r>
      </text>
    </comment>
    <comment ref="Q124" authorId="2" shapeId="0" xr:uid="{94355B4B-55C6-4217-A96E-913109EA480B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</t>
        </r>
        <r>
          <rPr>
            <b/>
            <sz val="9"/>
            <color indexed="81"/>
            <rFont val="Tahoma"/>
            <family val="2"/>
          </rPr>
          <t xml:space="preserve"> : 2,850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 kg</t>
        </r>
      </text>
    </comment>
    <comment ref="R124" authorId="0" shapeId="0" xr:uid="{2BCF345A-8A59-4419-ACCA-88FF88C7506D}">
      <text>
        <r>
          <rPr>
            <sz val="9"/>
            <color indexed="81"/>
            <rFont val="돋움"/>
            <family val="3"/>
            <charset val="129"/>
          </rPr>
          <t>24년도 일평균 사용량 : 63kg</t>
        </r>
      </text>
    </comment>
    <comment ref="Q125" authorId="2" shapeId="0" xr:uid="{D4039689-551C-434F-9217-55CE7C3246F0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2,800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5" authorId="0" shapeId="0" xr:uid="{72E89D63-E538-4FAD-938A-1994B495E1DE}">
      <text>
        <r>
          <rPr>
            <sz val="9"/>
            <color indexed="81"/>
            <rFont val="돋움"/>
            <family val="3"/>
            <charset val="129"/>
          </rPr>
          <t>소각 : 3L/일
바이오 :  4L/일
사용량 : 3 + 4 = 7L/day</t>
        </r>
      </text>
    </comment>
    <comment ref="Q126" authorId="1" shapeId="0" xr:uid="{FC5E7BA9-BA1C-4AB2-BB22-03D309992010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3,375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 4,100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26" authorId="0" shapeId="0" xr:uid="{9166B17D-5187-4DEB-8B6F-219EB5300CE1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7" authorId="1" shapeId="0" xr:uid="{F02DF1AD-37EB-49C8-9B39-7AA53CACFE1C}">
      <text>
        <r>
          <rPr>
            <b/>
            <sz val="9"/>
            <color indexed="81"/>
            <rFont val="돋움"/>
            <family val="3"/>
            <charset val="129"/>
          </rPr>
          <t>22년 가격조사 : 3,500원/kg
24년도 견적 :  4,000원</t>
        </r>
      </text>
    </comment>
    <comment ref="R127" authorId="0" shapeId="0" xr:uid="{1C6D779E-6027-4982-9EF2-7BFA3572B508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8" authorId="1" shapeId="0" xr:uid="{3844F24B-0B3A-4EC2-94F4-4F1D35B121CD}">
      <text>
        <r>
          <rPr>
            <b/>
            <sz val="9"/>
            <color indexed="81"/>
            <rFont val="돋움"/>
            <family val="3"/>
            <charset val="129"/>
          </rPr>
          <t>23년 가격조사 : 5,000원/kg
24년 견적 적용 : 5,000원</t>
        </r>
      </text>
    </comment>
    <comment ref="R128" authorId="0" shapeId="0" xr:uid="{A12F3ED4-0CFF-4D7A-9D07-F815348B536D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1L</t>
        </r>
      </text>
    </comment>
    <comment ref="Q129" authorId="1" shapeId="0" xr:uid="{21F26631-5F56-47D9-948D-6FCF45240A82}">
      <text>
        <r>
          <rPr>
            <b/>
            <sz val="9"/>
            <color indexed="81"/>
            <rFont val="돋움"/>
            <family val="3"/>
            <charset val="129"/>
          </rPr>
          <t>23년 가격조사 : 2,750원/kg
24년 견적 적용 1,800원/kg</t>
        </r>
      </text>
    </comment>
    <comment ref="R129" authorId="0" shapeId="0" xr:uid="{5FCD9034-F195-41E1-9728-A1C7AF503127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168L</t>
        </r>
      </text>
    </comment>
    <comment ref="Q130" authorId="1" shapeId="0" xr:uid="{7D15C345-7CE7-46E8-915E-3FFD6351BC7C}">
      <text>
        <r>
          <rPr>
            <b/>
            <sz val="9"/>
            <color indexed="81"/>
            <rFont val="돋움"/>
            <family val="3"/>
            <charset val="129"/>
          </rPr>
          <t>23년 가격조사 : 450원/kg
적용 : 470원</t>
        </r>
      </text>
    </comment>
    <comment ref="R130" authorId="2" shapeId="0" xr:uid="{1F441532-D04D-49FE-B52E-5BE5647B1C24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190L</t>
        </r>
      </text>
    </comment>
    <comment ref="Q131" authorId="1" shapeId="0" xr:uid="{746D8608-1575-4C1B-93B9-A208DCAD9A3B}">
      <text>
        <r>
          <rPr>
            <b/>
            <sz val="9"/>
            <color indexed="81"/>
            <rFont val="돋움"/>
            <family val="3"/>
            <charset val="129"/>
          </rPr>
          <t>23년 가격조사 : 163원/kg
적용 : 188원</t>
        </r>
      </text>
    </comment>
    <comment ref="R131" authorId="0" shapeId="0" xr:uid="{9012D6A1-C930-4B19-9DD1-4B4E195A9E1E}">
      <text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폐수</t>
        </r>
        <r>
          <rPr>
            <b/>
            <sz val="9"/>
            <color indexed="81"/>
            <rFont val="Tahoma"/>
            <family val="2"/>
          </rPr>
          <t xml:space="preserve">) : 40 l/d
</t>
        </r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바이오</t>
        </r>
        <r>
          <rPr>
            <b/>
            <sz val="9"/>
            <color indexed="81"/>
            <rFont val="Tahoma"/>
            <family val="2"/>
          </rPr>
          <t>) : 136.73l/d
40 +137 =177L/day(</t>
        </r>
        <r>
          <rPr>
            <b/>
            <sz val="9"/>
            <color indexed="81"/>
            <rFont val="돋움"/>
            <family val="3"/>
            <charset val="129"/>
          </rPr>
          <t>최대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설계량</t>
        </r>
        <r>
          <rPr>
            <b/>
            <sz val="9"/>
            <color indexed="81"/>
            <rFont val="Tahoma"/>
            <family val="2"/>
          </rPr>
          <t>)
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60L(30%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132" authorId="2" shapeId="0" xr:uid="{D8B2857B-A47C-4841-8CA5-1859520B387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24 </t>
        </r>
        <r>
          <rPr>
            <sz val="9"/>
            <color indexed="81"/>
            <rFont val="돋움"/>
            <family val="3"/>
            <charset val="129"/>
          </rPr>
          <t>나라장터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종합쇼핑몰</t>
        </r>
        <r>
          <rPr>
            <sz val="9"/>
            <color indexed="81"/>
            <rFont val="Tahoma"/>
            <family val="2"/>
          </rPr>
          <t xml:space="preserve"> 3,366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3,500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32" authorId="1" shapeId="0" xr:uid="{A0C58F72-0593-4AD9-92DB-51CB133F2756}">
      <text>
        <r>
          <rPr>
            <b/>
            <sz val="9"/>
            <color indexed="81"/>
            <rFont val="돋움"/>
            <family val="3"/>
            <charset val="129"/>
          </rPr>
          <t>임재윤:
응집제(바이오) :26,800
응집제(폐수) : 13,200
26,800 + 13,200 = 40,000 /360
24년도 적용 : 114L</t>
        </r>
      </text>
    </comment>
    <comment ref="Q133" authorId="1" shapeId="0" xr:uid="{340AF38F-7244-45DC-AE09-00AC90F5160D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2,550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'24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3,200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가격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오른다고함</t>
        </r>
      </text>
    </comment>
    <comment ref="R133" authorId="1" shapeId="0" xr:uid="{E15B6460-C09C-4215-9933-20B24F9EC5AD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9kg</t>
        </r>
      </text>
    </comment>
    <comment ref="Q134" authorId="3" shapeId="0" xr:uid="{D594FE0E-82B0-46E6-955C-C735C4DCF0C9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220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275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</text>
    </comment>
    <comment ref="R134" authorId="2" shapeId="0" xr:uid="{7BFB5082-37A3-40A3-9A5A-8A31DE2D95EE}">
      <text>
        <r>
          <rPr>
            <b/>
            <sz val="9"/>
            <color indexed="81"/>
            <rFont val="돋움"/>
            <family val="3"/>
            <charset val="129"/>
          </rPr>
          <t>세정탑(폐수) : 40 l/d
세정탑(바이오) : 136.73l/d
40 +137 =177L/day(최대 설계량)
24년도 적용 : 60L(30% 적용)</t>
        </r>
      </text>
    </comment>
    <comment ref="Q135" authorId="3" shapeId="0" xr:uid="{8A51BE7E-D752-4B30-A13E-80C890BB5AB3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2,750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</t>
        </r>
      </text>
    </comment>
    <comment ref="R135" authorId="2" shapeId="0" xr:uid="{B8D6FC96-68F5-4CE8-9664-E4F9CC658530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15kg</t>
        </r>
      </text>
    </comment>
    <comment ref="Q136" authorId="0" shapeId="0" xr:uid="{8F89B1A9-1422-4531-B81D-E6C2F29DA7E0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6" authorId="2" shapeId="0" xr:uid="{17E96FE5-AECE-4D0E-949C-3E1E02E5016D}">
      <text>
        <r>
          <rPr>
            <sz val="9"/>
            <color indexed="81"/>
            <rFont val="돋움"/>
            <family val="3"/>
            <charset val="129"/>
          </rPr>
          <t>세정탑(폐수) : 6.7l/d
세정탑(바이오) : 37.49l/d
사용량 : 6.7 + 37.49 = 45l/day</t>
        </r>
      </text>
    </comment>
    <comment ref="Q137" authorId="0" shapeId="0" xr:uid="{35D394E9-E11F-4811-8179-87CEC67F4367}">
      <text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7" authorId="1" shapeId="0" xr:uid="{1BDC63C3-707E-442D-AA3E-26AFA449DFDA}">
      <text>
        <r>
          <rPr>
            <b/>
            <sz val="9"/>
            <color indexed="81"/>
            <rFont val="돋움"/>
            <family val="3"/>
            <charset val="129"/>
          </rPr>
          <t>바이오 및 폐수처리시설 운영 관련 약품 test
염화제2철 등 : 4kg
살충제 : 1KG
하절기 : 5개월(6월~10월)</t>
        </r>
      </text>
    </comment>
    <comment ref="S137" authorId="1" shapeId="0" xr:uid="{EB33D693-8424-41E9-B7BF-1060E8DA5F79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하절기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>(150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R139" authorId="1" shapeId="0" xr:uid="{3F21E368-C643-436B-8C79-89F5A2F9BB67}">
      <text>
        <r>
          <rPr>
            <b/>
            <sz val="9"/>
            <color indexed="81"/>
            <rFont val="돋움"/>
            <family val="3"/>
            <charset val="129"/>
          </rPr>
          <t>6종 : Total Alkalinity, Nitrogen Ammonia HR, COD UHR, Nitrogen total,Volatile Acids, TOC HR TNT RGT</t>
        </r>
      </text>
    </comment>
    <comment ref="N150" authorId="1" shapeId="0" xr:uid="{7CF57BD4-EF0B-4F18-81B7-3C1A17A7EDCA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소각시설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운영지침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해설서</t>
        </r>
        <r>
          <rPr>
            <sz val="9"/>
            <color indexed="81"/>
            <rFont val="Tahoma"/>
            <family val="2"/>
          </rPr>
          <t>(201210</t>
        </r>
        <r>
          <rPr>
            <sz val="9"/>
            <color indexed="81"/>
            <rFont val="돋움"/>
            <family val="3"/>
            <charset val="129"/>
          </rPr>
          <t>최종본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참조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화격자는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통하여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～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년부터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부분교체를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실시</t>
        </r>
      </text>
    </comment>
    <comment ref="Q150" authorId="1" shapeId="0" xr:uid="{1FFFEE8A-A686-451B-ACBD-155091CF1D0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견적가</t>
        </r>
        <r>
          <rPr>
            <b/>
            <sz val="9"/>
            <color indexed="81"/>
            <rFont val="Tahoma"/>
            <family val="2"/>
          </rPr>
          <t xml:space="preserve"> : 295,783,400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N151" authorId="1" shapeId="0" xr:uid="{2B2B7435-47F5-44D4-B67D-B961E312A455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사양
</t>
        </r>
        <r>
          <rPr>
            <sz val="9"/>
            <color indexed="81"/>
            <rFont val="Tahoma"/>
            <family val="2"/>
          </rPr>
          <t xml:space="preserve">1) </t>
        </r>
        <r>
          <rPr>
            <sz val="9"/>
            <color indexed="81"/>
            <rFont val="돋움"/>
            <family val="3"/>
            <charset val="129"/>
          </rPr>
          <t>형식</t>
        </r>
        <r>
          <rPr>
            <sz val="9"/>
            <color indexed="81"/>
            <rFont val="Tahoma"/>
            <family val="2"/>
          </rPr>
          <t xml:space="preserve"> : Honeycomb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2) </t>
        </r>
        <r>
          <rPr>
            <sz val="9"/>
            <color indexed="81"/>
            <rFont val="돋움"/>
            <family val="3"/>
            <charset val="129"/>
          </rPr>
          <t>조성</t>
        </r>
        <r>
          <rPr>
            <sz val="9"/>
            <color indexed="81"/>
            <rFont val="Tahoma"/>
            <family val="2"/>
          </rPr>
          <t xml:space="preserve"> : V2O5-WO3-TiO2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3)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16
4) Module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(1EA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 : 1300W x 855L x 1085H 
5) </t>
        </r>
        <r>
          <rPr>
            <sz val="9"/>
            <color indexed="81"/>
            <rFont val="돋움"/>
            <family val="3"/>
            <charset val="129"/>
          </rPr>
          <t>촉매블록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 : 150W x 150L x 835H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6)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40 (8 x 5)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7) </t>
        </r>
        <r>
          <rPr>
            <sz val="9"/>
            <color indexed="81"/>
            <rFont val="돋움"/>
            <family val="3"/>
            <charset val="129"/>
          </rPr>
          <t>초기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촉매부피</t>
        </r>
        <r>
          <rPr>
            <sz val="9"/>
            <color indexed="81"/>
            <rFont val="Tahoma"/>
            <family val="2"/>
          </rPr>
          <t xml:space="preserve"> : 12 </t>
        </r>
        <r>
          <rPr>
            <sz val="9"/>
            <color indexed="81"/>
            <rFont val="돋움"/>
            <family val="3"/>
            <charset val="129"/>
          </rPr>
          <t>㎥</t>
        </r>
        <r>
          <rPr>
            <sz val="9"/>
            <color indexed="81"/>
            <rFont val="Tahoma"/>
            <family val="2"/>
          </rPr>
          <t xml:space="preserve"> ( 2 Layer Volume)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8) </t>
        </r>
        <r>
          <rPr>
            <sz val="9"/>
            <color indexed="81"/>
            <rFont val="돋움"/>
            <family val="3"/>
            <charset val="129"/>
          </rPr>
          <t>최적온도</t>
        </r>
        <r>
          <rPr>
            <sz val="9"/>
            <color indexed="81"/>
            <rFont val="Tahoma"/>
            <family val="2"/>
          </rPr>
          <t xml:space="preserve"> : 185</t>
        </r>
        <r>
          <rPr>
            <sz val="9"/>
            <color indexed="81"/>
            <rFont val="돋움"/>
            <family val="3"/>
            <charset val="129"/>
          </rPr>
          <t>℃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9) </t>
        </r>
        <r>
          <rPr>
            <sz val="9"/>
            <color indexed="81"/>
            <rFont val="돋움"/>
            <family val="3"/>
            <charset val="129"/>
          </rPr>
          <t>프레임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재질</t>
        </r>
        <r>
          <rPr>
            <sz val="9"/>
            <color indexed="81"/>
            <rFont val="Tahoma"/>
            <family val="2"/>
          </rPr>
          <t xml:space="preserve"> : SS275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10) </t>
        </r>
        <r>
          <rPr>
            <sz val="9"/>
            <color indexed="81"/>
            <rFont val="돋움"/>
            <family val="3"/>
            <charset val="129"/>
          </rPr>
          <t>보증시간</t>
        </r>
        <r>
          <rPr>
            <sz val="9"/>
            <color indexed="81"/>
            <rFont val="Tahoma"/>
            <family val="2"/>
          </rPr>
          <t xml:space="preserve"> : 24,000hr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51" authorId="1" shapeId="0" xr:uid="{EC8AA471-F463-455B-8F75-9EFCB0ACEAB6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
215,600,000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(A)
220,000,000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(B) </t>
        </r>
      </text>
    </comment>
    <comment ref="N154" authorId="1" shapeId="0" xr:uid="{61518B50-1E9F-469C-9B44-25000961F9F1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'22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4,700</t>
        </r>
        <r>
          <rPr>
            <sz val="9"/>
            <color indexed="81"/>
            <rFont val="돋움"/>
            <family val="3"/>
            <charset val="129"/>
          </rPr>
          <t xml:space="preserve">천원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5,000</t>
        </r>
        <r>
          <rPr>
            <sz val="9"/>
            <color indexed="81"/>
            <rFont val="돋움"/>
            <family val="3"/>
            <charset val="129"/>
          </rPr>
          <t xml:space="preserve">천원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 xml:space="preserve">관련근거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시험</t>
        </r>
        <r>
          <rPr>
            <sz val="9"/>
            <color indexed="81"/>
            <rFont val="Tahoma"/>
            <family val="2"/>
          </rPr>
          <t>․</t>
        </r>
        <r>
          <rPr>
            <sz val="9"/>
            <color indexed="81"/>
            <rFont val="돋움"/>
            <family val="3"/>
            <charset val="129"/>
          </rPr>
          <t>검사등에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시행규칙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조제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항제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의거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사용연한
품명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 xml:space="preserve">교체주기
</t>
        </r>
        <r>
          <rPr>
            <sz val="9"/>
            <color indexed="81"/>
            <rFont val="Tahoma"/>
            <family val="2"/>
          </rPr>
          <t>NO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N2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CO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HCL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O2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Sox      12</t>
        </r>
        <r>
          <rPr>
            <sz val="9"/>
            <color indexed="81"/>
            <rFont val="돋움"/>
            <family val="3"/>
            <charset val="129"/>
          </rPr>
          <t>개월</t>
        </r>
      </text>
    </comment>
    <comment ref="N155" authorId="1" shapeId="0" xr:uid="{9C4A12A4-5E1C-4B25-9D09-A4A9055C6CFE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측정기기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구매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신규교체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>)</t>
        </r>
      </text>
    </comment>
    <comment ref="R157" authorId="1" shapeId="0" xr:uid="{41AE718A-B4EA-4148-AACF-ADEA64A9F0AD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유압설비</t>
        </r>
        <r>
          <rPr>
            <sz val="9"/>
            <color indexed="81"/>
            <rFont val="Tahoma"/>
            <family val="2"/>
          </rPr>
          <t xml:space="preserve"> : 600L
</t>
        </r>
        <r>
          <rPr>
            <sz val="9"/>
            <color indexed="81"/>
            <rFont val="돋움"/>
            <family val="3"/>
            <charset val="129"/>
          </rPr>
          <t>크레인</t>
        </r>
        <r>
          <rPr>
            <sz val="9"/>
            <color indexed="81"/>
            <rFont val="Tahoma"/>
            <family val="2"/>
          </rPr>
          <t xml:space="preserve"> : 200L*2EA</t>
        </r>
      </text>
    </comment>
    <comment ref="R158" authorId="1" shapeId="0" xr:uid="{037963CD-5922-4D45-A2FB-4706C52EEBD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컨베이어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베어링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분기별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주입</t>
        </r>
      </text>
    </comment>
    <comment ref="Q159" authorId="2" shapeId="0" xr:uid="{111015D3-4849-4290-8ED6-0C29B8D96742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온도계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기초단가</t>
        </r>
        <r>
          <rPr>
            <sz val="9"/>
            <color indexed="81"/>
            <rFont val="Tahoma"/>
            <family val="2"/>
          </rPr>
          <t xml:space="preserve"> : 1,848,000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1,950,000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60" authorId="1" shapeId="0" xr:uid="{50E756FC-26D7-4D18-91D5-8175677A8D35}">
      <text>
        <r>
          <rPr>
            <sz val="9"/>
            <color indexed="81"/>
            <rFont val="돋움"/>
            <family val="3"/>
            <charset val="129"/>
          </rPr>
          <t>소석회</t>
        </r>
        <r>
          <rPr>
            <sz val="9"/>
            <color indexed="81"/>
            <rFont val="Tahoma"/>
            <family val="2"/>
          </rPr>
          <t xml:space="preserve"> : 2,  </t>
        </r>
        <r>
          <rPr>
            <sz val="9"/>
            <color indexed="81"/>
            <rFont val="돋움"/>
            <family val="3"/>
            <charset val="129"/>
          </rPr>
          <t>요소수</t>
        </r>
        <r>
          <rPr>
            <sz val="9"/>
            <color indexed="81"/>
            <rFont val="Tahoma"/>
            <family val="2"/>
          </rPr>
          <t xml:space="preserve">  : 2</t>
        </r>
      </text>
    </comment>
    <comment ref="R161" authorId="1" shapeId="0" xr:uid="{837E42B5-E49C-4760-9E6A-01CC54DADEFD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크레인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호기당</t>
        </r>
        <r>
          <rPr>
            <sz val="9"/>
            <color indexed="81"/>
            <rFont val="Tahoma"/>
            <family val="2"/>
          </rPr>
          <t xml:space="preserve"> :  SCOOP(</t>
        </r>
        <r>
          <rPr>
            <sz val="9"/>
            <color indexed="81"/>
            <rFont val="돋움"/>
            <family val="3"/>
            <charset val="129"/>
          </rPr>
          <t>스쿱</t>
        </r>
        <r>
          <rPr>
            <sz val="9"/>
            <color indexed="81"/>
            <rFont val="Tahoma"/>
            <family val="2"/>
          </rPr>
          <t xml:space="preserve">) 6EA, </t>
        </r>
        <r>
          <rPr>
            <sz val="9"/>
            <color indexed="81"/>
            <rFont val="돋움"/>
            <family val="3"/>
            <charset val="129"/>
          </rPr>
          <t>와이어</t>
        </r>
        <r>
          <rPr>
            <sz val="9"/>
            <color indexed="81"/>
            <rFont val="Tahoma"/>
            <family val="2"/>
          </rPr>
          <t xml:space="preserve">(S,Z), </t>
        </r>
        <r>
          <rPr>
            <sz val="9"/>
            <color indexed="81"/>
            <rFont val="돋움"/>
            <family val="3"/>
            <charset val="129"/>
          </rPr>
          <t>케이블</t>
        </r>
        <r>
          <rPr>
            <sz val="9"/>
            <color indexed="81"/>
            <rFont val="Tahoma"/>
            <family val="2"/>
          </rPr>
          <t xml:space="preserve">(30M), </t>
        </r>
        <r>
          <rPr>
            <sz val="9"/>
            <color indexed="81"/>
            <rFont val="돋움"/>
            <family val="3"/>
            <charset val="129"/>
          </rPr>
          <t>실린더</t>
        </r>
        <r>
          <rPr>
            <sz val="9"/>
            <color indexed="81"/>
            <rFont val="Tahoma"/>
            <family val="2"/>
          </rPr>
          <t>(6EA)</t>
        </r>
      </text>
    </comment>
    <comment ref="Q166" authorId="0" shapeId="0" xr:uid="{5CE90A3C-97FE-4A9E-92EA-6C99F9D21F04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46,000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톤
</t>
        </r>
      </text>
    </comment>
    <comment ref="S166" authorId="0" shapeId="0" xr:uid="{D175AE33-0A1E-4CDF-AD3C-5AF097797486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폐기물배출량</t>
        </r>
        <r>
          <rPr>
            <sz val="9"/>
            <color indexed="81"/>
            <rFont val="Tahoma"/>
            <family val="2"/>
          </rPr>
          <t xml:space="preserve">  : 8,238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운반비</t>
        </r>
        <r>
          <rPr>
            <sz val="9"/>
            <color indexed="81"/>
            <rFont val="Tahoma"/>
            <family val="2"/>
          </rPr>
          <t xml:space="preserve">  :  44,000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톤</t>
        </r>
      </text>
    </comment>
    <comment ref="R169" authorId="1" shapeId="0" xr:uid="{59AC39A3-8D5A-4F05-9FCE-1F57017262F5}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56,028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4,669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
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>(1~6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: 34,224(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5,704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
'25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: 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* 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</t>
        </r>
      </text>
    </comment>
    <comment ref="R170" authorId="2" shapeId="0" xr:uid="{0E51078C-E257-4AAE-9B8B-79288A44D920}">
      <text>
        <r>
          <rPr>
            <b/>
            <sz val="9"/>
            <color indexed="81"/>
            <rFont val="Tahoma"/>
            <family val="2"/>
          </rPr>
          <t>lg:
'23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 :  407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년도사용량</t>
        </r>
        <r>
          <rPr>
            <sz val="9"/>
            <color indexed="81"/>
            <rFont val="Tahoma"/>
            <family val="2"/>
          </rPr>
          <t xml:space="preserve"> :  58,760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/12 = 4,897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 :  404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71" authorId="0" shapeId="0" xr:uid="{A69134FE-9940-4A36-9D96-CCDA2C813670}">
      <text>
        <r>
          <rPr>
            <b/>
            <sz val="9"/>
            <color indexed="81"/>
            <rFont val="돋움"/>
            <family val="3"/>
            <charset val="129"/>
          </rPr>
          <t>전기요금인상폭</t>
        </r>
        <r>
          <rPr>
            <b/>
            <sz val="9"/>
            <color indexed="81"/>
            <rFont val="Tahoma"/>
            <family val="2"/>
          </rPr>
          <t xml:space="preserve"> 4.3%
</t>
        </r>
      </text>
    </comment>
    <comment ref="R171" authorId="2" shapeId="0" xr:uid="{EFB51B08-0E4F-4F00-A090-09856F49A7AD}">
      <text>
        <r>
          <rPr>
            <sz val="9"/>
            <color indexed="81"/>
            <rFont val="Tahoma"/>
            <family val="2"/>
          </rPr>
          <t xml:space="preserve">
'24. 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379,215kwh
 </t>
        </r>
        <r>
          <rPr>
            <b/>
            <sz val="9"/>
            <color indexed="81"/>
            <rFont val="돋움"/>
            <family val="3"/>
            <charset val="129"/>
          </rPr>
          <t>하반기</t>
        </r>
        <r>
          <rPr>
            <b/>
            <sz val="9"/>
            <color indexed="81"/>
            <rFont val="Tahoma"/>
            <family val="2"/>
          </rPr>
          <t xml:space="preserve"> RTO</t>
        </r>
        <r>
          <rPr>
            <b/>
            <sz val="9"/>
            <color indexed="81"/>
            <rFont val="돋움"/>
            <family val="3"/>
            <charset val="129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설치포함</t>
        </r>
        <r>
          <rPr>
            <b/>
            <sz val="9"/>
            <color indexed="81"/>
            <rFont val="Tahoma"/>
            <family val="2"/>
          </rPr>
          <t xml:space="preserve"> : 380,000kwh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'24.1~6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157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전력</t>
        </r>
        <r>
          <rPr>
            <sz val="9"/>
            <color indexed="81"/>
            <rFont val="Tahoma"/>
            <family val="2"/>
          </rPr>
          <t xml:space="preserve"> : 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>*160*12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>10% 
                 = 400,000 * 160 * 12 * 1.1</t>
        </r>
        <r>
          <rPr>
            <sz val="9"/>
            <color indexed="81"/>
            <rFont val="돋움"/>
            <family val="3"/>
            <charset val="129"/>
          </rPr>
          <t xml:space="preserve">
적용단가</t>
        </r>
        <r>
          <rPr>
            <sz val="9"/>
            <color indexed="81"/>
            <rFont val="Tahoma"/>
            <family val="2"/>
          </rPr>
          <t xml:space="preserve"> : 160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73" authorId="2" shapeId="0" xr:uid="{B9F8B362-AE59-488C-87C7-F4669F226A52}">
      <text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평균단가
경유</t>
        </r>
        <r>
          <rPr>
            <sz val="9"/>
            <color indexed="81"/>
            <rFont val="Tahoma"/>
            <family val="2"/>
          </rPr>
          <t xml:space="preserve"> : 1,549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N184" authorId="1" shapeId="0" xr:uid="{6054A3F0-75F1-4891-97AD-3AB755EF3C21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85" authorId="1" shapeId="0" xr:uid="{6290E120-2EC1-456E-B738-DC3B560A3B7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N190" authorId="1" shapeId="0" xr:uid="{0695B867-FADD-4964-8E49-61EEAD1A800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91" authorId="1" shapeId="0" xr:uid="{F66419A4-7AFB-4EF4-AB01-2C1FBB7195B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96" authorId="1" shapeId="0" xr:uid="{B9E68784-264F-4195-923A-B21A43CDD0F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펌프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견적가
</t>
        </r>
        <r>
          <rPr>
            <sz val="9"/>
            <color indexed="81"/>
            <rFont val="Tahoma"/>
            <family val="2"/>
          </rPr>
          <t>: 46,563,000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(VAT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N199" authorId="1" shapeId="0" xr:uid="{7463D793-DCFE-4E6B-890A-F02CDDEB295D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근무교대시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야</t>
        </r>
        <r>
          <rPr>
            <sz val="9"/>
            <color indexed="81"/>
            <rFont val="Tahoma"/>
            <family val="2"/>
          </rPr>
          <t xml:space="preserve"> : 14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7" authorId="0" shapeId="0" xr:uid="{8407922A-CAEB-49E1-868E-4C2A26B0CFF2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sharedStrings.xml><?xml version="1.0" encoding="utf-8"?>
<sst xmlns="http://schemas.openxmlformats.org/spreadsheetml/2006/main" count="4541" uniqueCount="2540">
  <si>
    <t>319 지방공기업최고경영자협의체부담금</t>
  </si>
  <si>
    <t>개월</t>
  </si>
  <si>
    <t>요율</t>
  </si>
  <si>
    <t>지급율</t>
  </si>
  <si>
    <t>개</t>
  </si>
  <si>
    <t>인원</t>
  </si>
  <si>
    <t>=</t>
  </si>
  <si>
    <t xml:space="preserve">  기본금액(1,200만원)+(사업연도수입액*적용률(20/10,000)*손금한도액(10/100)</t>
  </si>
  <si>
    <t xml:space="preserve">   {(12,000,000원)+(40,000,000,000*20/10,000)*(10/100)}</t>
  </si>
  <si>
    <t>회</t>
  </si>
  <si>
    <t>부</t>
  </si>
  <si>
    <t>대</t>
  </si>
  <si>
    <t>수량</t>
  </si>
  <si>
    <t>박스</t>
  </si>
  <si>
    <t>보수</t>
  </si>
  <si>
    <t>매</t>
  </si>
  <si>
    <t>횟수</t>
  </si>
  <si>
    <t>인턴</t>
  </si>
  <si>
    <t>단위</t>
  </si>
  <si>
    <t>○ 동호인활동, 체육대회, 생일기념품, 불우직원 지원등 사기진작경비</t>
  </si>
  <si>
    <t>○ 법령의 규정에 의거 지방공기업평가원에 출연하는 경비</t>
  </si>
  <si>
    <t>○ 사업 업무추진비 : 20,000,000원 * 1식</t>
  </si>
  <si>
    <t>○ 기록물 관리</t>
  </si>
  <si>
    <t>203 업무추진비</t>
  </si>
  <si>
    <t>207 연구개발비</t>
  </si>
  <si>
    <t>[공공요금및제세]</t>
  </si>
  <si>
    <t>12 수탁자산취득비</t>
  </si>
  <si>
    <t>22 차량.선박비</t>
  </si>
  <si>
    <t>○ 사무용품 구입</t>
  </si>
  <si>
    <t>[본부 일괄 편성]</t>
  </si>
  <si>
    <t>02 공공운영비</t>
  </si>
  <si>
    <t>11 지급수수료</t>
  </si>
  <si>
    <t>01 사무관리비</t>
  </si>
  <si>
    <t>당년도예산액
(A)</t>
  </si>
  <si>
    <t>107 
퇴직급여</t>
  </si>
  <si>
    <t>전년도예산액
(B)</t>
  </si>
  <si>
    <t>01 일반직평가급등</t>
  </si>
  <si>
    <t>15 복리후생비</t>
  </si>
  <si>
    <t>300 경상이전</t>
  </si>
  <si>
    <t>04 기간제근로자보수</t>
  </si>
  <si>
    <t>12 교육훈련비</t>
  </si>
  <si>
    <t>03 국외업무여비</t>
  </si>
  <si>
    <t>02
전산개발비</t>
  </si>
  <si>
    <t>05  수선유지비</t>
  </si>
  <si>
    <t>01 정원가산업무비</t>
  </si>
  <si>
    <t>21 공공요금및제세</t>
  </si>
  <si>
    <t>214 수선유지교체비</t>
  </si>
  <si>
    <t>07 사업업무추진비</t>
  </si>
  <si>
    <t>01
연구용역비</t>
  </si>
  <si>
    <t>201  일반운영비</t>
  </si>
  <si>
    <t>02 부서업무비</t>
  </si>
  <si>
    <t>12 기타보상금</t>
  </si>
  <si>
    <t>03 행사운영비</t>
  </si>
  <si>
    <t>217 관서업무비</t>
  </si>
  <si>
    <t>303  포상금</t>
  </si>
  <si>
    <t>301  일반보전금</t>
  </si>
  <si>
    <t>01 연금부담금</t>
  </si>
  <si>
    <t>09 행사실비지원금</t>
  </si>
  <si>
    <t>405 자산취득비</t>
  </si>
  <si>
    <t>802 반환금 기타</t>
  </si>
  <si>
    <t>304 연금부담금등</t>
  </si>
  <si>
    <t>○ 교육여비 :</t>
  </si>
  <si>
    <t>○ 신문 구독료</t>
  </si>
  <si>
    <t>[위원회 등 운영수당]</t>
  </si>
  <si>
    <t>109 평가급 및 성과금 등</t>
  </si>
  <si>
    <t>○ 신용카드 포인트 등</t>
  </si>
  <si>
    <t>02 
국민건강보험부담금등</t>
  </si>
  <si>
    <t>13 지방공기업평가원
출연금</t>
  </si>
  <si>
    <t>02
무기계약근로자평가급등</t>
  </si>
  <si>
    <t>03
무기계약근로자보수</t>
  </si>
  <si>
    <t>(공단 경영본부 일괄편성)</t>
  </si>
  <si>
    <t>○ 신규직원 채용 신체검사비</t>
  </si>
  <si>
    <t>○ 기록물평가심의회 참석수당</t>
  </si>
  <si>
    <t>증      감
(A-B)</t>
  </si>
  <si>
    <t xml:space="preserve">  - 휴양림 시설관리자 : 140,000 *5명</t>
  </si>
  <si>
    <t xml:space="preserve">  - 도시미화팀 정비고 : 90,000 *3명</t>
  </si>
  <si>
    <t>13 임차료</t>
  </si>
  <si>
    <t>01 국내여비</t>
  </si>
  <si>
    <t>[지급수수료]</t>
  </si>
  <si>
    <t>[회의비]</t>
  </si>
  <si>
    <t>01 포상금</t>
  </si>
  <si>
    <t>101 인건비</t>
  </si>
  <si>
    <t>[임차료]</t>
  </si>
  <si>
    <t>306 출연금</t>
  </si>
  <si>
    <t>[일반수용비]</t>
  </si>
  <si>
    <t>인원(대수)</t>
  </si>
  <si>
    <t>자본예산</t>
  </si>
  <si>
    <t>금액(원)</t>
  </si>
  <si>
    <t>202 여비</t>
  </si>
  <si>
    <t>수량(대)</t>
  </si>
  <si>
    <t>[차량유지비]</t>
  </si>
  <si>
    <t>산출액 합계</t>
  </si>
  <si>
    <t>01 보수</t>
  </si>
  <si>
    <t>인원(명)</t>
  </si>
  <si>
    <t>[복리후생비]</t>
  </si>
  <si>
    <t>14 회의비</t>
  </si>
  <si>
    <t>[전산개발비]</t>
  </si>
  <si>
    <t>○ 기본급</t>
  </si>
  <si>
    <t>100 인건비</t>
  </si>
  <si>
    <t>○ 가족수당</t>
  </si>
  <si>
    <t>○ 사건수임료</t>
  </si>
  <si>
    <t>○ 부서업무비</t>
  </si>
  <si>
    <t>○ 소비자중심경영 소통 확대 관리</t>
  </si>
  <si>
    <t>○ 맞춤형 복지제도(공단 전 직원)</t>
  </si>
  <si>
    <t>○ 전산소모 비품비(토너, 드럼)</t>
  </si>
  <si>
    <t>산     출     기     초</t>
  </si>
  <si>
    <t>○ 관리자과정교육(2급이상) :</t>
  </si>
  <si>
    <t>○ 실무자과정교육(4급이하) :</t>
  </si>
  <si>
    <t>○ 소비자중심경영 서비스 제공 관리</t>
  </si>
  <si>
    <t>○ 소비자중심경영 서비스 품질관리</t>
  </si>
  <si>
    <t>○ 소프트웨어 구매 및 리스료</t>
  </si>
  <si>
    <t>○ 성과관리 위원회 참석/심사수당</t>
  </si>
  <si>
    <t>○ 인사(징계)위원회 참석수당</t>
  </si>
  <si>
    <t>"사회적 가치실현으로 시민과 상생하는 공기업"</t>
    <phoneticPr fontId="15" type="noConversion"/>
  </si>
  <si>
    <t>목                 차</t>
    <phoneticPr fontId="15" type="noConversion"/>
  </si>
  <si>
    <t>1. 사업운영계획  ………………………………………</t>
    <phoneticPr fontId="15" type="noConversion"/>
  </si>
  <si>
    <t>2. 예산총칙  ………………………………………………………………</t>
    <phoneticPr fontId="15" type="noConversion"/>
  </si>
  <si>
    <t xml:space="preserve">  3-1. 사업예산 총괄표 ………………………</t>
    <phoneticPr fontId="15" type="noConversion"/>
  </si>
  <si>
    <t xml:space="preserve">  3-2. 자본예산 총괄표…………………………</t>
    <phoneticPr fontId="15" type="noConversion"/>
  </si>
  <si>
    <t>4. 자금운영계획  ……………………………………………………</t>
    <phoneticPr fontId="15" type="noConversion"/>
  </si>
  <si>
    <t xml:space="preserve">                              ○ 수입자금 ………………………………………………………………</t>
    <phoneticPr fontId="15" type="noConversion"/>
  </si>
  <si>
    <t xml:space="preserve">                              ○ 지출자금 ………………………………………………………………</t>
    <phoneticPr fontId="15" type="noConversion"/>
  </si>
  <si>
    <t>1.  사 업 운 영 계 획</t>
    <phoneticPr fontId="15" type="noConversion"/>
  </si>
  <si>
    <t>1. 사 업 운 영 계 획</t>
    <phoneticPr fontId="15" type="noConversion"/>
  </si>
  <si>
    <t xml:space="preserve"> 구          분</t>
    <phoneticPr fontId="15" type="noConversion"/>
  </si>
  <si>
    <t>단위</t>
    <phoneticPr fontId="15" type="noConversion"/>
  </si>
  <si>
    <t>당년도</t>
    <phoneticPr fontId="15" type="noConversion"/>
  </si>
  <si>
    <t>전년도</t>
    <phoneticPr fontId="15" type="noConversion"/>
  </si>
  <si>
    <t>증감</t>
    <phoneticPr fontId="15" type="noConversion"/>
  </si>
  <si>
    <t>비고</t>
    <phoneticPr fontId="15" type="noConversion"/>
  </si>
  <si>
    <t>1. 시설현황</t>
    <phoneticPr fontId="15" type="noConversion"/>
  </si>
  <si>
    <t>1) 공영주차장수</t>
    <phoneticPr fontId="15" type="noConversion"/>
  </si>
  <si>
    <t>개소</t>
    <phoneticPr fontId="15" type="noConversion"/>
  </si>
  <si>
    <t>2) 휴양림 관리</t>
    <phoneticPr fontId="15" type="noConversion"/>
  </si>
  <si>
    <t>2. 업무현황</t>
    <phoneticPr fontId="15" type="noConversion"/>
  </si>
  <si>
    <t>1) 1일주차대수</t>
    <phoneticPr fontId="15" type="noConversion"/>
  </si>
  <si>
    <t>대/일</t>
    <phoneticPr fontId="15" type="noConversion"/>
  </si>
  <si>
    <t>2) 년간 주차요금수입</t>
    <phoneticPr fontId="15" type="noConversion"/>
  </si>
  <si>
    <t>백만원</t>
    <phoneticPr fontId="15" type="noConversion"/>
  </si>
  <si>
    <t>3) 년간 휴양림관리수입</t>
    <phoneticPr fontId="15" type="noConversion"/>
  </si>
  <si>
    <t>5) 년간 수영장관리수입</t>
    <phoneticPr fontId="15" type="noConversion"/>
  </si>
  <si>
    <t>3. 대행사업현황</t>
    <phoneticPr fontId="15" type="noConversion"/>
  </si>
  <si>
    <t>4. 인력관리현황</t>
    <phoneticPr fontId="15" type="noConversion"/>
  </si>
  <si>
    <t>계</t>
    <phoneticPr fontId="15" type="noConversion"/>
  </si>
  <si>
    <t>명</t>
    <phoneticPr fontId="15" type="noConversion"/>
  </si>
  <si>
    <t>1) 임       원</t>
    <phoneticPr fontId="15" type="noConversion"/>
  </si>
  <si>
    <t>이사장포함</t>
    <phoneticPr fontId="15" type="noConversion"/>
  </si>
  <si>
    <t>2) 일  반  직</t>
    <phoneticPr fontId="15" type="noConversion"/>
  </si>
  <si>
    <t>3) 기  능  직</t>
    <phoneticPr fontId="15" type="noConversion"/>
  </si>
  <si>
    <t>4) 환경미화직</t>
    <phoneticPr fontId="15" type="noConversion"/>
  </si>
  <si>
    <t>정원</t>
    <phoneticPr fontId="15" type="noConversion"/>
  </si>
  <si>
    <t>5) 공  무  직</t>
    <phoneticPr fontId="15" type="noConversion"/>
  </si>
  <si>
    <t>"</t>
    <phoneticPr fontId="15" type="noConversion"/>
  </si>
  <si>
    <t>6) 기  타  직</t>
    <phoneticPr fontId="15" type="noConversion"/>
  </si>
  <si>
    <t>市 파견공무원</t>
    <phoneticPr fontId="15" type="noConversion"/>
  </si>
  <si>
    <t>7) 기간제근로자등</t>
    <phoneticPr fontId="15" type="noConversion"/>
  </si>
  <si>
    <t>정원 외</t>
    <phoneticPr fontId="15" type="noConversion"/>
  </si>
  <si>
    <t>5. 자산평가액</t>
    <phoneticPr fontId="15" type="noConversion"/>
  </si>
  <si>
    <t xml:space="preserve"> 출자 자본금</t>
    <phoneticPr fontId="15" type="noConversion"/>
  </si>
  <si>
    <t xml:space="preserve">2.  예  산  총  칙 </t>
    <phoneticPr fontId="15" type="noConversion"/>
  </si>
  <si>
    <t>2. 예 산 총 칙</t>
    <phoneticPr fontId="15" type="noConversion"/>
  </si>
  <si>
    <t>제2조 (수입 및 지출) 수입 및 지출의 예정액은 다음과 같이 정한다.</t>
    <phoneticPr fontId="15" type="noConversion"/>
  </si>
  <si>
    <t>(단위 : 천원)</t>
    <phoneticPr fontId="15" type="noConversion"/>
  </si>
  <si>
    <t>수      입</t>
    <phoneticPr fontId="15" type="noConversion"/>
  </si>
  <si>
    <t>지      출</t>
    <phoneticPr fontId="15" type="noConversion"/>
  </si>
  <si>
    <t>과    목</t>
    <phoneticPr fontId="15" type="noConversion"/>
  </si>
  <si>
    <t>금     액</t>
    <phoneticPr fontId="15" type="noConversion"/>
  </si>
  <si>
    <t>합    계</t>
    <phoneticPr fontId="15" type="noConversion"/>
  </si>
  <si>
    <t>소    계</t>
    <phoneticPr fontId="15" type="noConversion"/>
  </si>
  <si>
    <t>1. 사업수익</t>
    <phoneticPr fontId="15" type="noConversion"/>
  </si>
  <si>
    <t>1. 사업비용</t>
    <phoneticPr fontId="15" type="noConversion"/>
  </si>
  <si>
    <t xml:space="preserve">  가. 영업수익</t>
    <phoneticPr fontId="15" type="noConversion"/>
  </si>
  <si>
    <t xml:space="preserve">  나. 영업외수익</t>
    <phoneticPr fontId="15" type="noConversion"/>
  </si>
  <si>
    <t xml:space="preserve">  다. 특별이익</t>
    <phoneticPr fontId="15" type="noConversion"/>
  </si>
  <si>
    <t>2. 자본수입</t>
    <phoneticPr fontId="15" type="noConversion"/>
  </si>
  <si>
    <t>2. 자본지출</t>
    <phoneticPr fontId="15" type="noConversion"/>
  </si>
  <si>
    <t xml:space="preserve">  가. 투자자산</t>
    <phoneticPr fontId="15" type="noConversion"/>
  </si>
  <si>
    <t xml:space="preserve">  나. 고정자산매각수입</t>
    <phoneticPr fontId="15" type="noConversion"/>
  </si>
  <si>
    <t xml:space="preserve">  다. 고정부채수입</t>
    <phoneticPr fontId="15" type="noConversion"/>
  </si>
  <si>
    <t xml:space="preserve">  라. 비유동부채수입</t>
    <phoneticPr fontId="15" type="noConversion"/>
  </si>
  <si>
    <t xml:space="preserve">  마. 자본금</t>
    <phoneticPr fontId="15" type="noConversion"/>
  </si>
  <si>
    <t xml:space="preserve">  바. 자본잉여금수입</t>
    <phoneticPr fontId="15" type="noConversion"/>
  </si>
  <si>
    <t xml:space="preserve">  사. 유보자금</t>
    <phoneticPr fontId="15" type="noConversion"/>
  </si>
  <si>
    <t xml:space="preserve">  아. 기타자본수입</t>
    <phoneticPr fontId="15" type="noConversion"/>
  </si>
  <si>
    <t>3. 이월금</t>
    <phoneticPr fontId="15" type="noConversion"/>
  </si>
  <si>
    <t xml:space="preserve">  가. 순세계잉여금</t>
    <phoneticPr fontId="15" type="noConversion"/>
  </si>
  <si>
    <t xml:space="preserve">  나. 미수금</t>
    <phoneticPr fontId="15" type="noConversion"/>
  </si>
  <si>
    <t>가. 추정손익계산서</t>
    <phoneticPr fontId="15" type="noConversion"/>
  </si>
  <si>
    <t>차     변</t>
    <phoneticPr fontId="15" type="noConversion"/>
  </si>
  <si>
    <t>대      변</t>
    <phoneticPr fontId="15" type="noConversion"/>
  </si>
  <si>
    <t>비용</t>
    <phoneticPr fontId="15" type="noConversion"/>
  </si>
  <si>
    <t>순이익</t>
    <phoneticPr fontId="15" type="noConversion"/>
  </si>
  <si>
    <t>수익</t>
    <phoneticPr fontId="15" type="noConversion"/>
  </si>
  <si>
    <t>순손실</t>
    <phoneticPr fontId="15" type="noConversion"/>
  </si>
  <si>
    <t>제3조 사업수입액이 사업지출액에 대하여 부족한 금액은 자본예산 차액으로 보전하는 것으로 한다.</t>
    <phoneticPr fontId="15" type="noConversion"/>
  </si>
  <si>
    <t>제4조(예산전용금지 과목)다음에 게기하는 과목의 경비는 이사회의 의결을 거치지 않고는 그 경비를 전용할 수 없다.</t>
    <phoneticPr fontId="15" type="noConversion"/>
  </si>
  <si>
    <t xml:space="preserve">         (1) 인건비</t>
    <phoneticPr fontId="15" type="noConversion"/>
  </si>
  <si>
    <t xml:space="preserve">         (2) 업무추진비(타 비목으로부터의 전용금지)</t>
    <phoneticPr fontId="15" type="noConversion"/>
  </si>
  <si>
    <t>제5조(일시차입금)이사장은 공단의 자금수급 불균형으로 인하여 자금의 일시적 차입이 필요한 때에는 이사회의 결정으로 예산의 5%이내의 금액을 일시 차입하여 사업을 추진할 수 있다.</t>
    <phoneticPr fontId="15" type="noConversion"/>
  </si>
  <si>
    <t xml:space="preserve">3.  예  산  총  괄  표 </t>
    <phoneticPr fontId="15" type="noConversion"/>
  </si>
  <si>
    <t>3. 예 산 총 괄 표</t>
    <phoneticPr fontId="15" type="noConversion"/>
  </si>
  <si>
    <t>[여수시도시관리공단］</t>
    <phoneticPr fontId="15" type="noConversion"/>
  </si>
  <si>
    <t>[본예산]</t>
    <phoneticPr fontId="15" type="noConversion"/>
  </si>
  <si>
    <t>구분</t>
    <phoneticPr fontId="15" type="noConversion"/>
  </si>
  <si>
    <t>사업예산</t>
    <phoneticPr fontId="15" type="noConversion"/>
  </si>
  <si>
    <t>자본예산</t>
    <phoneticPr fontId="15" type="noConversion"/>
  </si>
  <si>
    <t>예산총계</t>
    <phoneticPr fontId="15" type="noConversion"/>
  </si>
  <si>
    <t>수
입</t>
    <phoneticPr fontId="15" type="noConversion"/>
  </si>
  <si>
    <t>수입계(A)</t>
    <phoneticPr fontId="15" type="noConversion"/>
  </si>
  <si>
    <t>수입계(B)</t>
    <phoneticPr fontId="15" type="noConversion"/>
  </si>
  <si>
    <t>수입계(C)</t>
    <phoneticPr fontId="15" type="noConversion"/>
  </si>
  <si>
    <t>영업수익</t>
    <phoneticPr fontId="15" type="noConversion"/>
  </si>
  <si>
    <t>투자자산</t>
    <phoneticPr fontId="15" type="noConversion"/>
  </si>
  <si>
    <t>영업외수입</t>
    <phoneticPr fontId="15" type="noConversion"/>
  </si>
  <si>
    <t>기타비유동자산처분</t>
    <phoneticPr fontId="15" type="noConversion"/>
  </si>
  <si>
    <t>영업외수익</t>
    <phoneticPr fontId="15" type="noConversion"/>
  </si>
  <si>
    <t>유동부채수입</t>
    <phoneticPr fontId="15" type="noConversion"/>
  </si>
  <si>
    <t>자본잉여금수입</t>
    <phoneticPr fontId="15" type="noConversion"/>
  </si>
  <si>
    <t>유 보 자 금</t>
    <phoneticPr fontId="15" type="noConversion"/>
  </si>
  <si>
    <t>유보자금</t>
    <phoneticPr fontId="15" type="noConversion"/>
  </si>
  <si>
    <t>지
출</t>
    <phoneticPr fontId="15" type="noConversion"/>
  </si>
  <si>
    <t>지출계(A`)</t>
    <phoneticPr fontId="15" type="noConversion"/>
  </si>
  <si>
    <t>지출계(B`)</t>
    <phoneticPr fontId="15" type="noConversion"/>
  </si>
  <si>
    <t>지출계(C`)</t>
    <phoneticPr fontId="15" type="noConversion"/>
  </si>
  <si>
    <t>영업비용</t>
    <phoneticPr fontId="15" type="noConversion"/>
  </si>
  <si>
    <t>영업외비용</t>
    <phoneticPr fontId="15" type="noConversion"/>
  </si>
  <si>
    <t>특별손실</t>
    <phoneticPr fontId="15" type="noConversion"/>
  </si>
  <si>
    <t>무형자산 및
기타비유동자산취득</t>
    <phoneticPr fontId="15" type="noConversion"/>
  </si>
  <si>
    <t>법인세등</t>
    <phoneticPr fontId="15" type="noConversion"/>
  </si>
  <si>
    <t>예비비</t>
    <phoneticPr fontId="15" type="noConversion"/>
  </si>
  <si>
    <t xml:space="preserve"> </t>
    <phoneticPr fontId="15" type="noConversion"/>
  </si>
  <si>
    <t>유동부채상환</t>
    <phoneticPr fontId="15" type="noConversion"/>
  </si>
  <si>
    <t>기타자본적지출</t>
    <phoneticPr fontId="15" type="noConversion"/>
  </si>
  <si>
    <t>차인(A-A')</t>
    <phoneticPr fontId="15" type="noConversion"/>
  </si>
  <si>
    <t>차인(B-B')</t>
    <phoneticPr fontId="15" type="noConversion"/>
  </si>
  <si>
    <t>차인(C-C')</t>
    <phoneticPr fontId="15" type="noConversion"/>
  </si>
  <si>
    <t>3-1. 사업예산 총괄표</t>
    <phoneticPr fontId="15" type="noConversion"/>
  </si>
  <si>
    <t>수  입  의  부 (A)</t>
    <phoneticPr fontId="15" type="noConversion"/>
  </si>
  <si>
    <t>비  용  의  부 (B)</t>
    <phoneticPr fontId="15" type="noConversion"/>
  </si>
  <si>
    <t>계  정  과  목</t>
    <phoneticPr fontId="15" type="noConversion"/>
  </si>
  <si>
    <t>금    액</t>
    <phoneticPr fontId="15" type="noConversion"/>
  </si>
  <si>
    <t>합    계  (A)</t>
    <phoneticPr fontId="15" type="noConversion"/>
  </si>
  <si>
    <t>합    계  (B)</t>
    <phoneticPr fontId="15" type="noConversion"/>
  </si>
  <si>
    <t>소   계</t>
    <phoneticPr fontId="15" type="noConversion"/>
  </si>
  <si>
    <t>용지매출수익</t>
    <phoneticPr fontId="15" type="noConversion"/>
  </si>
  <si>
    <t>용  지 매 출 원 가</t>
    <phoneticPr fontId="15" type="noConversion"/>
  </si>
  <si>
    <t>주택판매수익</t>
    <phoneticPr fontId="15" type="noConversion"/>
  </si>
  <si>
    <t>주  택 판 매 원 가</t>
    <phoneticPr fontId="15" type="noConversion"/>
  </si>
  <si>
    <t>대행사업수익(직접)</t>
    <phoneticPr fontId="15" type="noConversion"/>
  </si>
  <si>
    <t>대행사업비(직접)</t>
    <phoneticPr fontId="15" type="noConversion"/>
  </si>
  <si>
    <t>대행사업수익(간접)</t>
    <phoneticPr fontId="15" type="noConversion"/>
  </si>
  <si>
    <t>대행사업비(간접)</t>
    <phoneticPr fontId="15" type="noConversion"/>
  </si>
  <si>
    <t>이자수익</t>
    <phoneticPr fontId="15" type="noConversion"/>
  </si>
  <si>
    <t>기타영업외비용</t>
    <phoneticPr fontId="15" type="noConversion"/>
  </si>
  <si>
    <t>기타영업외수익</t>
    <phoneticPr fontId="15" type="noConversion"/>
  </si>
  <si>
    <t>예  비  비</t>
    <phoneticPr fontId="15" type="noConversion"/>
  </si>
  <si>
    <t>예     비     비</t>
    <phoneticPr fontId="15" type="noConversion"/>
  </si>
  <si>
    <t>수입. 비용차감액 (A-B)</t>
    <phoneticPr fontId="15" type="noConversion"/>
  </si>
  <si>
    <t>3-2. 자본예산 총괄표</t>
    <phoneticPr fontId="15" type="noConversion"/>
  </si>
  <si>
    <t>수입의부 (A)</t>
    <phoneticPr fontId="15" type="noConversion"/>
  </si>
  <si>
    <t>지출의부 (B)</t>
    <phoneticPr fontId="15" type="noConversion"/>
  </si>
  <si>
    <t>투자자산수입</t>
    <phoneticPr fontId="15" type="noConversion"/>
  </si>
  <si>
    <t>소계</t>
    <phoneticPr fontId="15" type="noConversion"/>
  </si>
  <si>
    <t>투   자   자   산</t>
    <phoneticPr fontId="15" type="noConversion"/>
  </si>
  <si>
    <t>미완성주택</t>
    <phoneticPr fontId="15" type="noConversion"/>
  </si>
  <si>
    <t>지급이자등</t>
    <phoneticPr fontId="15" type="noConversion"/>
  </si>
  <si>
    <t>유형자산취득</t>
    <phoneticPr fontId="15" type="noConversion"/>
  </si>
  <si>
    <t>보증금회수수입</t>
    <phoneticPr fontId="15" type="noConversion"/>
  </si>
  <si>
    <t>구    축    물</t>
    <phoneticPr fontId="15" type="noConversion"/>
  </si>
  <si>
    <t>기계장치</t>
    <phoneticPr fontId="15" type="noConversion"/>
  </si>
  <si>
    <t>차량운반구</t>
    <phoneticPr fontId="15" type="noConversion"/>
  </si>
  <si>
    <t>수탁자산취득비</t>
    <phoneticPr fontId="15" type="noConversion"/>
  </si>
  <si>
    <t>기타유동부채수입</t>
    <phoneticPr fontId="15" type="noConversion"/>
  </si>
  <si>
    <t>보증금</t>
    <phoneticPr fontId="15" type="noConversion"/>
  </si>
  <si>
    <t>재고자산</t>
    <phoneticPr fontId="15" type="noConversion"/>
  </si>
  <si>
    <t>차량운반구매각수입</t>
    <phoneticPr fontId="15" type="noConversion"/>
  </si>
  <si>
    <t>수탁자산보조금수입</t>
    <phoneticPr fontId="15" type="noConversion"/>
  </si>
  <si>
    <t>고정부채상환</t>
    <phoneticPr fontId="15" type="noConversion"/>
  </si>
  <si>
    <t>기타유동부채상환</t>
    <phoneticPr fontId="15" type="noConversion"/>
  </si>
  <si>
    <t>기타자본적수입</t>
    <phoneticPr fontId="15" type="noConversion"/>
  </si>
  <si>
    <t>과                                    목</t>
    <phoneticPr fontId="15" type="noConversion"/>
  </si>
  <si>
    <t>당년도예산액
(A)</t>
    <phoneticPr fontId="15" type="noConversion"/>
  </si>
  <si>
    <t>전년도예산액
(B)</t>
    <phoneticPr fontId="15" type="noConversion"/>
  </si>
  <si>
    <t>증       감
(A-B)</t>
    <phoneticPr fontId="15" type="noConversion"/>
  </si>
  <si>
    <t>산       출       기       초</t>
    <phoneticPr fontId="15" type="noConversion"/>
  </si>
  <si>
    <t>목</t>
    <phoneticPr fontId="15" type="noConversion"/>
  </si>
  <si>
    <t>수입계(사업수익+자본적수입)</t>
    <phoneticPr fontId="15" type="noConversion"/>
  </si>
  <si>
    <t>610 영업수익</t>
    <phoneticPr fontId="15" type="noConversion"/>
  </si>
  <si>
    <t>622 대행사업수익</t>
    <phoneticPr fontId="15" type="noConversion"/>
  </si>
  <si>
    <t>623-01
직접관리비수익</t>
    <phoneticPr fontId="16" type="noConversion"/>
  </si>
  <si>
    <t>○ 대행사업 관리비 수입(생활폐기물수집운반)</t>
    <phoneticPr fontId="16" type="noConversion"/>
  </si>
  <si>
    <t>=</t>
    <phoneticPr fontId="16" type="noConversion"/>
  </si>
  <si>
    <t>=</t>
    <phoneticPr fontId="15" type="noConversion"/>
  </si>
  <si>
    <t xml:space="preserve">  ○ 대행사업관리비 수입(종량제물품공급)</t>
    <phoneticPr fontId="15" type="noConversion"/>
  </si>
  <si>
    <t xml:space="preserve">  ○ 대행사업관리비 수입(공영주차장 관리 운영)</t>
    <phoneticPr fontId="15" type="noConversion"/>
  </si>
  <si>
    <t xml:space="preserve">  ○ 대행사업관리비 수입(진남수영장)</t>
    <phoneticPr fontId="15" type="noConversion"/>
  </si>
  <si>
    <t xml:space="preserve">  ○ 대행사업관리비 수입(망마국민체육센터)</t>
    <phoneticPr fontId="15" type="noConversion"/>
  </si>
  <si>
    <t xml:space="preserve">  ○ 대행사업관리비 수입(장애인국민체육센터)</t>
    <phoneticPr fontId="15" type="noConversion"/>
  </si>
  <si>
    <t xml:space="preserve">  ○ 대행사업관리비 수입(돌산공원주차장 운영)</t>
    <phoneticPr fontId="15" type="noConversion"/>
  </si>
  <si>
    <t>623-02
간접관리비수익</t>
    <phoneticPr fontId="15" type="noConversion"/>
  </si>
  <si>
    <t>623-02 간접관리비수익</t>
    <phoneticPr fontId="15" type="noConversion"/>
  </si>
  <si>
    <t xml:space="preserve">  ○ 사업수행에 따른 공통경비등 간접관리비 수입</t>
    <phoneticPr fontId="15" type="noConversion"/>
  </si>
  <si>
    <t>670 영업외수익</t>
    <phoneticPr fontId="15" type="noConversion"/>
  </si>
  <si>
    <t>679 기타영업외수익</t>
    <phoneticPr fontId="15" type="noConversion"/>
  </si>
  <si>
    <t>679-09
기타영업외수익</t>
    <phoneticPr fontId="15" type="noConversion"/>
  </si>
  <si>
    <t>○ 신용카드 포인트 등</t>
    <phoneticPr fontId="15" type="noConversion"/>
  </si>
  <si>
    <t>170 
자본잉여금수입</t>
    <phoneticPr fontId="15" type="noConversion"/>
  </si>
  <si>
    <t>176
수탁자산보조금수입</t>
    <phoneticPr fontId="15" type="noConversion"/>
  </si>
  <si>
    <t>176-01
수탁자산보조금수입</t>
    <phoneticPr fontId="15" type="noConversion"/>
  </si>
  <si>
    <t>○ 수탁자산취득비(경영본부)</t>
    <phoneticPr fontId="15" type="noConversion"/>
  </si>
  <si>
    <t>○ 수탁자산취득비(공영주차장)</t>
    <phoneticPr fontId="16" type="noConversion"/>
  </si>
  <si>
    <t>○ 수탁자산취득비(봉황산자연휴양림)</t>
    <phoneticPr fontId="16" type="noConversion"/>
  </si>
  <si>
    <t>○ 수탁자산취득비(진남수영장)</t>
    <phoneticPr fontId="15" type="noConversion"/>
  </si>
  <si>
    <t>○ 수탁자산취득비(망마국민체육센터)</t>
    <phoneticPr fontId="16" type="noConversion"/>
  </si>
  <si>
    <t>○ 수탁자산취득비(장애인국민체육센터)</t>
    <phoneticPr fontId="15" type="noConversion"/>
  </si>
  <si>
    <t>180 유보자금</t>
    <phoneticPr fontId="15" type="noConversion"/>
  </si>
  <si>
    <t>181 순세계잉여금</t>
    <phoneticPr fontId="15" type="noConversion"/>
  </si>
  <si>
    <t>181-01
순세계잉여금</t>
    <phoneticPr fontId="15" type="noConversion"/>
  </si>
  <si>
    <t>○ 유보자금</t>
    <phoneticPr fontId="15" type="noConversion"/>
  </si>
  <si>
    <t>03
무기계약근로자보수</t>
    <phoneticPr fontId="15" type="noConversion"/>
  </si>
  <si>
    <t>01
사무관리비</t>
    <phoneticPr fontId="15" type="noConversion"/>
  </si>
  <si>
    <t>11
지급수수료</t>
    <phoneticPr fontId="15" type="noConversion"/>
  </si>
  <si>
    <t>13
임차료</t>
    <phoneticPr fontId="15" type="noConversion"/>
  </si>
  <si>
    <t>15
복리후생비</t>
    <phoneticPr fontId="15" type="noConversion"/>
  </si>
  <si>
    <t>21
공공요금및제세</t>
    <phoneticPr fontId="15" type="noConversion"/>
  </si>
  <si>
    <t>214
수선유지교체비</t>
    <phoneticPr fontId="15" type="noConversion"/>
  </si>
  <si>
    <t>05
수선유지비</t>
    <phoneticPr fontId="15" type="noConversion"/>
  </si>
  <si>
    <t>201 일반운영비</t>
    <phoneticPr fontId="15" type="noConversion"/>
  </si>
  <si>
    <t>01 사무관리비</t>
    <phoneticPr fontId="15" type="noConversion"/>
  </si>
  <si>
    <t>02 공공운영비</t>
    <phoneticPr fontId="15" type="noConversion"/>
  </si>
  <si>
    <t>11 지급수수료</t>
    <phoneticPr fontId="15" type="noConversion"/>
  </si>
  <si>
    <t>13 임차료</t>
    <phoneticPr fontId="15" type="noConversion"/>
  </si>
  <si>
    <t>15 복리후생비</t>
    <phoneticPr fontId="15" type="noConversion"/>
  </si>
  <si>
    <t>21 공공요금 및 제세</t>
    <phoneticPr fontId="15" type="noConversion"/>
  </si>
  <si>
    <t>21 공공요금및제세</t>
    <phoneticPr fontId="15" type="noConversion"/>
  </si>
  <si>
    <t>202 여비</t>
    <phoneticPr fontId="15" type="noConversion"/>
  </si>
  <si>
    <t>214 수선유지교체비</t>
    <phoneticPr fontId="15" type="noConversion"/>
  </si>
  <si>
    <t>05 수선유지비</t>
    <phoneticPr fontId="15" type="noConversion"/>
  </si>
  <si>
    <t>03 무기계약근로자보수</t>
  </si>
  <si>
    <t>○ 직급보조비</t>
  </si>
  <si>
    <t>01  사무관리비</t>
  </si>
  <si>
    <t>202  여비</t>
  </si>
  <si>
    <t xml:space="preserve"> ○ 관내여비</t>
  </si>
  <si>
    <t xml:space="preserve"> ○ 관외여비</t>
  </si>
  <si>
    <t>214  수선유지교체비</t>
  </si>
  <si>
    <t>05  수선유지비</t>
    <phoneticPr fontId="15" type="noConversion"/>
  </si>
  <si>
    <t>217  관서업무비</t>
  </si>
  <si>
    <t>02  부서업무비</t>
    <phoneticPr fontId="15" type="noConversion"/>
  </si>
  <si>
    <t>101  인건비</t>
  </si>
  <si>
    <t xml:space="preserve"> ○ 사무용품구입</t>
    <phoneticPr fontId="15" type="noConversion"/>
  </si>
  <si>
    <t xml:space="preserve"> ○ 무인방범 및 CCTV 관리수수료 : 88,000원*12개월 </t>
    <phoneticPr fontId="15" type="noConversion"/>
  </si>
  <si>
    <t xml:space="preserve"> ○ 신용카드 단말기 사용료 : 11,000원*12개월</t>
    <phoneticPr fontId="56" type="noConversion"/>
  </si>
  <si>
    <t>=</t>
    <phoneticPr fontId="56" type="noConversion"/>
  </si>
  <si>
    <t xml:space="preserve"> ○ 신용카드 결제서비스 대행수수료</t>
    <phoneticPr fontId="15" type="noConversion"/>
  </si>
  <si>
    <t xml:space="preserve"> ○ 공기청정기 렌탈료 : 39,000원*12개월*1대</t>
    <phoneticPr fontId="56" type="noConversion"/>
  </si>
  <si>
    <r>
      <t>21</t>
    </r>
    <r>
      <rPr>
        <sz val="9"/>
        <color indexed="8"/>
        <rFont val="굴림"/>
        <family val="3"/>
        <charset val="129"/>
      </rPr>
      <t>공공요금및제세공과금</t>
    </r>
    <phoneticPr fontId="15" type="noConversion"/>
  </si>
  <si>
    <t xml:space="preserve"> ○ 문자메시지 발송비</t>
    <phoneticPr fontId="15" type="noConversion"/>
  </si>
  <si>
    <t>○ 화재보험료 : 300,000원</t>
    <phoneticPr fontId="56" type="noConversion"/>
  </si>
  <si>
    <t>22 차량선박비</t>
    <phoneticPr fontId="15" type="noConversion"/>
  </si>
  <si>
    <t xml:space="preserve"> ○ 관내여비</t>
    <phoneticPr fontId="15" type="noConversion"/>
  </si>
  <si>
    <t>○ 피복구입비</t>
    <phoneticPr fontId="15" type="noConversion"/>
  </si>
  <si>
    <t>○ 야간근무자 급량비</t>
    <phoneticPr fontId="15" type="noConversion"/>
  </si>
  <si>
    <t>○쓰레기 종량제 봉투 구입</t>
  </si>
  <si>
    <t>○유지보수 관리계약</t>
  </si>
  <si>
    <t>○법적 정기검사 실시</t>
  </si>
  <si>
    <t>○법적 검사 실시</t>
  </si>
  <si>
    <t>○시설관리 전산프로그램 사용 수수료</t>
  </si>
  <si>
    <t>○ 사용중검사, 성능검사 각 연 1회(보일러 3대)</t>
  </si>
  <si>
    <t>○ 신용카드 결제에 따른 카드사 결제대행수수료</t>
  </si>
  <si>
    <t>○승강기시설안전관리법에 의한 안전관리 대행</t>
  </si>
  <si>
    <t>○보일러 관체 내부 약품 세척 용역비</t>
  </si>
  <si>
    <t>○진남수영장 보일러 유지보수 계약비</t>
  </si>
  <si>
    <t>○진남수영장 회원관리 프로그램 용역비</t>
  </si>
  <si>
    <t>○수영장 회원관리 프로그램 서버 유지관리 용역비</t>
  </si>
  <si>
    <t>○수영장 수질개선을 위한 물탱크 청소</t>
  </si>
  <si>
    <t>○기계실 배수용 펌프 내부 청소 용역비</t>
  </si>
  <si>
    <t>○저수조 청소 용역비</t>
  </si>
  <si>
    <t>○연 1회 법정 책임보험 가입</t>
  </si>
  <si>
    <t>02 부서운영업무비</t>
  </si>
  <si>
    <t>01 일반재료비</t>
  </si>
  <si>
    <t>○ (법정) 저수조 탱크 청소 용역비 : 600,000원*2회</t>
  </si>
  <si>
    <t>○ 저수조 탱크 연 2회 청소 
 - 관련근거 :「수도법」제44조, 시행규칙 제22조 3</t>
  </si>
  <si>
    <t>○ (법정) 승강기유지관리용역비 : 200,000원*12회</t>
  </si>
  <si>
    <t xml:space="preserve">○ 승강기(장애인용) 1대 유지관리용역 </t>
  </si>
  <si>
    <t>○ (법정) 승강기 정기검사 수수료 : 130,000원*1회</t>
  </si>
  <si>
    <t>○ 승강기시설안전관리법에 의한 안전관리 대행
- 관련근거 : 「승강기 안전관리법」 제31조</t>
  </si>
  <si>
    <t>○ (법정) 가스 정기검사 수수료 : 130,000원*1회</t>
  </si>
  <si>
    <t>○ 법적 정기검사 실시
   - 관련근거 : 「도시가스사업법」제17조제1항, 동법시행규칙 제25조제7항</t>
  </si>
  <si>
    <t>○ (법정) 수질검사용역비 : 200,000원*1회</t>
  </si>
  <si>
    <t>○ 법적 검사 실시(목욕수, 레지오넬라균 각 1회 실시)
- 관련근거 : 「수도법」제33조 및 동법시행령 제50조</t>
  </si>
  <si>
    <t>○ 보일러 유지관리 용역비 : 750,000원*2회</t>
  </si>
  <si>
    <t>○ 보일러 2대 유지관리용역</t>
  </si>
  <si>
    <t>21 공공요금 및 제세</t>
  </si>
  <si>
    <t xml:space="preserve">○ 장애인국민체육센터 통신요금 </t>
  </si>
  <si>
    <t xml:space="preserve">○ 장애인국민체육센터 전기요금 </t>
  </si>
  <si>
    <t xml:space="preserve">○ 장애인국민체육센터 상하수도요금 </t>
  </si>
  <si>
    <t xml:space="preserve">○ 문자메시지 사용요금 </t>
  </si>
  <si>
    <t>○ 사무용품구입</t>
    <phoneticPr fontId="15" type="noConversion"/>
  </si>
  <si>
    <t xml:space="preserve"> ○ 청소용품 구입비</t>
    <phoneticPr fontId="15" type="noConversion"/>
  </si>
  <si>
    <t>○ 기타 운영비품</t>
    <phoneticPr fontId="15" type="noConversion"/>
  </si>
  <si>
    <t>○ 소각시설 운영비품</t>
    <phoneticPr fontId="15" type="noConversion"/>
  </si>
  <si>
    <t xml:space="preserve">  - 기술서적 및 업무용자료 구입 등 : 100,000원*2권*4회</t>
    <phoneticPr fontId="15" type="noConversion"/>
  </si>
  <si>
    <t xml:space="preserve"> ○ 유인물인쇄</t>
    <phoneticPr fontId="15" type="noConversion"/>
  </si>
  <si>
    <t>○ 유인물 인쇄</t>
    <phoneticPr fontId="15" type="noConversion"/>
  </si>
  <si>
    <t xml:space="preserve">  - 도면복사 / 제본,사진인화 등 : 30,000원*5종*10회</t>
    <phoneticPr fontId="15" type="noConversion"/>
  </si>
  <si>
    <t xml:space="preserve">  제본, 사진인화 관련</t>
    <phoneticPr fontId="15" type="noConversion"/>
  </si>
  <si>
    <t>○ 시설관련</t>
    <phoneticPr fontId="15" type="noConversion"/>
  </si>
  <si>
    <t xml:space="preserve"> 도시형폐기물 견학자 기념품 제작</t>
    <phoneticPr fontId="15" type="noConversion"/>
  </si>
  <si>
    <t xml:space="preserve"> 안전, 화재 등 현수막 제작</t>
    <phoneticPr fontId="15" type="noConversion"/>
  </si>
  <si>
    <t xml:space="preserve">   - 작업환경 측정(특수건강검진 관련) : 3,600,000원*2회(상,하반기)</t>
    <phoneticPr fontId="15" type="noConversion"/>
  </si>
  <si>
    <t xml:space="preserve">  산업안전보건법 제42조(작업환경측정등)제4항 관련, 2회/년</t>
    <phoneticPr fontId="15" type="noConversion"/>
  </si>
  <si>
    <t>『소방시설설치유지 및 안전관리에 관한 법률』제25조 관련(작동기능점검, 종합정밀점검)</t>
    <phoneticPr fontId="15" type="noConversion"/>
  </si>
  <si>
    <t>「자원순환기본법」제21조 의거</t>
    <phoneticPr fontId="15" type="noConversion"/>
  </si>
  <si>
    <t xml:space="preserve"> 대기환경보전법 제32조(측정기기의 부착 등) 4항 관련, 1회/월</t>
    <phoneticPr fontId="15" type="noConversion"/>
  </si>
  <si>
    <t xml:space="preserve"> 승강기시설 안전관리법 제17조(승강기의 자체점검) 1함 및 4항 관련, 1회/월</t>
    <phoneticPr fontId="15" type="noConversion"/>
  </si>
  <si>
    <t xml:space="preserve"> 도시형폐기물 내 예초작업(3회)</t>
    <phoneticPr fontId="15" type="noConversion"/>
  </si>
  <si>
    <t>잔류성유기오염물질관리법 제19조(잔류성유기오염물질의 측정) 및 동법 시행규칙 제14조 관련</t>
    <phoneticPr fontId="15" type="noConversion"/>
  </si>
  <si>
    <t>산업안전보건법 제36조(안전검사) 1항 관련</t>
    <phoneticPr fontId="15" type="noConversion"/>
  </si>
  <si>
    <t xml:space="preserve"> 바이오 및 폐수 운영관련</t>
    <phoneticPr fontId="15" type="noConversion"/>
  </si>
  <si>
    <t xml:space="preserve"> 바이오시설 운영관련</t>
    <phoneticPr fontId="15" type="noConversion"/>
  </si>
  <si>
    <t xml:space="preserve"> ○ 렌트비용</t>
    <phoneticPr fontId="15" type="noConversion"/>
  </si>
  <si>
    <t>○ 렌트비용</t>
    <phoneticPr fontId="15" type="noConversion"/>
  </si>
  <si>
    <t xml:space="preserve">  ○ 장비임대료</t>
    <phoneticPr fontId="15" type="noConversion"/>
  </si>
  <si>
    <t>○ 장비임대료</t>
    <phoneticPr fontId="15" type="noConversion"/>
  </si>
  <si>
    <t xml:space="preserve"> ○ 업무용 차량임차료(렌터카)</t>
    <phoneticPr fontId="15" type="noConversion"/>
  </si>
  <si>
    <t>○ 차량유지비</t>
    <phoneticPr fontId="15" type="noConversion"/>
  </si>
  <si>
    <t>○ 피복구입</t>
    <phoneticPr fontId="15" type="noConversion"/>
  </si>
  <si>
    <t xml:space="preserve">  동복 지급(2벌)</t>
    <phoneticPr fontId="15" type="noConversion"/>
  </si>
  <si>
    <t xml:space="preserve">  춘추복 지급(2벌)</t>
    <phoneticPr fontId="15" type="noConversion"/>
  </si>
  <si>
    <t>○ 개인 안전장구 구입비</t>
    <phoneticPr fontId="15" type="noConversion"/>
  </si>
  <si>
    <t>○ 개인안전 장구 구입</t>
    <phoneticPr fontId="15" type="noConversion"/>
  </si>
  <si>
    <t xml:space="preserve">  안전화, 안전모 지급(2회/년)</t>
    <phoneticPr fontId="15" type="noConversion"/>
  </si>
  <si>
    <t xml:space="preserve">  유해가스(바이오, 폐수) 및 비산먼지 제거용 마스크, 방진복 지급(매월)</t>
    <phoneticPr fontId="15" type="noConversion"/>
  </si>
  <si>
    <t>○ 급량비</t>
    <phoneticPr fontId="15" type="noConversion"/>
  </si>
  <si>
    <t xml:space="preserve">  시간외근무자 급식비 지급</t>
    <phoneticPr fontId="15" type="noConversion"/>
  </si>
  <si>
    <t xml:space="preserve"> 인터넷 3회선(TMS실, 사무실, 계근대시설)</t>
    <phoneticPr fontId="15" type="noConversion"/>
  </si>
  <si>
    <t xml:space="preserve"> 계약관련 문서 등기발송(협력업체)</t>
    <phoneticPr fontId="15" type="noConversion"/>
  </si>
  <si>
    <t xml:space="preserve"> ○ 주민세</t>
    <phoneticPr fontId="15" type="noConversion"/>
  </si>
  <si>
    <t xml:space="preserve"> ○ 협회비</t>
    <phoneticPr fontId="15" type="noConversion"/>
  </si>
  <si>
    <t>○ 협회비</t>
    <phoneticPr fontId="15" type="noConversion"/>
  </si>
  <si>
    <t xml:space="preserve"> 산업안전관리 협회 등록</t>
    <phoneticPr fontId="15" type="noConversion"/>
  </si>
  <si>
    <t xml:space="preserve">  -  기타협회비(전국 생활폐기물 자원회수 운영협회) : 300,000원*1회</t>
    <phoneticPr fontId="15" type="noConversion"/>
  </si>
  <si>
    <t xml:space="preserve"> 전국 생활폐기물 자원회수시설 운영협회(소장단)</t>
    <phoneticPr fontId="15" type="noConversion"/>
  </si>
  <si>
    <t xml:space="preserve"> ○ 환경책임보험료</t>
    <phoneticPr fontId="15" type="noConversion"/>
  </si>
  <si>
    <t>○ 환경책임보험료</t>
    <phoneticPr fontId="15" type="noConversion"/>
  </si>
  <si>
    <t>「환경오염피해배상책임 및 구제에 관한 법률」제17조 의거 환경책임보험의무 가입</t>
    <phoneticPr fontId="15" type="noConversion"/>
  </si>
  <si>
    <t xml:space="preserve"> ○ 폐기물처분 분담금</t>
    <phoneticPr fontId="15" type="noConversion"/>
  </si>
  <si>
    <t>○ 폐기물처분 분담금</t>
    <phoneticPr fontId="15" type="noConversion"/>
  </si>
  <si>
    <t>발생량</t>
    <phoneticPr fontId="15" type="noConversion"/>
  </si>
  <si>
    <t>요율</t>
    <phoneticPr fontId="15" type="noConversion"/>
  </si>
  <si>
    <t>산정지수</t>
    <phoneticPr fontId="15" type="noConversion"/>
  </si>
  <si>
    <t xml:space="preserve"> ○ 차량유지 공공요금(지게차)</t>
    <phoneticPr fontId="15" type="noConversion"/>
  </si>
  <si>
    <t>○ 차량유지 공공요금(지게차)</t>
    <phoneticPr fontId="15" type="noConversion"/>
  </si>
  <si>
    <t xml:space="preserve">  - 자동차세 : 100,000원*1대*1회</t>
    <phoneticPr fontId="15" type="noConversion"/>
  </si>
  <si>
    <t xml:space="preserve">  - 환경개선부담금 : 150,000원*1대*2회</t>
    <phoneticPr fontId="15" type="noConversion"/>
  </si>
  <si>
    <t xml:space="preserve"> 지게차 보험료</t>
    <phoneticPr fontId="15" type="noConversion"/>
  </si>
  <si>
    <t xml:space="preserve"> 소모품(엔진오일 등) 교체</t>
    <phoneticPr fontId="15" type="noConversion"/>
  </si>
  <si>
    <t xml:space="preserve"> 연료(경유) 구입</t>
    <phoneticPr fontId="15" type="noConversion"/>
  </si>
  <si>
    <t>01  국내여비</t>
    <phoneticPr fontId="15" type="noConversion"/>
  </si>
  <si>
    <t>206  재료비</t>
    <phoneticPr fontId="15" type="noConversion"/>
  </si>
  <si>
    <t>02  약품비</t>
    <phoneticPr fontId="15" type="noConversion"/>
  </si>
  <si>
    <t>214  수선유지교체비</t>
    <phoneticPr fontId="15" type="noConversion"/>
  </si>
  <si>
    <t>○ 보수 및 운영비</t>
    <phoneticPr fontId="15" type="noConversion"/>
  </si>
  <si>
    <t xml:space="preserve">  소각시설 설치 운영지침 해설서(201210최종본) : 유지관리비 산출내역 참조</t>
    <phoneticPr fontId="15" type="noConversion"/>
  </si>
  <si>
    <t xml:space="preserve">  소각시설 총 공사비 : 35,889,672천원</t>
    <phoneticPr fontId="15" type="noConversion"/>
  </si>
  <si>
    <t xml:space="preserve">  바이오시설 총 공사비 : 6,613,000천원</t>
    <phoneticPr fontId="15" type="noConversion"/>
  </si>
  <si>
    <t>○ CleanSYS(TMS)소모품 구매 등</t>
    <phoneticPr fontId="15" type="noConversion"/>
  </si>
  <si>
    <t>○ CleanSYS(대기측정기기) 소모품구매</t>
    <phoneticPr fontId="15" type="noConversion"/>
  </si>
  <si>
    <t xml:space="preserve">  환경분야 시험․검사등에 관한법률 시행규칙 제9조제1항제1호에 의거 </t>
    <phoneticPr fontId="15" type="noConversion"/>
  </si>
  <si>
    <t xml:space="preserve"> - CleanSYS(TMS)유지관리 부품 구매 :  4,000,000 * 1식</t>
    <phoneticPr fontId="15" type="noConversion"/>
  </si>
  <si>
    <t xml:space="preserve">  표준가스 교체주기 준수(CO, HCL, NOx, SOx, O2 등), 기타 소모품 구매</t>
    <phoneticPr fontId="15" type="noConversion"/>
  </si>
  <si>
    <t>○ 소각시설 관련 구매</t>
    <phoneticPr fontId="15" type="noConversion"/>
  </si>
  <si>
    <t xml:space="preserve"> - 약품 관련 분사 노즐(팁포함) 구매 : 3,500,000원*2set</t>
    <phoneticPr fontId="15" type="noConversion"/>
  </si>
  <si>
    <t>○ 건축설비 관련 구매</t>
    <phoneticPr fontId="15" type="noConversion"/>
  </si>
  <si>
    <t>215  동력비</t>
    <phoneticPr fontId="15" type="noConversion"/>
  </si>
  <si>
    <t>○ 공업용수 사용요금</t>
    <phoneticPr fontId="15" type="noConversion"/>
  </si>
  <si>
    <t>○ 연료비</t>
    <phoneticPr fontId="15" type="noConversion"/>
  </si>
  <si>
    <t>217  관서업무비</t>
    <phoneticPr fontId="15" type="noConversion"/>
  </si>
  <si>
    <t>기본액(30명기준)</t>
    <phoneticPr fontId="15" type="noConversion"/>
  </si>
  <si>
    <t>월</t>
    <phoneticPr fontId="15" type="noConversion"/>
  </si>
  <si>
    <t>추가금액</t>
    <phoneticPr fontId="15" type="noConversion"/>
  </si>
  <si>
    <t>추가명</t>
    <phoneticPr fontId="15" type="noConversion"/>
  </si>
  <si>
    <t xml:space="preserve">  부서업무비 : 30인 이하(350천원),1명추가시(5,000천원/월)</t>
    <phoneticPr fontId="15" type="noConversion"/>
  </si>
  <si>
    <t xml:space="preserve"> ○ 부서업무비</t>
    <phoneticPr fontId="15" type="noConversion"/>
  </si>
  <si>
    <t xml:space="preserve">  ○ 대행사업관리비 수입(봉황산자연휴양림 운영)</t>
    <phoneticPr fontId="15" type="noConversion"/>
  </si>
  <si>
    <t xml:space="preserve">  ○ 대행사업관리비 수입(도시형폐기물처리시설)</t>
    <phoneticPr fontId="15" type="noConversion"/>
  </si>
  <si>
    <t xml:space="preserve"> ○ 수탁자산취득비(생활폐기물수집운반)</t>
    <phoneticPr fontId="15" type="noConversion"/>
  </si>
  <si>
    <t xml:space="preserve"> ○ 시설비및부대비,수탁자산취득비(도시형폐기물처리시설)</t>
    <phoneticPr fontId="15" type="noConversion"/>
  </si>
  <si>
    <t xml:space="preserve"> ○ 지역사회공헌인정제 재인정 심사비 : 440,000원 * 1식</t>
    <phoneticPr fontId="15" type="noConversion"/>
  </si>
  <si>
    <t>[국내여비](2022년 예산 편성과 산출 근거 동일, 2022년 계산 오류)</t>
    <phoneticPr fontId="15" type="noConversion"/>
  </si>
  <si>
    <t>800 예비비및기타</t>
    <phoneticPr fontId="15" type="noConversion"/>
  </si>
  <si>
    <t>○ 사무실 위생용품(종량제봉투 등) 구입 :</t>
  </si>
  <si>
    <t>○ 신문구독료</t>
  </si>
  <si>
    <t>○ 공단 업무용 수첩 제작 :</t>
  </si>
  <si>
    <t>206 재료비</t>
  </si>
  <si>
    <t>○ 방역소독약품 구입 : 500,000원*2회</t>
  </si>
  <si>
    <t xml:space="preserve">○수영장내/외부벌레퇴치약품살포/감염병예방약품 </t>
  </si>
  <si>
    <t>02 약품비</t>
  </si>
  <si>
    <t>02 수선유지비</t>
  </si>
  <si>
    <t>○ 회의개최 시 음식물 및 다과, 체육대회 식대 포함
   (1년이상 근로계약을 체결하는 비정규직 포함)</t>
  </si>
  <si>
    <t>04 기간제근로자등보수</t>
  </si>
  <si>
    <t>○ 공기청정기 2대 임차료</t>
  </si>
  <si>
    <t>15  복리후생비</t>
  </si>
  <si>
    <t>21  공공요금및제세</t>
  </si>
  <si>
    <t>02  부서업무비</t>
  </si>
  <si>
    <t>1) 공영주차장 관리 운영</t>
    <phoneticPr fontId="15" type="noConversion"/>
  </si>
  <si>
    <t>2) 돌산공원주차장 운영</t>
    <phoneticPr fontId="15" type="noConversion"/>
  </si>
  <si>
    <t>3) 봉황산자연휴양림 운영</t>
    <phoneticPr fontId="15" type="noConversion"/>
  </si>
  <si>
    <t>○ 수탁자산취득비(돌산공원주차장)</t>
    <phoneticPr fontId="16" type="noConversion"/>
  </si>
  <si>
    <t>○ 수탁자산취득비(종량제물품공급)</t>
    <phoneticPr fontId="15" type="noConversion"/>
  </si>
  <si>
    <t>6) 년간 장애인국민체육센터관리수입</t>
    <phoneticPr fontId="15" type="noConversion"/>
  </si>
  <si>
    <t>4) 년간 종량제물품판매수입</t>
    <phoneticPr fontId="15" type="noConversion"/>
  </si>
  <si>
    <r>
      <t>여수시도시관리공단 이사장   김  유  화</t>
    </r>
    <r>
      <rPr>
        <b/>
        <sz val="16"/>
        <rFont val="굴림"/>
        <family val="3"/>
        <charset val="129"/>
      </rPr>
      <t xml:space="preserve">  </t>
    </r>
    <phoneticPr fontId="15" type="noConversion"/>
  </si>
  <si>
    <t>4.  자  금  운  영  계  획</t>
    <phoneticPr fontId="15" type="noConversion"/>
  </si>
  <si>
    <t>○ 자금운영계획</t>
    <phoneticPr fontId="15" type="noConversion"/>
  </si>
  <si>
    <t>가.수입자금</t>
    <phoneticPr fontId="15" type="noConversion"/>
  </si>
  <si>
    <t>(단위:천원)</t>
  </si>
  <si>
    <t>구분</t>
  </si>
  <si>
    <t>당년도 예산
(A)</t>
    <phoneticPr fontId="15" type="noConversion"/>
  </si>
  <si>
    <t>전년도 예산
(B)</t>
    <phoneticPr fontId="15" type="noConversion"/>
  </si>
  <si>
    <t>증 감
(A-B)</t>
    <phoneticPr fontId="15" type="noConversion"/>
  </si>
  <si>
    <t>수입자금</t>
    <phoneticPr fontId="15" type="noConversion"/>
  </si>
  <si>
    <t>임대사업수익</t>
    <phoneticPr fontId="15" type="noConversion"/>
  </si>
  <si>
    <t>대행사업수익</t>
    <phoneticPr fontId="15" type="noConversion"/>
  </si>
  <si>
    <t>이자수익</t>
  </si>
  <si>
    <t>기타영업외수익</t>
  </si>
  <si>
    <t>비유동자산처분수입</t>
    <phoneticPr fontId="15" type="noConversion"/>
  </si>
  <si>
    <t>유동부채수입</t>
    <phoneticPr fontId="15" type="noConversion"/>
  </si>
  <si>
    <t>자본잉여금수입</t>
    <phoneticPr fontId="15" type="noConversion"/>
  </si>
  <si>
    <t>계</t>
    <phoneticPr fontId="15" type="noConversion"/>
  </si>
  <si>
    <t>전년이월금</t>
    <phoneticPr fontId="15" type="noConversion"/>
  </si>
  <si>
    <t>사 고 이 월 금</t>
    <phoneticPr fontId="15" type="noConversion"/>
  </si>
  <si>
    <t>나. 지출자금</t>
    <phoneticPr fontId="15" type="noConversion"/>
  </si>
  <si>
    <t xml:space="preserve">     (단위 : 천원)</t>
    <phoneticPr fontId="15" type="noConversion"/>
  </si>
  <si>
    <t>구   분</t>
    <phoneticPr fontId="15" type="noConversion"/>
  </si>
  <si>
    <t>당년도 예산
(A)</t>
    <phoneticPr fontId="15" type="noConversion"/>
  </si>
  <si>
    <t>전년도 예산
(B)</t>
    <phoneticPr fontId="15" type="noConversion"/>
  </si>
  <si>
    <t>증 감
(A-B)</t>
    <phoneticPr fontId="15" type="noConversion"/>
  </si>
  <si>
    <t>비고</t>
    <phoneticPr fontId="15" type="noConversion"/>
  </si>
  <si>
    <t>지출자금</t>
    <phoneticPr fontId="15" type="noConversion"/>
  </si>
  <si>
    <t>법인세등</t>
    <phoneticPr fontId="15" type="noConversion"/>
  </si>
  <si>
    <t>무형자산및기타비유동자산취득</t>
    <phoneticPr fontId="15" type="noConversion"/>
  </si>
  <si>
    <t>보증금</t>
    <phoneticPr fontId="15" type="noConversion"/>
  </si>
  <si>
    <t>유동부채상환</t>
    <phoneticPr fontId="15" type="noConversion"/>
  </si>
  <si>
    <t>선수금상환</t>
    <phoneticPr fontId="15" type="noConversion"/>
  </si>
  <si>
    <t>기타유동부채상환</t>
    <phoneticPr fontId="15" type="noConversion"/>
  </si>
  <si>
    <t>기타자본적지출</t>
    <phoneticPr fontId="15" type="noConversion"/>
  </si>
  <si>
    <t>투자자산</t>
    <phoneticPr fontId="15" type="noConversion"/>
  </si>
  <si>
    <t>예비비</t>
    <phoneticPr fontId="15" type="noConversion"/>
  </si>
  <si>
    <t>자본예비비</t>
    <phoneticPr fontId="15" type="noConversion"/>
  </si>
  <si>
    <t>전년이월금</t>
    <phoneticPr fontId="15" type="noConversion"/>
  </si>
  <si>
    <t>사고이월금</t>
    <phoneticPr fontId="15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</si>
  <si>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고객 모니터링단 활동비 : 10,000원 * 12명 * 12월</t>
    </r>
  </si>
  <si>
    <t xml:space="preserve">                               가. 수입예산 총괄표 ………………………………………………………</t>
    <phoneticPr fontId="15" type="noConversion"/>
  </si>
  <si>
    <t xml:space="preserve">                               나. 지출예산 총괄표 ………………………………………………………</t>
    <phoneticPr fontId="15" type="noConversion"/>
  </si>
  <si>
    <t xml:space="preserve">                               다. 지출예산 ………………………………………………………………</t>
    <phoneticPr fontId="15" type="noConversion"/>
  </si>
  <si>
    <t>제1조 (총칙) 2024년 여수시도시관리공단의 예산은 다음과 같이 정한다.</t>
    <phoneticPr fontId="15" type="noConversion"/>
  </si>
  <si>
    <t>500</t>
  </si>
  <si>
    <t>500</t>
    <phoneticPr fontId="15" type="noConversion"/>
  </si>
  <si>
    <t>가. 수입예산 총괄표(사업수익+자본적수입)</t>
    <phoneticPr fontId="15" type="noConversion"/>
  </si>
  <si>
    <t>600 사업수익</t>
    <phoneticPr fontId="15" type="noConversion"/>
  </si>
  <si>
    <t>구분</t>
    <phoneticPr fontId="15" type="noConversion"/>
  </si>
  <si>
    <t>관</t>
    <phoneticPr fontId="15" type="noConversion"/>
  </si>
  <si>
    <t>항</t>
    <phoneticPr fontId="15" type="noConversion"/>
  </si>
  <si>
    <t>세항</t>
    <phoneticPr fontId="15" type="noConversion"/>
  </si>
  <si>
    <t>100 자본적수입</t>
    <phoneticPr fontId="15" type="noConversion"/>
  </si>
  <si>
    <t>나. 지출예산 총괄표(사업수익+자본적수입)</t>
    <phoneticPr fontId="15" type="noConversion"/>
  </si>
  <si>
    <t>분야부분</t>
    <phoneticPr fontId="15" type="noConversion"/>
  </si>
  <si>
    <t>정책사업</t>
    <phoneticPr fontId="15" type="noConversion"/>
  </si>
  <si>
    <t>단위사업</t>
    <phoneticPr fontId="15" type="noConversion"/>
  </si>
  <si>
    <t>세부사업</t>
    <phoneticPr fontId="15" type="noConversion"/>
  </si>
  <si>
    <t>공영주차장 관리운영</t>
    <phoneticPr fontId="15" type="noConversion"/>
  </si>
  <si>
    <t>인건비</t>
    <phoneticPr fontId="15" type="noConversion"/>
  </si>
  <si>
    <t>수선유지교체비</t>
    <phoneticPr fontId="15" type="noConversion"/>
  </si>
  <si>
    <t>공영주차장 시설 유지보수</t>
    <phoneticPr fontId="15" type="noConversion"/>
  </si>
  <si>
    <t>일반운영비</t>
    <phoneticPr fontId="15" type="noConversion"/>
  </si>
  <si>
    <t>여비</t>
    <phoneticPr fontId="15" type="noConversion"/>
  </si>
  <si>
    <t>관서업무비</t>
    <phoneticPr fontId="15" type="noConversion"/>
  </si>
  <si>
    <t>배상금등</t>
    <phoneticPr fontId="15" type="noConversion"/>
  </si>
  <si>
    <t>돌산 공원주차장 관리운영</t>
    <phoneticPr fontId="15" type="noConversion"/>
  </si>
  <si>
    <t>봉황산자연휴양림 운영</t>
    <phoneticPr fontId="15" type="noConversion"/>
  </si>
  <si>
    <t>돌산 공원주차장 시설 유지보수</t>
    <phoneticPr fontId="15" type="noConversion"/>
  </si>
  <si>
    <t>봉황산자연휴양림 시설 유지보수</t>
    <phoneticPr fontId="15" type="noConversion"/>
  </si>
  <si>
    <t>진남수영장 운영 및 관리</t>
    <phoneticPr fontId="15" type="noConversion"/>
  </si>
  <si>
    <t>진남수영장 시설 유지보수</t>
    <phoneticPr fontId="15" type="noConversion"/>
  </si>
  <si>
    <t>재료비</t>
    <phoneticPr fontId="15" type="noConversion"/>
  </si>
  <si>
    <t>망마국민체육센터 운영 및 관리</t>
    <phoneticPr fontId="15" type="noConversion"/>
  </si>
  <si>
    <t>망마국민체육센터 시설 유지보수</t>
    <phoneticPr fontId="15" type="noConversion"/>
  </si>
  <si>
    <t>장애인국민체육센터 운영 및 관리</t>
    <phoneticPr fontId="15" type="noConversion"/>
  </si>
  <si>
    <t>장애인국민체육센터 시설 유지보수</t>
    <phoneticPr fontId="15" type="noConversion"/>
  </si>
  <si>
    <t>환경대행사업</t>
    <phoneticPr fontId="15" type="noConversion"/>
  </si>
  <si>
    <t>환경사원 안전개선 사업</t>
    <phoneticPr fontId="15" type="noConversion"/>
  </si>
  <si>
    <t>종량제물품 공급관리</t>
    <phoneticPr fontId="15" type="noConversion"/>
  </si>
  <si>
    <t>도시형 폐기물 처리시설 운영</t>
    <phoneticPr fontId="15" type="noConversion"/>
  </si>
  <si>
    <t>행정운영활동</t>
    <phoneticPr fontId="15" type="noConversion"/>
  </si>
  <si>
    <t>일반행정운영 관리</t>
    <phoneticPr fontId="15" type="noConversion"/>
  </si>
  <si>
    <t>ESG 경영 체계화</t>
    <phoneticPr fontId="15" type="noConversion"/>
  </si>
  <si>
    <t>업무추진비</t>
    <phoneticPr fontId="15" type="noConversion"/>
  </si>
  <si>
    <t>연구개발비</t>
    <phoneticPr fontId="15" type="noConversion"/>
  </si>
  <si>
    <t>일반보전금</t>
    <phoneticPr fontId="15" type="noConversion"/>
  </si>
  <si>
    <t>포상금</t>
    <phoneticPr fontId="15" type="noConversion"/>
  </si>
  <si>
    <t>연금부담금등</t>
    <phoneticPr fontId="15" type="noConversion"/>
  </si>
  <si>
    <t>출연금</t>
    <phoneticPr fontId="15" type="noConversion"/>
  </si>
  <si>
    <t>반환금 기타</t>
    <phoneticPr fontId="15" type="noConversion"/>
  </si>
  <si>
    <t>행정사무자산 구입(공기구비품)</t>
    <phoneticPr fontId="15" type="noConversion"/>
  </si>
  <si>
    <t>공영주차장 자산비품 구입(공기구비품)</t>
    <phoneticPr fontId="15" type="noConversion"/>
  </si>
  <si>
    <t>봉황산자연휴양림 자산비품 구입(공기구비품)</t>
    <phoneticPr fontId="15" type="noConversion"/>
  </si>
  <si>
    <t>진남수영장 자산비품 구입(공기구비품)</t>
    <phoneticPr fontId="15" type="noConversion"/>
  </si>
  <si>
    <t>망마국민체육센터 자산비품 구입(공기구비품)</t>
    <phoneticPr fontId="15" type="noConversion"/>
  </si>
  <si>
    <t>장애인국민체육센터 자산비품 구입(공기구비품)</t>
    <phoneticPr fontId="15" type="noConversion"/>
  </si>
  <si>
    <t>노후 청소차량 적기 교체(차량운반구)</t>
    <phoneticPr fontId="15" type="noConversion"/>
  </si>
  <si>
    <t>환경사원복지관 자산비품 구입(공기구비품)</t>
    <phoneticPr fontId="15" type="noConversion"/>
  </si>
  <si>
    <t>도시형 폐기물 처리시설 자산비품 구입(공기구비품)</t>
    <phoneticPr fontId="15" type="noConversion"/>
  </si>
  <si>
    <t>총계(사업예산+자본예산)</t>
    <phoneticPr fontId="15" type="noConversion"/>
  </si>
  <si>
    <t>퇴직급여</t>
    <phoneticPr fontId="15" type="noConversion"/>
  </si>
  <si>
    <t>평가급 및 성과금 등</t>
    <phoneticPr fontId="15" type="noConversion"/>
  </si>
  <si>
    <t>지방공기업최고경영자협의체부담금</t>
    <phoneticPr fontId="15" type="noConversion"/>
  </si>
  <si>
    <t>자산취득비</t>
  </si>
  <si>
    <t>행정운영활동</t>
    <phoneticPr fontId="15" type="noConversion"/>
  </si>
  <si>
    <t>체육시설 대행사업</t>
    <phoneticPr fontId="15" type="noConversion"/>
  </si>
  <si>
    <t>영업외활동</t>
    <phoneticPr fontId="15" type="noConversion"/>
  </si>
  <si>
    <t>정책사업 총계</t>
    <phoneticPr fontId="15" type="noConversion"/>
  </si>
  <si>
    <t>1.6만대/1</t>
    <phoneticPr fontId="15" type="noConversion"/>
  </si>
  <si>
    <t>200  물건비</t>
    <phoneticPr fontId="15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</si>
  <si>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(법정)</t>
    </r>
    <r>
      <rPr>
        <b/>
        <sz val="10"/>
        <color theme="1"/>
        <rFont val="굴림"/>
        <family val="3"/>
        <charset val="129"/>
      </rPr>
      <t>특수건강진단비용</t>
    </r>
    <phoneticPr fontId="15" type="noConversion"/>
  </si>
  <si>
    <t xml:space="preserve">  - 도시미화팀 야간작업 : 45,000 *2명</t>
    <phoneticPr fontId="15" type="noConversion"/>
  </si>
  <si>
    <t xml:space="preserve">  - 체육시설팀 기술직 : 150,000 *10명</t>
    <phoneticPr fontId="15" type="noConversion"/>
  </si>
  <si>
    <t xml:space="preserve">  - 환경자원사업소 근무자 : 178,000 *45명</t>
    <phoneticPr fontId="15" type="noConversion"/>
  </si>
  <si>
    <t>[기타보상금]</t>
    <phoneticPr fontId="15" type="noConversion"/>
  </si>
  <si>
    <t>[포상금]</t>
    <phoneticPr fontId="15" type="noConversion"/>
  </si>
  <si>
    <t xml:space="preserve"> - 시민기자단 운영에 따른 원고료 : 50,000원*2명*3월*2회(상,하반기)</t>
    <phoneticPr fontId="15" type="noConversion"/>
  </si>
  <si>
    <t>[행사운영비]</t>
    <phoneticPr fontId="15" type="noConversion"/>
  </si>
  <si>
    <t>○ 노사관계 우수기업 인증 갱신 심사비 : 5,500,000원 * 1회</t>
    <phoneticPr fontId="15" type="noConversion"/>
  </si>
  <si>
    <t xml:space="preserve">○ 얼음정수기 임차료 </t>
    <phoneticPr fontId="15" type="noConversion"/>
  </si>
  <si>
    <t xml:space="preserve">  - 본부사무실 얼음정수기 임차료 : 47,900원 * 1대 * 12월</t>
    <phoneticPr fontId="15" type="noConversion"/>
  </si>
  <si>
    <t xml:space="preserve">  - 이사장실 얼음정수기 임차료 : 53,900원 * 1대 * 12월</t>
    <phoneticPr fontId="15" type="noConversion"/>
  </si>
  <si>
    <t>○ 커피머신 임차료</t>
    <phoneticPr fontId="15" type="noConversion"/>
  </si>
  <si>
    <t>○ 소비자중심경영 참여예산</t>
    <phoneticPr fontId="15" type="noConversion"/>
  </si>
  <si>
    <t xml:space="preserve">  - 기간제근로자 상품권 : 300,000원 * 50명</t>
    <phoneticPr fontId="15" type="noConversion"/>
  </si>
  <si>
    <t>○ 건강검진 지원비(일반직, 기능직, 공무직, 환경사원)</t>
    <phoneticPr fontId="15" type="noConversion"/>
  </si>
  <si>
    <t xml:space="preserve">  - 짝수 년생 직원 : 300,000원 * 230명</t>
    <phoneticPr fontId="15" type="noConversion"/>
  </si>
  <si>
    <t>○ 택배 및 우편발송 요금 : 15,000원 * 10건 *12월</t>
    <phoneticPr fontId="15" type="noConversion"/>
  </si>
  <si>
    <t>○ 일반전화 및 인터넷회선요금 등 : 1,045,000원 * 12월</t>
    <phoneticPr fontId="15" type="noConversion"/>
  </si>
  <si>
    <t>○ 계약 수입인지세 부담금 : 20,000원 * 90건</t>
    <phoneticPr fontId="15" type="noConversion"/>
  </si>
  <si>
    <t>○ 법인균등할주민세 : 250,000원 * 1회</t>
    <phoneticPr fontId="15" type="noConversion"/>
  </si>
  <si>
    <t>○ 각종 제증명발급/등기수수료 : 50,000원 * 12월</t>
    <phoneticPr fontId="15" type="noConversion"/>
  </si>
  <si>
    <t>[연구용역비]</t>
    <phoneticPr fontId="15" type="noConversion"/>
  </si>
  <si>
    <t>[수선유지비]</t>
    <phoneticPr fontId="15" type="noConversion"/>
  </si>
  <si>
    <t xml:space="preserve">    - 정원 479명 * 45,000원</t>
    <phoneticPr fontId="15" type="noConversion"/>
  </si>
  <si>
    <t>[행사실비지원금]</t>
    <phoneticPr fontId="15" type="noConversion"/>
  </si>
  <si>
    <t>(13평형 1대, 15평형 2대, 40평형 2대)</t>
  </si>
  <si>
    <t xml:space="preserve">  - 차량유류비 : 120,000원 * 2대 * 12월 </t>
    <phoneticPr fontId="15" type="noConversion"/>
  </si>
  <si>
    <t>휴일근무수당</t>
    <phoneticPr fontId="15" type="noConversion"/>
  </si>
  <si>
    <t>02 
공무직(무기계약) 부담금 관련</t>
    <phoneticPr fontId="15" type="noConversion"/>
  </si>
  <si>
    <t xml:space="preserve">  - 고객 서비스 품질관리 (고객만족도조사) 위탁 수수료 :  10,800,000원 * 1회</t>
    <phoneticPr fontId="15" type="noConversion"/>
  </si>
  <si>
    <t xml:space="preserve"> ○ ESG 경영 정밀평가 심사 : 1,650,000원*1회</t>
    <phoneticPr fontId="15" type="noConversion"/>
  </si>
  <si>
    <t xml:space="preserve"> ○ 시설관리경영시스템 사후심사 : 3,366,000원*1식</t>
    <phoneticPr fontId="15" type="noConversion"/>
  </si>
  <si>
    <t xml:space="preserve">  - CNG청소차량 내압용기 검사 : 400,000원×20대×1회</t>
    <phoneticPr fontId="15" type="noConversion"/>
  </si>
  <si>
    <t xml:space="preserve">  - 환경사원복지관 정수기 임대 : 120,000원×12월</t>
    <phoneticPr fontId="15" type="noConversion"/>
  </si>
  <si>
    <t xml:space="preserve">  - 환경사원복지관 공기청정기 임대 : 40,000원×2개×12월</t>
    <phoneticPr fontId="15" type="noConversion"/>
  </si>
  <si>
    <t xml:space="preserve">  - 환경사원복지관 복사기 임대 : 200,000원×1대×12월</t>
    <phoneticPr fontId="15" type="noConversion"/>
  </si>
  <si>
    <t xml:space="preserve">  - 환경사원 휴게실 흑백복사기 임대 : 50,000원×1대×12월</t>
    <phoneticPr fontId="15" type="noConversion"/>
  </si>
  <si>
    <t xml:space="preserve">  - 환경사원복지관 수도요금 : 450,000원×12월</t>
    <phoneticPr fontId="15" type="noConversion"/>
  </si>
  <si>
    <t>22 차량 · 선박비</t>
    <phoneticPr fontId="15" type="noConversion"/>
  </si>
  <si>
    <t xml:space="preserve">  - 청소업무 수행 : 20,000원×5명×15일×12월</t>
    <phoneticPr fontId="15" type="noConversion"/>
  </si>
  <si>
    <t xml:space="preserve"> ○ 배송차량 유류비</t>
    <phoneticPr fontId="15" type="noConversion"/>
  </si>
  <si>
    <t>03 무기계약근로자보수(본부 일괄 편성)</t>
    <phoneticPr fontId="15" type="noConversion"/>
  </si>
  <si>
    <t xml:space="preserve"> ○ 수영강사 공무직 전환으로 본부 일괄 편성</t>
    <phoneticPr fontId="15" type="noConversion"/>
  </si>
  <si>
    <t>○ 연 1회 법정 주민세(재산분) 납부</t>
    <phoneticPr fontId="15" type="noConversion"/>
  </si>
  <si>
    <t>○ 화장실 비상안심벨 설치에 따른 통신비</t>
    <phoneticPr fontId="15" type="noConversion"/>
  </si>
  <si>
    <t xml:space="preserve"> ○ 소방설비 유지관리비(화재감지기, 소화기 등)</t>
    <phoneticPr fontId="15" type="noConversion"/>
  </si>
  <si>
    <t xml:space="preserve"> ○ 전기설비 유지관리비(차단기, 휴즈 등)</t>
    <phoneticPr fontId="15" type="noConversion"/>
  </si>
  <si>
    <t>○ 영수증 용지 구입 : 80,000원*6박스*2회(1박스/50롤)</t>
    <phoneticPr fontId="15" type="noConversion"/>
  </si>
  <si>
    <t>○ 무인발매기 용지 구입 : 300,000원*2박스</t>
    <phoneticPr fontId="15" type="noConversion"/>
  </si>
  <si>
    <t>○ 종량제봉투(75L) 구입 : 1,800원*3개소*23일*12개월</t>
    <phoneticPr fontId="15" type="noConversion"/>
  </si>
  <si>
    <t>○ 복사기 카트리지 구입 : 1,200,000원*3회</t>
    <phoneticPr fontId="15" type="noConversion"/>
  </si>
  <si>
    <t>○ 리플릿 및 현수막 제작 : 66,000원*2회*12개월</t>
    <phoneticPr fontId="15" type="noConversion"/>
  </si>
  <si>
    <t>○ 화장실 위생용품 구입 : 400,000원*12개월</t>
    <phoneticPr fontId="15" type="noConversion"/>
  </si>
  <si>
    <t>○ 시설관리 청소용품 구입 : 100,000원*6개월*2회</t>
    <phoneticPr fontId="15" type="noConversion"/>
  </si>
  <si>
    <t>○ 수영장 시설 용품 등 구입 : 200,000원*5회</t>
    <phoneticPr fontId="15" type="noConversion"/>
  </si>
  <si>
    <t>○ 다목적체육관 시설 용품 등 구입 : 200,000원*5회</t>
    <phoneticPr fontId="15" type="noConversion"/>
  </si>
  <si>
    <t>○ 사무용품(복사용지 등) 구입 : 270,000원*12개월</t>
    <phoneticPr fontId="105" type="noConversion"/>
  </si>
  <si>
    <t>○ (법정) 승강기 정기검사 수수료 : 130,000원*1회</t>
    <phoneticPr fontId="15" type="noConversion"/>
  </si>
  <si>
    <t>○ (법정) 도시가스 시설 정기검사 수수료 : 210,000원*1회</t>
    <phoneticPr fontId="15" type="noConversion"/>
  </si>
  <si>
    <t>○ (법정) 수영장 수질검사 수수료 : 50,000원*4회</t>
    <phoneticPr fontId="15" type="noConversion"/>
  </si>
  <si>
    <t>○ (법정) 저수조 수질검사 수수료 : 60,000원*1회</t>
    <phoneticPr fontId="15" type="noConversion"/>
  </si>
  <si>
    <t>○ (법정) 기계실 저수조 청소 용역비 : 1,000,000원*2회</t>
    <phoneticPr fontId="15" type="noConversion"/>
  </si>
  <si>
    <t>○ (법정) 소방시설 정기 점검 용역비 : 1,000,000원*2회</t>
    <phoneticPr fontId="15" type="noConversion"/>
  </si>
  <si>
    <t>○ (법정) 대기배출시설 자가측정 용역비 : 1,500,000원*1회</t>
    <phoneticPr fontId="15" type="noConversion"/>
  </si>
  <si>
    <t>○ 밸런싱탱크 청소 용역비 : 500,000원*1회</t>
    <phoneticPr fontId="15" type="noConversion"/>
  </si>
  <si>
    <t>○ (법정) 도시가스사고배상책임보험 : 20,000원*1회</t>
    <phoneticPr fontId="15" type="noConversion"/>
  </si>
  <si>
    <t>○ (법정) 승강기책임보험 : 35,000원*1회</t>
    <phoneticPr fontId="15" type="noConversion"/>
  </si>
  <si>
    <t>○ 문자메세지 사용요금 : 170,000원*12개월</t>
    <phoneticPr fontId="15" type="noConversion"/>
  </si>
  <si>
    <t>01
일반재료비</t>
    <phoneticPr fontId="15" type="noConversion"/>
  </si>
  <si>
    <t>02 약품비</t>
    <phoneticPr fontId="15" type="noConversion"/>
  </si>
  <si>
    <t>○ 전기설비 유지보수비 : 150,000원*12개월</t>
    <phoneticPr fontId="15" type="noConversion"/>
  </si>
  <si>
    <t>○ A4, A3 용지 구매</t>
    <phoneticPr fontId="15" type="noConversion"/>
  </si>
  <si>
    <t xml:space="preserve">○ 사무용 잡품비 </t>
    <phoneticPr fontId="15" type="noConversion"/>
  </si>
  <si>
    <t>○ 2층 사무실, 체력측정실 복사기 카트리지 구입</t>
    <phoneticPr fontId="15" type="noConversion"/>
  </si>
  <si>
    <t>○ 컴퓨터 소모품(마우스, 키보드, 메인보드 등) 구입</t>
    <phoneticPr fontId="15" type="noConversion"/>
  </si>
  <si>
    <t>○ 시설 위생 및 청소 용품 구입비</t>
    <phoneticPr fontId="15" type="noConversion"/>
  </si>
  <si>
    <t xml:space="preserve">  - 종량제 봉투 구입(20L, 50L) : 20,000원*4묶음*12회</t>
    <phoneticPr fontId="15" type="noConversion"/>
  </si>
  <si>
    <t>○ 쓰레기 종량제 봉투(20L, 50L) 구입</t>
    <phoneticPr fontId="15" type="noConversion"/>
  </si>
  <si>
    <t xml:space="preserve">○ 핸드타올, 화장지, 청소용품, 비누, 로션, 발매트, 방향제 등 소모품 구입비 </t>
    <phoneticPr fontId="15" type="noConversion"/>
  </si>
  <si>
    <t>○ 청소도구(수세미, 솔 등), 세제(샤워실, 화장실 청소용) 구입</t>
    <phoneticPr fontId="15" type="noConversion"/>
  </si>
  <si>
    <t>○ 시설안내 팸플릿, 안전 현황판, 현수막 등 제작</t>
    <phoneticPr fontId="15" type="noConversion"/>
  </si>
  <si>
    <t>○ 체육 프로그램 소모용품 구입(탁구공, 당구천, 배드민턴네트, 탁구 네트 등)</t>
    <phoneticPr fontId="15" type="noConversion"/>
  </si>
  <si>
    <t xml:space="preserve">○ 시설 보수용 공구류 구입비 </t>
    <phoneticPr fontId="15" type="noConversion"/>
  </si>
  <si>
    <t>○ 알약 26천원</t>
    <phoneticPr fontId="15" type="noConversion"/>
  </si>
  <si>
    <t>○ 신발장, 샤워장 라커, 키박스 등 수선 및 교체 비용</t>
    <phoneticPr fontId="15" type="noConversion"/>
  </si>
  <si>
    <t>02
공공운영비</t>
    <phoneticPr fontId="15" type="noConversion"/>
  </si>
  <si>
    <t>○ 비상발전기 유류비</t>
    <phoneticPr fontId="15" type="noConversion"/>
  </si>
  <si>
    <t>○ (법정) 전기시설 정기 연차점검 용역비 : 3,000,000원*연1회</t>
    <phoneticPr fontId="15" type="noConversion"/>
  </si>
  <si>
    <t>○ 법정 전기시설 연차점검
  - 관련근거 : 「전기안전관리법 시행규칙」 제30조</t>
    <phoneticPr fontId="15" type="noConversion"/>
  </si>
  <si>
    <t>○ (법정) 소방시설 정기 안전점검 용역비 : 1,000,000원*2회</t>
    <phoneticPr fontId="15" type="noConversion"/>
  </si>
  <si>
    <t xml:space="preserve">○ 법적 소방 점검
 - 관련근거 :「화재예방,소방시설 설치·유지 및 안전관리에 관한 법률」제25조 </t>
    <phoneticPr fontId="15" type="noConversion"/>
  </si>
  <si>
    <t>○ 전체소독 5회 + 목욕시설 매월 소독
 - 관련근거 :공중위생관리법 제4조, 시행규칙 제7조</t>
    <phoneticPr fontId="15" type="noConversion"/>
  </si>
  <si>
    <t>○ 신용카드 전자결제대행수수료 : 10,000원*12월</t>
    <phoneticPr fontId="15" type="noConversion"/>
  </si>
  <si>
    <t xml:space="preserve">○ 신용카드 결제 수수료 </t>
    <phoneticPr fontId="15" type="noConversion"/>
  </si>
  <si>
    <t>○ 개인정보 프로그램 서버 관리비(용역비 상승분 반영)</t>
    <phoneticPr fontId="15" type="noConversion"/>
  </si>
  <si>
    <t>○ 회원관리프로그램 유지관리 용역 : 630,000원*12월</t>
    <phoneticPr fontId="15" type="noConversion"/>
  </si>
  <si>
    <t>○ 기존 회원관리프로그램 유지관리 용역비(용역비 상승분 반영)
○ 개인정보 보호 암호화 모듈 관리 용역비</t>
    <phoneticPr fontId="15" type="noConversion"/>
  </si>
  <si>
    <t>○ 정수기 임차료 : 44,000원*5대*12월</t>
    <phoneticPr fontId="15" type="noConversion"/>
  </si>
  <si>
    <t>○ 정수기 5대 임차료</t>
    <phoneticPr fontId="15" type="noConversion"/>
  </si>
  <si>
    <t>○ 공기청정기 임차료 : 70,000원*2대*12월</t>
    <phoneticPr fontId="15" type="noConversion"/>
  </si>
  <si>
    <t>○ 기본 의약품 구입(붕대, 파스, 진통제 등)</t>
    <phoneticPr fontId="15" type="noConversion"/>
  </si>
  <si>
    <t>21
공공요금 및 제세</t>
    <phoneticPr fontId="15" type="noConversion"/>
  </si>
  <si>
    <t xml:space="preserve">○ 주민세(재산분) : 250원*4,249㎡ </t>
    <phoneticPr fontId="15" type="noConversion"/>
  </si>
  <si>
    <t>○ 장애인국민체육센터 주민세(재산분)</t>
    <phoneticPr fontId="15" type="noConversion"/>
  </si>
  <si>
    <t>○ 통신요금 : 200,000원*12월</t>
    <phoneticPr fontId="15" type="noConversion"/>
  </si>
  <si>
    <t xml:space="preserve">○ 장애인국민체육센터 도시가스 요금 </t>
    <phoneticPr fontId="15" type="noConversion"/>
  </si>
  <si>
    <t xml:space="preserve">○ 주최자배상책임보험 : 200,000원*2식 </t>
    <phoneticPr fontId="15" type="noConversion"/>
  </si>
  <si>
    <t>○ 문자 메시지 사용요금 : 480,000원*1식</t>
    <phoneticPr fontId="15" type="noConversion"/>
  </si>
  <si>
    <t xml:space="preserve">○ 특정가스사용시설 가스사고 배상책임보험료 </t>
    <phoneticPr fontId="15" type="noConversion"/>
  </si>
  <si>
    <t>206 재료비</t>
    <phoneticPr fontId="15" type="noConversion"/>
  </si>
  <si>
    <t xml:space="preserve"> ○ 보일러 청관제 구입비 : 60,000원*1회*6월</t>
    <phoneticPr fontId="15" type="noConversion"/>
  </si>
  <si>
    <t>○ 보일러 관리용 약제</t>
    <phoneticPr fontId="15" type="noConversion"/>
  </si>
  <si>
    <t>○ 보일러 연수기용 소금 구매</t>
    <phoneticPr fontId="15" type="noConversion"/>
  </si>
  <si>
    <t>05 
수선유지비</t>
    <phoneticPr fontId="15" type="noConversion"/>
  </si>
  <si>
    <t>○ 기계실 설비 수리 및 교체비</t>
    <phoneticPr fontId="15" type="noConversion"/>
  </si>
  <si>
    <t>○ 소방설비(화재감지기, 소화기, 불꽃감지기 등) 수리 및 교체비</t>
    <phoneticPr fontId="15" type="noConversion"/>
  </si>
  <si>
    <t>○ 전기설비(전등, ELB, 퓨즈 등) 수리 및 교체비</t>
    <phoneticPr fontId="15" type="noConversion"/>
  </si>
  <si>
    <t>○ 기계설비(펌프, 밸브 등) 수리 및 교체비</t>
    <phoneticPr fontId="15" type="noConversion"/>
  </si>
  <si>
    <t xml:space="preserve">  - 건물 유지관리비 : 1,000원*4,249㎡</t>
    <phoneticPr fontId="15" type="noConversion"/>
  </si>
  <si>
    <t>○ 5년 이하 체육시설물 시설 유지관리비</t>
    <phoneticPr fontId="15" type="noConversion"/>
  </si>
  <si>
    <t>○ 엔진오일, 타임밸트, 점화플러그 등 부품 교체</t>
    <phoneticPr fontId="15" type="noConversion"/>
  </si>
  <si>
    <t>○ 무인발권기 프로그램 유지관리비</t>
    <phoneticPr fontId="15" type="noConversion"/>
  </si>
  <si>
    <t>○ 다목적체육관 공조기 실외기 컴프레셔 교체</t>
    <phoneticPr fontId="15" type="noConversion"/>
  </si>
  <si>
    <t xml:space="preserve"> 작업복 세탁관련(교대근무자 및 현장 근무자 : 35명)</t>
    <phoneticPr fontId="15" type="noConversion"/>
  </si>
  <si>
    <t xml:space="preserve"> ○ 소각, 바이오, 폐수 운영비품 구입</t>
    <phoneticPr fontId="15" type="noConversion"/>
  </si>
  <si>
    <t xml:space="preserve">  - 소규모 비품 구입 : 500,000원* 4회</t>
    <phoneticPr fontId="15" type="noConversion"/>
  </si>
  <si>
    <t xml:space="preserve">  -  현수막, 간판 등의 제작비 : 2,000,000원*1식</t>
    <phoneticPr fontId="15" type="noConversion"/>
  </si>
  <si>
    <t>=</t>
    <phoneticPr fontId="105" type="noConversion"/>
  </si>
  <si>
    <t xml:space="preserve">   - 소방시설 검사(작동기능, 종합점검) : 2,000,000원*2회</t>
    <phoneticPr fontId="15" type="noConversion"/>
  </si>
  <si>
    <t xml:space="preserve">   - 폐수처리분담금 : 20,000,000원/월 * 12개월 </t>
    <phoneticPr fontId="15" type="noConversion"/>
  </si>
  <si>
    <t xml:space="preserve">   - 승강기 정기정검 : 250,000원*12월</t>
    <phoneticPr fontId="15" type="noConversion"/>
  </si>
  <si>
    <t xml:space="preserve">   - 환경정비(예초 등) : 2,000,000원*3회</t>
    <phoneticPr fontId="15" type="noConversion"/>
  </si>
  <si>
    <t>폐기물처리시설의 검사수수료 국립환경과학원고시 제2022-13호</t>
    <phoneticPr fontId="15" type="noConversion"/>
  </si>
  <si>
    <t>탕비실, 제어실</t>
    <phoneticPr fontId="105" type="noConversion"/>
  </si>
  <si>
    <t xml:space="preserve">  - 차량임대비 : 1,000,000원*1대*12월</t>
    <phoneticPr fontId="15" type="noConversion"/>
  </si>
  <si>
    <t xml:space="preserve">  공영차량 운영(니로)</t>
    <phoneticPr fontId="15" type="noConversion"/>
  </si>
  <si>
    <t xml:space="preserve">  하복 지급(2벌)</t>
    <phoneticPr fontId="15" type="noConversion"/>
  </si>
  <si>
    <t xml:space="preserve"> ○ 우편요금 : 3,000원*10건*12월</t>
    <phoneticPr fontId="15" type="noConversion"/>
  </si>
  <si>
    <t xml:space="preserve"> ○ 일반전화 및 인터넷 요금 : 60,000원*3회선*12월</t>
    <phoneticPr fontId="15" type="noConversion"/>
  </si>
  <si>
    <t xml:space="preserve"> ○ 택배비 : 5,000원*3회*12월</t>
    <phoneticPr fontId="15" type="noConversion"/>
  </si>
  <si>
    <t xml:space="preserve">   물품 및 검교정 등 발송</t>
    <phoneticPr fontId="105" type="noConversion"/>
  </si>
  <si>
    <t xml:space="preserve"> ○ 공증 및 각종 제증명발급/등기수수료 등 : 50,000원*12월</t>
    <phoneticPr fontId="15" type="noConversion"/>
  </si>
  <si>
    <t>주민세 사업소분</t>
    <phoneticPr fontId="15" type="noConversion"/>
  </si>
  <si>
    <t xml:space="preserve">  -  산업안전관리협회 외 : 500,000원*1회</t>
    <phoneticPr fontId="15" type="noConversion"/>
  </si>
  <si>
    <t xml:space="preserve">  - 전기차량충전비 : 1.5만km/년*66원/km</t>
    <phoneticPr fontId="15" type="noConversion"/>
  </si>
  <si>
    <t xml:space="preserve"> 급속충전</t>
    <phoneticPr fontId="15" type="noConversion"/>
  </si>
  <si>
    <t xml:space="preserve">  보수 및 운영비 : 추정공사비의 1.0%</t>
    <phoneticPr fontId="15" type="noConversion"/>
  </si>
  <si>
    <t xml:space="preserve"> - CleanSYS(TMS) 표준가스 구매 :  5,000,000 * 1식</t>
    <phoneticPr fontId="15" type="noConversion"/>
  </si>
  <si>
    <t>○ 폐기물 위탁처리비</t>
    <phoneticPr fontId="15" type="noConversion"/>
  </si>
  <si>
    <t>○ 시설(시스템) 유지 관리</t>
    <phoneticPr fontId="105" type="noConversion"/>
  </si>
  <si>
    <t>설비운영지원시스템 도입</t>
    <phoneticPr fontId="105" type="noConversion"/>
  </si>
  <si>
    <t>근태관리 프로그램(지문)</t>
    <phoneticPr fontId="105" type="noConversion"/>
  </si>
  <si>
    <t xml:space="preserve"> - 보일러용수(demi-water) : 1,650원*5,500톤*12개월</t>
    <phoneticPr fontId="15" type="noConversion"/>
  </si>
  <si>
    <t xml:space="preserve">  보일러 용수 : 년간 계약단가(1,650원), 사용량(5,500톤/월) </t>
    <phoneticPr fontId="15" type="noConversion"/>
  </si>
  <si>
    <t xml:space="preserve">  비상발전기용 경유 구입</t>
    <phoneticPr fontId="15" type="noConversion"/>
  </si>
  <si>
    <t>○ 부서운영업무비 : (400,000원*12월)+(5,000원*12명*12월)</t>
    <phoneticPr fontId="15" type="noConversion"/>
  </si>
  <si>
    <t>종량제물품 공급관리센터 자산비품 구입(공기구비품)</t>
    <phoneticPr fontId="15" type="noConversion"/>
  </si>
  <si>
    <t>도시형 폐기물 처리시설 유지보수</t>
    <phoneticPr fontId="15" type="noConversion"/>
  </si>
  <si>
    <t>동력비</t>
    <phoneticPr fontId="15" type="noConversion"/>
  </si>
  <si>
    <t>○ 흑백복합기 렌탈료 :</t>
    <phoneticPr fontId="15" type="noConversion"/>
  </si>
  <si>
    <t xml:space="preserve"> ○ 전국 시군구 지방공기업 협의회비 (출연금*20%)</t>
    <phoneticPr fontId="15" type="noConversion"/>
  </si>
  <si>
    <t>○ 통합회원관리 시스템 유지보수 용역비 : 1,200,000원*4회(분기별)</t>
    <phoneticPr fontId="15" type="noConversion"/>
  </si>
  <si>
    <t>예비비</t>
    <phoneticPr fontId="15" type="noConversion"/>
  </si>
  <si>
    <t xml:space="preserve"> 복사용지(A4) 사용량 : 20박스 × 2회(상,하반기)  </t>
    <phoneticPr fontId="15" type="noConversion"/>
  </si>
  <si>
    <t>○ 사규(여비규정) 관련-시기준</t>
    <phoneticPr fontId="15" type="noConversion"/>
  </si>
  <si>
    <t xml:space="preserve"> 관내 : 출장여비(자차 4시간-2만/관용 4시간-1만원), 관외 : 일비+식비+숙박비(85,000원)</t>
    <phoneticPr fontId="15" type="noConversion"/>
  </si>
  <si>
    <t>○ 소각시설물  정기 수선유지비(시설투자비의 0.5% 적용)</t>
    <phoneticPr fontId="15" type="noConversion"/>
  </si>
  <si>
    <t xml:space="preserve"> - 35,889,672,000원*0.5%(12개월)</t>
    <phoneticPr fontId="15" type="noConversion"/>
  </si>
  <si>
    <t>○ 소각시설 정기유지보수비용(시설투자비의 0.5% 적용)</t>
    <phoneticPr fontId="15" type="noConversion"/>
  </si>
  <si>
    <t xml:space="preserve"> - 35,889,672,000원 * 0.5% (2회*1년)</t>
    <phoneticPr fontId="15" type="noConversion"/>
  </si>
  <si>
    <t>400 자본지출</t>
    <phoneticPr fontId="15" type="noConversion"/>
  </si>
  <si>
    <t>세목</t>
    <phoneticPr fontId="15" type="noConversion"/>
  </si>
  <si>
    <t>기간제근로자보수</t>
    <phoneticPr fontId="15" type="noConversion"/>
  </si>
  <si>
    <t>사무관리비</t>
    <phoneticPr fontId="15" type="noConversion"/>
  </si>
  <si>
    <t>지급수수료</t>
    <phoneticPr fontId="15" type="noConversion"/>
  </si>
  <si>
    <t>임차료</t>
    <phoneticPr fontId="15" type="noConversion"/>
  </si>
  <si>
    <t>복리후생비</t>
    <phoneticPr fontId="15" type="noConversion"/>
  </si>
  <si>
    <t>공공요금및제세</t>
    <phoneticPr fontId="15" type="noConversion"/>
  </si>
  <si>
    <t>차량선박비</t>
    <phoneticPr fontId="15" type="noConversion"/>
  </si>
  <si>
    <t>국내여비</t>
    <phoneticPr fontId="15" type="noConversion"/>
  </si>
  <si>
    <t>전산개발비</t>
    <phoneticPr fontId="15" type="noConversion"/>
  </si>
  <si>
    <t>부서업무비</t>
    <phoneticPr fontId="15" type="noConversion"/>
  </si>
  <si>
    <t>배상금등</t>
    <phoneticPr fontId="15" type="noConversion"/>
  </si>
  <si>
    <t>수선유지비</t>
    <phoneticPr fontId="15" type="noConversion"/>
  </si>
  <si>
    <t>일반재료비</t>
    <phoneticPr fontId="15" type="noConversion"/>
  </si>
  <si>
    <t>약품비</t>
    <phoneticPr fontId="15" type="noConversion"/>
  </si>
  <si>
    <t>무기계약직근로자보수</t>
    <phoneticPr fontId="15" type="noConversion"/>
  </si>
  <si>
    <t>사무관리비</t>
    <phoneticPr fontId="15" type="noConversion"/>
  </si>
  <si>
    <t>공공운영비</t>
    <phoneticPr fontId="15" type="noConversion"/>
  </si>
  <si>
    <t>행사운영비</t>
    <phoneticPr fontId="15" type="noConversion"/>
  </si>
  <si>
    <t>지급수수료</t>
    <phoneticPr fontId="15" type="noConversion"/>
  </si>
  <si>
    <t>교육훈련비</t>
    <phoneticPr fontId="15" type="noConversion"/>
  </si>
  <si>
    <t>국내여비</t>
    <phoneticPr fontId="15" type="noConversion"/>
  </si>
  <si>
    <t>약품비</t>
    <phoneticPr fontId="15" type="noConversion"/>
  </si>
  <si>
    <t>동력비</t>
    <phoneticPr fontId="15" type="noConversion"/>
  </si>
  <si>
    <t>회의비</t>
    <phoneticPr fontId="15" type="noConversion"/>
  </si>
  <si>
    <t>국외업무여비</t>
    <phoneticPr fontId="15" type="noConversion"/>
  </si>
  <si>
    <t>사업업무추진비</t>
    <phoneticPr fontId="15" type="noConversion"/>
  </si>
  <si>
    <t>수선유지비</t>
    <phoneticPr fontId="15" type="noConversion"/>
  </si>
  <si>
    <t>정원가산업무비</t>
    <phoneticPr fontId="15" type="noConversion"/>
  </si>
  <si>
    <t>부서업무비</t>
    <phoneticPr fontId="15" type="noConversion"/>
  </si>
  <si>
    <t>행사실비지원금</t>
    <phoneticPr fontId="15" type="noConversion"/>
  </si>
  <si>
    <t>기타보상금</t>
    <phoneticPr fontId="15" type="noConversion"/>
  </si>
  <si>
    <t>포상금</t>
    <phoneticPr fontId="15" type="noConversion"/>
  </si>
  <si>
    <t>연금부담금</t>
    <phoneticPr fontId="15" type="noConversion"/>
  </si>
  <si>
    <t>국민건강보험부담금등</t>
    <phoneticPr fontId="15" type="noConversion"/>
  </si>
  <si>
    <t>공무직(무기계약직)부담금 관련</t>
    <phoneticPr fontId="15" type="noConversion"/>
  </si>
  <si>
    <t>지방공기업평가원출연금</t>
    <phoneticPr fontId="15" type="noConversion"/>
  </si>
  <si>
    <t>기타영업외비용</t>
    <phoneticPr fontId="15" type="noConversion"/>
  </si>
  <si>
    <t>연구용역비</t>
    <phoneticPr fontId="15" type="noConversion"/>
  </si>
  <si>
    <t>전산개발비</t>
    <phoneticPr fontId="15" type="noConversion"/>
  </si>
  <si>
    <t>보수</t>
    <phoneticPr fontId="15" type="noConversion"/>
  </si>
  <si>
    <t>퇴직급여</t>
    <phoneticPr fontId="15" type="noConversion"/>
  </si>
  <si>
    <t>수탁자산취득비</t>
    <phoneticPr fontId="15" type="noConversion"/>
  </si>
  <si>
    <t>시설비</t>
    <phoneticPr fontId="15" type="noConversion"/>
  </si>
  <si>
    <t>일반예비비</t>
    <phoneticPr fontId="15" type="noConversion"/>
  </si>
  <si>
    <t>투자자산처분</t>
    <phoneticPr fontId="15" type="noConversion"/>
  </si>
  <si>
    <t>인력운영비</t>
    <phoneticPr fontId="15" type="noConversion"/>
  </si>
  <si>
    <t>행정운영</t>
    <phoneticPr fontId="15" type="noConversion"/>
  </si>
  <si>
    <t>구
분</t>
    <phoneticPr fontId="105" type="noConversion"/>
  </si>
  <si>
    <t>사업</t>
    <phoneticPr fontId="105" type="noConversion"/>
  </si>
  <si>
    <t>편성목</t>
    <phoneticPr fontId="105" type="noConversion"/>
  </si>
  <si>
    <t>정책</t>
    <phoneticPr fontId="105" type="noConversion"/>
  </si>
  <si>
    <t>단위</t>
    <phoneticPr fontId="105" type="noConversion"/>
  </si>
  <si>
    <t>세부</t>
    <phoneticPr fontId="105" type="noConversion"/>
  </si>
  <si>
    <t>그룹</t>
    <phoneticPr fontId="105" type="noConversion"/>
  </si>
  <si>
    <t>목</t>
    <phoneticPr fontId="105" type="noConversion"/>
  </si>
  <si>
    <t>세목</t>
    <phoneticPr fontId="105" type="noConversion"/>
  </si>
  <si>
    <t>총계(사업예산 + 자본예산)</t>
    <phoneticPr fontId="15" type="noConversion"/>
  </si>
  <si>
    <t>100 인건비</t>
    <phoneticPr fontId="15" type="noConversion"/>
  </si>
  <si>
    <t>200 물건비</t>
    <phoneticPr fontId="15" type="noConversion"/>
  </si>
  <si>
    <t>01 일반수용비</t>
    <phoneticPr fontId="15" type="noConversion"/>
  </si>
  <si>
    <t>200 뮬건비</t>
    <phoneticPr fontId="15" type="noConversion"/>
  </si>
  <si>
    <t>망마국민체육센터 운영 및 관리</t>
    <phoneticPr fontId="105" type="noConversion"/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</si>
  <si>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안전용품 등 구입 : 200,000원*4명</t>
    </r>
    <phoneticPr fontId="15" type="noConversion"/>
  </si>
  <si>
    <t>○ 구급함 및 비상약품구입비 : 300,000원*2회</t>
    <phoneticPr fontId="15" type="noConversion"/>
  </si>
  <si>
    <t>망마국민체육센터 시설 유지보수</t>
    <phoneticPr fontId="105" type="noConversion"/>
  </si>
  <si>
    <t>장애인국민체육센터 운영 및 관리</t>
    <phoneticPr fontId="105" type="noConversion"/>
  </si>
  <si>
    <t xml:space="preserve">  - 사무용품 구입 : 150,000원*12개월</t>
    <phoneticPr fontId="15" type="noConversion"/>
  </si>
  <si>
    <t>○ 시설물 점검 시 필요 안전용품 구입비</t>
    <phoneticPr fontId="15" type="noConversion"/>
  </si>
  <si>
    <t>○ 소프트웨어구입 및 알약임대 : 26,000원*9식</t>
    <phoneticPr fontId="15" type="noConversion"/>
  </si>
  <si>
    <r>
      <rPr>
        <sz val="10"/>
        <color indexed="8"/>
        <rFont val="굴림"/>
        <family val="3"/>
        <charset val="129"/>
      </rPr>
      <t>○ 겨울방학프로그램 주최자 배상책임공제 
- 관련근거 : 「생활체육진흥법」제 12조 및  체육시설의 설치·이용에 관한 법률」제 26조의  규정에 의거 의무가입 대상</t>
    </r>
    <phoneticPr fontId="15" type="noConversion"/>
  </si>
  <si>
    <t>○ 승강기 사고 배상 책임보험</t>
    <phoneticPr fontId="15" type="noConversion"/>
  </si>
  <si>
    <t>장애인국민체육센터 시설 유지보수</t>
    <phoneticPr fontId="105" type="noConversion"/>
  </si>
  <si>
    <t>○ 비상벨 시스템 수리 비용</t>
    <phoneticPr fontId="15" type="noConversion"/>
  </si>
  <si>
    <t>405 자산취득비</t>
    <phoneticPr fontId="15" type="noConversion"/>
  </si>
  <si>
    <t>12 수탁자산취득비</t>
    <phoneticPr fontId="15" type="noConversion"/>
  </si>
  <si>
    <t>○ (신규) 노후 컴퓨터 교체 : (모니터) 170,000원, (본체) 1,300,000원</t>
    <phoneticPr fontId="15" type="noConversion"/>
  </si>
  <si>
    <t>행정운영</t>
    <phoneticPr fontId="105" type="noConversion"/>
  </si>
  <si>
    <t>○ 창립기념일, 정년퇴임식 행사 등 : 5,000,000원 * 2회</t>
    <phoneticPr fontId="15" type="noConversion"/>
  </si>
  <si>
    <t>○ 차량 임차료(전기차, 사무실용 승용) : 1,000,000원 * 1대 * 12월</t>
    <phoneticPr fontId="15" type="noConversion"/>
  </si>
  <si>
    <t>○ 컬러복합기 렌탈료 :</t>
    <phoneticPr fontId="15" type="noConversion"/>
  </si>
  <si>
    <t xml:space="preserve">○ 사무실 임차료 : 6,000,000원 * 12월 </t>
    <phoneticPr fontId="15" type="noConversion"/>
  </si>
  <si>
    <t>○ 사무실 전기요금 및 상하수도료 : 1,000,000원 * 12월</t>
    <phoneticPr fontId="15" type="noConversion"/>
  </si>
  <si>
    <t>○ 장애인고용부담금 : 1,207,000원 * 2명 * 12월</t>
    <phoneticPr fontId="15" type="noConversion"/>
  </si>
  <si>
    <t xml:space="preserve">  - 관외(벤치마킹 등)   : 110,000원 * 10명 * 2일 * 3회</t>
    <phoneticPr fontId="15" type="noConversion"/>
  </si>
  <si>
    <t>○ 우수사원 선진지 견학  : 3,000,000원 * 5명 * 1회</t>
    <phoneticPr fontId="15" type="noConversion"/>
  </si>
  <si>
    <t>ESG 경영 체계화</t>
    <phoneticPr fontId="105" type="noConversion"/>
  </si>
  <si>
    <t>300 경상이전</t>
    <phoneticPr fontId="105" type="noConversion"/>
  </si>
  <si>
    <t xml:space="preserve"> - 시민기자단 우수활동자포상 : 50,000원*1명*2회(상, 하반기)</t>
    <phoneticPr fontId="15" type="noConversion"/>
  </si>
  <si>
    <t xml:space="preserve"> - 시민 제안 공모전 운영에 따른 민간인 포상금 : 1,000,000원 * 1회 </t>
    <phoneticPr fontId="15" type="noConversion"/>
  </si>
  <si>
    <t xml:space="preserve"> - 모니터 요원 활동 우수자 포상금 : 100,000원 * 3명 * 1회</t>
    <phoneticPr fontId="105" type="noConversion"/>
  </si>
  <si>
    <t>예비비</t>
    <phoneticPr fontId="105" type="noConversion"/>
  </si>
  <si>
    <t>800 예비비 및 기타</t>
    <phoneticPr fontId="15" type="noConversion"/>
  </si>
  <si>
    <t>801 예비비</t>
    <phoneticPr fontId="105" type="noConversion"/>
  </si>
  <si>
    <t>01 일반예비비</t>
    <phoneticPr fontId="105" type="noConversion"/>
  </si>
  <si>
    <t>환경사원 안전개선 사업</t>
    <phoneticPr fontId="105" type="noConversion"/>
  </si>
  <si>
    <t>종량제물품 공급관리</t>
    <phoneticPr fontId="105" type="noConversion"/>
  </si>
  <si>
    <t>405 자산취득비</t>
    <phoneticPr fontId="105" type="noConversion"/>
  </si>
  <si>
    <t>12 수탁자산취득비</t>
    <phoneticPr fontId="105" type="noConversion"/>
  </si>
  <si>
    <t>종량제물품 공급관리센터 자산비품 구입</t>
    <phoneticPr fontId="105" type="noConversion"/>
  </si>
  <si>
    <t>도시형 폐기물 처리시설 운영</t>
    <phoneticPr fontId="105" type="noConversion"/>
  </si>
  <si>
    <t>도시형 폐기물 처리시설 유지보수</t>
    <phoneticPr fontId="105" type="noConversion"/>
  </si>
  <si>
    <t xml:space="preserve"> - 6,613,000,000원 * 0.8%</t>
    <phoneticPr fontId="15" type="noConversion"/>
  </si>
  <si>
    <t>401 시설비및부대비</t>
    <phoneticPr fontId="105" type="noConversion"/>
  </si>
  <si>
    <t>01 시설비</t>
    <phoneticPr fontId="105" type="noConversion"/>
  </si>
  <si>
    <t>시설비및 부대비</t>
    <phoneticPr fontId="15" type="noConversion"/>
  </si>
  <si>
    <t>0110_013 지방행정, 재정지원</t>
    <phoneticPr fontId="15" type="noConversion"/>
  </si>
  <si>
    <t>단위 : 천원</t>
    <phoneticPr fontId="15" type="noConversion"/>
  </si>
  <si>
    <t>다. 지출예산(세부사업) - 경영본부</t>
    <phoneticPr fontId="15" type="noConversion"/>
  </si>
  <si>
    <t>다. 지출예산(세부사업) - 환경자원사업소</t>
    <phoneticPr fontId="15" type="noConversion"/>
  </si>
  <si>
    <r>
      <t>교통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휴양 대행사업</t>
    </r>
    <phoneticPr fontId="15" type="noConversion"/>
  </si>
  <si>
    <t>진남수영장 수탁 대행사업</t>
    <phoneticPr fontId="15" type="noConversion"/>
  </si>
  <si>
    <t>망마국민체육센터 수탁 대행사업</t>
    <phoneticPr fontId="15" type="noConversion"/>
  </si>
  <si>
    <t>장애인국님체육센터 수탁 대행사업</t>
    <phoneticPr fontId="15" type="noConversion"/>
  </si>
  <si>
    <t>공영주차장 수탁 대행사업</t>
    <phoneticPr fontId="15" type="noConversion"/>
  </si>
  <si>
    <t>돌산 공원주차장 수탁 대행사업</t>
    <phoneticPr fontId="15" type="noConversion"/>
  </si>
  <si>
    <t>휴양림 수탁 대행사업</t>
    <phoneticPr fontId="15" type="noConversion"/>
  </si>
  <si>
    <r>
      <t>생활폐기물 수집운반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가로청소 수탁 대행사업</t>
    </r>
    <phoneticPr fontId="15" type="noConversion"/>
  </si>
  <si>
    <t>생활폐기물 수집운반 및 가로청소 운영관리</t>
    <phoneticPr fontId="15" type="noConversion"/>
  </si>
  <si>
    <t>도시형 폐기물 처리시설 수탁 대행사업</t>
    <phoneticPr fontId="15" type="noConversion"/>
  </si>
  <si>
    <t>종량제물품 공급관리 수탁 대행사업</t>
    <phoneticPr fontId="15" type="noConversion"/>
  </si>
  <si>
    <t>인건비(일반행정운영 관리)</t>
    <phoneticPr fontId="15" type="noConversion"/>
  </si>
  <si>
    <t>일반행정운영 관리</t>
  </si>
  <si>
    <t>일반예비비(자본금)</t>
    <phoneticPr fontId="15" type="noConversion"/>
  </si>
  <si>
    <t>교통∙휴양 대행사업</t>
    <phoneticPr fontId="15" type="noConversion"/>
  </si>
  <si>
    <t>101
인건비</t>
    <phoneticPr fontId="15" type="noConversion"/>
  </si>
  <si>
    <t>04
기간제근로자보수</t>
    <phoneticPr fontId="15" type="noConversion"/>
  </si>
  <si>
    <t>04 기간제근로자 보수</t>
    <phoneticPr fontId="15" type="noConversion"/>
  </si>
  <si>
    <t>201
 일반운영비</t>
    <phoneticPr fontId="15" type="noConversion"/>
  </si>
  <si>
    <t>○ 토너 구입: 450,000원*7회</t>
    <phoneticPr fontId="15" type="noConversion"/>
  </si>
  <si>
    <t>○ 사무용품 구입: 300,000원*4개소*12월</t>
    <phoneticPr fontId="15" type="noConversion"/>
  </si>
  <si>
    <t>○ 영수증롤 구입: 5,000원*50롤*2회*35개소</t>
    <phoneticPr fontId="15" type="noConversion"/>
  </si>
  <si>
    <t>○ 화장실 위생용품 구입: 200,000원*12개소*12월</t>
    <phoneticPr fontId="15" type="noConversion"/>
  </si>
  <si>
    <t xml:space="preserve"> ○ 소방안전관리 업무대행용역</t>
    <phoneticPr fontId="15" type="noConversion"/>
  </si>
  <si>
    <t xml:space="preserve"> ○ 전기설비 유지관리용역 </t>
    <phoneticPr fontId="15" type="noConversion"/>
  </si>
  <si>
    <t xml:space="preserve"> ○ 승강기 유지관리용역</t>
    <phoneticPr fontId="15" type="noConversion"/>
  </si>
  <si>
    <t xml:space="preserve"> ○ 피복구입비</t>
    <phoneticPr fontId="15" type="noConversion"/>
  </si>
  <si>
    <t>22
차량·선박비</t>
    <phoneticPr fontId="15" type="noConversion"/>
  </si>
  <si>
    <t>202
여비</t>
    <phoneticPr fontId="15" type="noConversion"/>
  </si>
  <si>
    <t>01
국내여비</t>
    <phoneticPr fontId="15" type="noConversion"/>
  </si>
  <si>
    <t>207
연구개발비</t>
    <phoneticPr fontId="15" type="noConversion"/>
  </si>
  <si>
    <t>217
관서업무비</t>
    <phoneticPr fontId="15" type="noConversion"/>
  </si>
  <si>
    <t>02
부서업무비</t>
    <phoneticPr fontId="15" type="noConversion"/>
  </si>
  <si>
    <t xml:space="preserve">    -  부서운영업무추진비(30인이하): 400,000원*12월</t>
    <phoneticPr fontId="15" type="noConversion"/>
  </si>
  <si>
    <t xml:space="preserve">    -  부서운영업무추진비(30인이상): 5,000원*25명*12월</t>
    <phoneticPr fontId="15" type="noConversion"/>
  </si>
  <si>
    <t>300 경상이전</t>
    <phoneticPr fontId="15" type="noConversion"/>
  </si>
  <si>
    <t>305
배상금등</t>
    <phoneticPr fontId="15" type="noConversion"/>
  </si>
  <si>
    <t>01
배상금등</t>
    <phoneticPr fontId="15" type="noConversion"/>
  </si>
  <si>
    <t xml:space="preserve"> ○ 통신료 : 100,000원*12월</t>
    <phoneticPr fontId="15" type="noConversion"/>
  </si>
  <si>
    <t>101 인건비</t>
    <phoneticPr fontId="15" type="noConversion"/>
  </si>
  <si>
    <t>○ 홍보물 제작 : 2,000원*3,000매</t>
    <phoneticPr fontId="15" type="noConversion"/>
  </si>
  <si>
    <t>○ 종량제봉투 구입(50L) : 1,200원*1,500매</t>
    <phoneticPr fontId="15" type="noConversion"/>
  </si>
  <si>
    <t>슈퍼테크</t>
    <phoneticPr fontId="15" type="noConversion"/>
  </si>
  <si>
    <t>1개</t>
    <phoneticPr fontId="15" type="noConversion"/>
  </si>
  <si>
    <t>홈스타</t>
    <phoneticPr fontId="15" type="noConversion"/>
  </si>
  <si>
    <t>1박스</t>
    <phoneticPr fontId="15" type="noConversion"/>
  </si>
  <si>
    <t xml:space="preserve"> ○ 구급약품 구입 : 250,000원*2회</t>
    <phoneticPr fontId="15" type="noConversion"/>
  </si>
  <si>
    <t>비누</t>
    <phoneticPr fontId="15" type="noConversion"/>
  </si>
  <si>
    <t>1곽</t>
    <phoneticPr fontId="15" type="noConversion"/>
  </si>
  <si>
    <t xml:space="preserve"> ○ 지문인식기(근태관리) 임차료 : 27,500원*12월</t>
    <phoneticPr fontId="15" type="noConversion"/>
  </si>
  <si>
    <t>명수</t>
    <phoneticPr fontId="56" type="noConversion"/>
  </si>
  <si>
    <t>일수</t>
    <phoneticPr fontId="56" type="noConversion"/>
  </si>
  <si>
    <t>회수</t>
    <phoneticPr fontId="56" type="noConversion"/>
  </si>
  <si>
    <t>특별</t>
    <phoneticPr fontId="56" type="noConversion"/>
  </si>
  <si>
    <t>보통</t>
    <phoneticPr fontId="56" type="noConversion"/>
  </si>
  <si>
    <t>김메기</t>
    <phoneticPr fontId="56" type="noConversion"/>
  </si>
  <si>
    <t>22 차량·선박비</t>
    <phoneticPr fontId="15" type="noConversion"/>
  </si>
  <si>
    <t>01 국내여비</t>
    <phoneticPr fontId="15" type="noConversion"/>
  </si>
  <si>
    <t>217 관서업무비</t>
    <phoneticPr fontId="15" type="noConversion"/>
  </si>
  <si>
    <t>02 부서업무비</t>
    <phoneticPr fontId="15" type="noConversion"/>
  </si>
  <si>
    <t>교통∙휴양 대행사업</t>
  </si>
  <si>
    <t>412
수탁자산취득비</t>
    <phoneticPr fontId="15" type="noConversion"/>
  </si>
  <si>
    <t>12 수탁자산취득비(봉황산자연휴양림)</t>
    <phoneticPr fontId="15" type="noConversion"/>
  </si>
  <si>
    <t>보수 총합</t>
    <phoneticPr fontId="15" type="noConversion"/>
  </si>
  <si>
    <t>무기계약보수 총합</t>
    <phoneticPr fontId="15" type="noConversion"/>
  </si>
  <si>
    <t xml:space="preserve">  - 청소차비산방지덮개(진개덤프) : 50,000원×16대×1회</t>
    <phoneticPr fontId="15" type="noConversion"/>
  </si>
  <si>
    <t xml:space="preserve">  - 기타소모품비(비품, 차류 등) :400,000원×1회×12월</t>
    <phoneticPr fontId="105" type="noConversion"/>
  </si>
  <si>
    <t xml:space="preserve">  - 복지관위생용품(화장지,방향제) 구입 : 300,000원×12회</t>
    <phoneticPr fontId="15" type="noConversion"/>
  </si>
  <si>
    <r>
      <t xml:space="preserve">  - 삽 : 6,000원×100</t>
    </r>
    <r>
      <rPr>
        <sz val="10"/>
        <color theme="1"/>
        <rFont val="굴림"/>
        <family val="3"/>
        <charset val="129"/>
      </rPr>
      <t>명×2회</t>
    </r>
    <phoneticPr fontId="105" type="noConversion"/>
  </si>
  <si>
    <t xml:space="preserve">  - 청소차량 유지보수업무 수행 : 110,000원×2명×8회</t>
    <phoneticPr fontId="15" type="noConversion"/>
  </si>
  <si>
    <t xml:space="preserve">  - 청소업무 유공직원 선진지 견학 : 500,000원×10명×1회</t>
    <phoneticPr fontId="15" type="noConversion"/>
  </si>
  <si>
    <t xml:space="preserve">  - 청소대행사업 관련 벤치마킹 방문 : 110,000원×3명×2회×1일</t>
    <phoneticPr fontId="15" type="noConversion"/>
  </si>
  <si>
    <t xml:space="preserve">  - 산업안전보건 강조주간 행사참여 : 110,000원×10명×2회</t>
    <phoneticPr fontId="15" type="noConversion"/>
  </si>
  <si>
    <t xml:space="preserve">  - 복사용지구입 : 23,000원*40박스</t>
    <phoneticPr fontId="15" type="noConversion"/>
  </si>
  <si>
    <t xml:space="preserve"> 표준사무용품(일근자 : 10명) × 3회</t>
    <phoneticPr fontId="15" type="noConversion"/>
  </si>
  <si>
    <t xml:space="preserve">  -  견학 기념품 제작 : 10,000원*300개</t>
    <phoneticPr fontId="15" type="noConversion"/>
  </si>
  <si>
    <t xml:space="preserve">   - 병해충 방역 : 550,000원*6월</t>
    <phoneticPr fontId="15" type="noConversion"/>
  </si>
  <si>
    <t xml:space="preserve">  - 동복(방한복) : 130,000원*42명*2벌*1회</t>
    <phoneticPr fontId="15" type="noConversion"/>
  </si>
  <si>
    <t xml:space="preserve">  - 하복(작업조끼) 등 : 80,000원*42명*2벌*1회</t>
    <phoneticPr fontId="15" type="noConversion"/>
  </si>
  <si>
    <t xml:space="preserve">  - 춘,추복 등 : 80,000원*42명*2벌*1회</t>
    <phoneticPr fontId="15" type="noConversion"/>
  </si>
  <si>
    <t xml:space="preserve"> ○ 관내 여비 : 20,000원*4명*5일*12월</t>
    <phoneticPr fontId="15" type="noConversion"/>
  </si>
  <si>
    <t xml:space="preserve"> ○ 관외 여비 :110,000원*4명*3일*2회</t>
    <phoneticPr fontId="15" type="noConversion"/>
  </si>
  <si>
    <t>○ 바이오시설물등 수선유지비(시설투자비의  0.8% 적용)</t>
    <phoneticPr fontId="15" type="noConversion"/>
  </si>
  <si>
    <t>○ 바이오시설 정기유지보수비용(시설투자비의 0.8% 적용)</t>
    <phoneticPr fontId="15" type="noConversion"/>
  </si>
  <si>
    <t xml:space="preserve"> - 스팀관련 (게이트, 볼)밸브류 구매 : 5,000,000원 * 1식</t>
    <phoneticPr fontId="15" type="noConversion"/>
  </si>
  <si>
    <t xml:space="preserve">  소각시설 스팀밸브류 구매(연속가동 및 고온에 의한 고착)</t>
    <phoneticPr fontId="15" type="noConversion"/>
  </si>
  <si>
    <t>○ 기타 잡자재, 소모자재(베어링,실,벨트 등) : 2,000,000원*6회</t>
    <phoneticPr fontId="15" type="noConversion"/>
  </si>
  <si>
    <t>○ 탈의실 내부 락커 키밴드 , 자물쇠 등 구입 : 10,000원*100개</t>
    <phoneticPr fontId="15" type="noConversion"/>
  </si>
  <si>
    <t>○ 수영장 조명등(무전극램프) 유지보수 : 300,000원*5개소</t>
    <phoneticPr fontId="15" type="noConversion"/>
  </si>
  <si>
    <t>장애인국민체육센터 수탁 대행사업</t>
    <phoneticPr fontId="15" type="noConversion"/>
  </si>
  <si>
    <t xml:space="preserve">  - 복사용지 구입 : 23,000원*3박스*12개월</t>
    <phoneticPr fontId="15" type="noConversion"/>
  </si>
  <si>
    <t xml:space="preserve">  - 복사기 카트리지 구입 : 1,000,000원*2개소*1회</t>
    <phoneticPr fontId="15" type="noConversion"/>
  </si>
  <si>
    <t>○ 안전용품(안전화, 장갑 등) 구입비 : 400,000원*1회</t>
    <phoneticPr fontId="15" type="noConversion"/>
  </si>
  <si>
    <t>○ 의약품 구입비 : 250,000원*2회</t>
    <phoneticPr fontId="15" type="noConversion"/>
  </si>
  <si>
    <t>○ 상하수도요금 : 2,600,000원*12월</t>
    <phoneticPr fontId="15" type="noConversion"/>
  </si>
  <si>
    <t>- 사무용품 구입비 : 100,000원*12월</t>
    <phoneticPr fontId="56" type="noConversion"/>
  </si>
  <si>
    <t xml:space="preserve"> ○ 청소용품 및 장갑 등</t>
    <phoneticPr fontId="15" type="noConversion"/>
  </si>
  <si>
    <t xml:space="preserve"> ○ 배송차량 임차료 : 805,000원*12개월*1대</t>
    <phoneticPr fontId="15" type="noConversion"/>
  </si>
  <si>
    <t xml:space="preserve"> ○ 일반전화 및 인터넷전용회선요금등 : 200,000원*12개월    </t>
    <phoneticPr fontId="15" type="noConversion"/>
  </si>
  <si>
    <t>- 종량제물품 주문내역 문자발송</t>
    <phoneticPr fontId="15" type="noConversion"/>
  </si>
  <si>
    <t>- 대량 문자발송(지정판매소 전체)</t>
    <phoneticPr fontId="15" type="noConversion"/>
  </si>
  <si>
    <t xml:space="preserve"> ○ 상하수도요금 : 30,000원*12개월</t>
    <phoneticPr fontId="15" type="noConversion"/>
  </si>
  <si>
    <t xml:space="preserve">교통휴양 대행사업 </t>
    <phoneticPr fontId="15" type="noConversion"/>
  </si>
  <si>
    <t>행정운영활동(일반행정운영 관리)</t>
    <phoneticPr fontId="15" type="noConversion"/>
  </si>
  <si>
    <t xml:space="preserve">  가. 교통휴양 대행사업</t>
    <phoneticPr fontId="15" type="noConversion"/>
  </si>
  <si>
    <t xml:space="preserve">  나. 체육시설 대행사업</t>
    <phoneticPr fontId="15" type="noConversion"/>
  </si>
  <si>
    <t xml:space="preserve">  다. 환경대행사업</t>
    <phoneticPr fontId="15" type="noConversion"/>
  </si>
  <si>
    <t xml:space="preserve">  라. 행정운영활동</t>
    <phoneticPr fontId="15" type="noConversion"/>
  </si>
  <si>
    <t xml:space="preserve">  마. 예비비</t>
    <phoneticPr fontId="15" type="noConversion"/>
  </si>
  <si>
    <t xml:space="preserve">  라. 행정운영활동(일반행정운영 관리)</t>
    <phoneticPr fontId="15" type="noConversion"/>
  </si>
  <si>
    <t>정원 1 증</t>
    <phoneticPr fontId="15" type="noConversion"/>
  </si>
  <si>
    <t>정원 3 증(진남 안전강사, 봉황산 기간제 대체 인력)</t>
    <phoneticPr fontId="15" type="noConversion"/>
  </si>
  <si>
    <t>구분</t>
    <phoneticPr fontId="105" type="noConversion"/>
  </si>
  <si>
    <t>노후 청소차량 적기 교체(차량운반구)</t>
    <phoneticPr fontId="105" type="noConversion"/>
  </si>
  <si>
    <t>환경사원복지관 자산비품 구입(공기구비품)</t>
    <phoneticPr fontId="105" type="noConversion"/>
  </si>
  <si>
    <t>도시형 폐기물 처리시설 자산비품 구입(공기구비품)</t>
    <phoneticPr fontId="105" type="noConversion"/>
  </si>
  <si>
    <t>행정사무자산 구입(공기구비품)</t>
    <phoneticPr fontId="105" type="noConversion"/>
  </si>
  <si>
    <t>교통휴양 대행사업</t>
    <phoneticPr fontId="15" type="noConversion"/>
  </si>
  <si>
    <t>계</t>
    <phoneticPr fontId="15" type="noConversion"/>
  </si>
  <si>
    <r>
      <t>생활폐기물 수집운반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가로청소 수탁 대행사업</t>
    </r>
    <phoneticPr fontId="15" type="noConversion"/>
  </si>
  <si>
    <t>(← 소수점 정리)</t>
    <phoneticPr fontId="15" type="noConversion"/>
  </si>
  <si>
    <t>207 연구개발비</t>
    <phoneticPr fontId="15" type="noConversion"/>
  </si>
  <si>
    <t>03 시험연구비</t>
    <phoneticPr fontId="15" type="noConversion"/>
  </si>
  <si>
    <t>시험연구비</t>
    <phoneticPr fontId="15" type="noConversion"/>
  </si>
  <si>
    <t>사    업    명</t>
    <phoneticPr fontId="15" type="noConversion"/>
  </si>
  <si>
    <t>예 산 액
(A)</t>
    <phoneticPr fontId="52" type="noConversion"/>
  </si>
  <si>
    <t>지출원인
행 위 액
(B)</t>
    <phoneticPr fontId="52" type="noConversion"/>
  </si>
  <si>
    <t>지출(예정)액
(C )</t>
    <phoneticPr fontId="52" type="noConversion"/>
  </si>
  <si>
    <t>지출잔액
(A-C)</t>
    <phoneticPr fontId="52" type="noConversion"/>
  </si>
  <si>
    <t>이월액
(D)</t>
    <phoneticPr fontId="52" type="noConversion"/>
  </si>
  <si>
    <t>불용액
(A-C-D)</t>
    <phoneticPr fontId="52" type="noConversion"/>
  </si>
  <si>
    <t>이월사유
(예산성립시기)</t>
    <phoneticPr fontId="15" type="noConversion"/>
  </si>
  <si>
    <t>계</t>
    <phoneticPr fontId="52" type="noConversion"/>
  </si>
  <si>
    <t>201
일반운영비</t>
    <phoneticPr fontId="52" type="noConversion"/>
  </si>
  <si>
    <t>11
지급수수료</t>
    <phoneticPr fontId="52" type="noConversion"/>
  </si>
  <si>
    <t>공공운영비</t>
    <phoneticPr fontId="15" type="noConversion"/>
  </si>
  <si>
    <t>12 수탁자산취득비(공영주차장)</t>
    <phoneticPr fontId="15" type="noConversion"/>
  </si>
  <si>
    <t>천원</t>
    <phoneticPr fontId="15" type="noConversion"/>
  </si>
  <si>
    <t>사유</t>
  </si>
  <si>
    <t>이전</t>
  </si>
  <si>
    <t>현재</t>
  </si>
  <si>
    <t>- 복사용지 구입 :</t>
  </si>
  <si>
    <t>박스당 단가 상승</t>
  </si>
  <si>
    <t>- 사무용품 구입 :</t>
  </si>
  <si>
    <t>200,000</t>
  </si>
  <si>
    <t>400</t>
  </si>
  <si>
    <t>- 기록관 환경정비 물품 구입 :</t>
  </si>
  <si>
    <t>- 컬러복합기 토너 :</t>
  </si>
  <si>
    <t>- 컬러복합기 폐토너통 :</t>
  </si>
  <si>
    <t>110,000</t>
  </si>
  <si>
    <t>- 흑백복합기 추가인쇄료 :</t>
  </si>
  <si>
    <t>11</t>
  </si>
  <si>
    <t>600</t>
  </si>
  <si>
    <t>- 임원실 토너 :</t>
  </si>
  <si>
    <t>- 전산 소모품 :</t>
  </si>
  <si>
    <t>20,000</t>
  </si>
  <si>
    <t>○ 사무실 위생용품(종량제봉투 등) 구입 : 400,000원 * 12월</t>
  </si>
  <si>
    <t>○ 개인정보 홍보물품 등 홍보물(현수막, 간판, 상패 등) 제작 : 2,600,000원</t>
  </si>
  <si>
    <t>○ 개인정보 홍보물품 등 홍보물(현수막, 간판, 상패 등) 제작 :</t>
  </si>
  <si>
    <t>- 서울신문 : 20,000원 * 1부 * 12월</t>
  </si>
  <si>
    <t>- 서울신문 :</t>
  </si>
  <si>
    <t>- 광주일보 : 15,000원 * 1부 * 12월</t>
  </si>
  <si>
    <t>- 광주일보 :</t>
  </si>
  <si>
    <t>15,000</t>
  </si>
  <si>
    <t>- 경향신문 : 20,000원 * 1부 * 12월</t>
  </si>
  <si>
    <t>- 경향신문 :</t>
  </si>
  <si>
    <t>- 여수넷통 : 10,000원 * 1부 * 12월</t>
  </si>
  <si>
    <t>120</t>
  </si>
  <si>
    <t>- 여수넷통 :</t>
  </si>
  <si>
    <t>10,000</t>
  </si>
  <si>
    <t>신규</t>
  </si>
  <si>
    <t>- 매일경제 : 20,000원 * 1부 * 12월</t>
  </si>
  <si>
    <t>- 매일경제 :</t>
  </si>
  <si>
    <t>○ 기술서적 및 업무용 자료 구입 : 50,000원 * 2권 * 3월</t>
  </si>
  <si>
    <t>○ 유인물인쇄</t>
  </si>
  <si>
    <t>- 업무보고자료 : 5,000원 * 60부 * 2회</t>
  </si>
  <si>
    <t>- 이사회 부의자료 : 200,000원 * 4회</t>
  </si>
  <si>
    <t>- 예,결산서 유인 : 5,000원 * 30부 * 2종 * 2회</t>
  </si>
  <si>
    <t>- 내부경영성과 평가 결과보고 : 5,000원 * 20부</t>
  </si>
  <si>
    <t>- 내부경영성과 평가 편람: 5,000원 * 20부</t>
  </si>
  <si>
    <t>- 경영평가실적보고서 : 16,000원 * 20부</t>
  </si>
  <si>
    <t>- 복사/제본 : 10,000원 * 5종 * 10회</t>
  </si>
  <si>
    <t>○ TV,신문,잡지등에 의한 공고료 : 6,600,000원*1식</t>
  </si>
  <si>
    <t>- 한글 2022 : 250,000원 * 1대</t>
  </si>
  <si>
    <t>- 한글 2022 :</t>
  </si>
  <si>
    <t>250,000</t>
  </si>
  <si>
    <t>PC 증가</t>
  </si>
  <si>
    <t>33대</t>
  </si>
  <si>
    <t>34대</t>
  </si>
  <si>
    <t>- Microsoft Office : 420,000원 * 1대</t>
  </si>
  <si>
    <t>- Microsoft Office :</t>
  </si>
  <si>
    <t>420,000</t>
  </si>
  <si>
    <t>- 알약 : 26,000원 * 34대</t>
  </si>
  <si>
    <t>- 알약 :</t>
  </si>
  <si>
    <t>26,000</t>
  </si>
  <si>
    <t>- 고객정보제공 및 수요분석 설문조사(홈페이지) : 10,000원 * 20명 * 1회</t>
  </si>
  <si>
    <t>200</t>
  </si>
  <si>
    <t>- 고객응대표준매뉴얼 인쇄물 제작 : 15,000원 * 30권 * 1회</t>
  </si>
  <si>
    <t>○ 청사 관리비 : 200,000원 * 12월</t>
  </si>
  <si>
    <t>○ 이사회 참석수당</t>
  </si>
  <si>
    <t>- 초과(2시간이상) : 50,000원 * 4명 * 3회</t>
  </si>
  <si>
    <t>○ 임원추천위원회 참석/심사 수당</t>
  </si>
  <si>
    <t>2,100</t>
  </si>
  <si>
    <t>○ 계약 심의위원회 참석/심사수당</t>
  </si>
  <si>
    <t>- 기본(참석수당) : 100,000원 * 5명 * 1회</t>
  </si>
  <si>
    <t>○ 소프트웨어사업 과업심의위원회 참석수당</t>
  </si>
  <si>
    <t>- 기본(참석수당) : 100,000원 * 3명 * 1회</t>
  </si>
  <si>
    <t>300</t>
  </si>
  <si>
    <t>- 외부위원 참석수당 : 100,000원 * 2명 * 1회</t>
  </si>
  <si>
    <t>- 외부위원 원격지 교통비 : 50,000원 * 1명</t>
  </si>
  <si>
    <t>○ 혁신 과제(우수사례) 선정 위원 참석수당 : 100,000원 * 4명 * 1회</t>
  </si>
  <si>
    <t>- 성과관리 외부위원회 참석수당 : 100,000원 * 4명 * 2회</t>
  </si>
  <si>
    <t>○ 주민참여예산위원회 참석수당 : 100,000원 * 5명 * 1회</t>
  </si>
  <si>
    <t>○ 적극행정 지원위원회 참석수당 : 100,000원 * 4명 * 2회</t>
  </si>
  <si>
    <t>○ 직장 내 괴롭힘 심의위원회 참석수당 : 100,000원 * 5명 * 1회</t>
  </si>
  <si>
    <t>○ 자문 노무사 자문료 : 400,000원 * 2명 * 12월</t>
  </si>
  <si>
    <t>○ 법률 고문 자문료 : 400,000원 * 1명 * 12월</t>
  </si>
  <si>
    <t>○ 회계감사 수수료 : 12,000,000원 * 1회</t>
  </si>
  <si>
    <t>○ 기타 지급수수료 :</t>
  </si>
  <si>
    <t>1,200</t>
  </si>
  <si>
    <t>-</t>
  </si>
  <si>
    <t>○ 폐기대상 기록물 파쇄 수수료 : 500,000원 * 1회</t>
  </si>
  <si>
    <t>○ 기록관리시스템 전자기록물 이관 용역비 : 6,600,000원 * 1회</t>
  </si>
  <si>
    <t>○ (법정)산업보건의 업무수행 수수료 : 300,000원 * 12회</t>
  </si>
  <si>
    <t>○ 관리자과정교육(2급이상) : 500,000원 * 2명 * 1회</t>
  </si>
  <si>
    <t>○ 실무자과정교육(부장급) :</t>
  </si>
  <si>
    <t>○ (법정)기술분야 담당자 직무 교육</t>
  </si>
  <si>
    <t>- 건설기계(지게차) 교육 : 300,000원 * 4명</t>
  </si>
  <si>
    <t>- 기계설비유지 직무교육 : 300,000원 * 1명</t>
  </si>
  <si>
    <t>- 대기,수질,폐기물처리 환경관리인 : 100,000원 * 1명</t>
  </si>
  <si>
    <t>- 목욕업 위생교육 : 60,000원 * 1명</t>
  </si>
  <si>
    <t>- 보일러 검사기기대상 관리자 : 100,000원 * 3명</t>
  </si>
  <si>
    <t>- 소방안전 관리자 보수교육 : 55,000원 * 20명</t>
  </si>
  <si>
    <t>- 수도시설 관리자 : 100,000원 * 1명</t>
  </si>
  <si>
    <t>- 승강기 안전관리자 : 100,000원 * 2명</t>
  </si>
  <si>
    <t>- 전기안전관리자 : 150,000원 * 2명</t>
  </si>
  <si>
    <t>- 고압가스사용자자동차운전자(온라인) 교육 : 21,000원 * 10명</t>
  </si>
  <si>
    <t>- 간호사 보수교육 : 200,000원*1회</t>
  </si>
  <si>
    <t>- 안전보건관리책임자 신규교육 : 70,000원*1회</t>
  </si>
  <si>
    <t>- 공공기관 에너지 담당자 교육 : 250,000원*8명</t>
  </si>
  <si>
    <t>- 재난안전분야 종사자 교육 : 600,000원*2명</t>
  </si>
  <si>
    <t>○ 안전보건경영시스템 내부심사원 교육 : 450,000원*2명</t>
  </si>
  <si>
    <t>○ 환경경영시스템 내부심사원 교육 : 440,000원*2명</t>
  </si>
  <si>
    <t>○ 소비자중심경영 전문기관 위탁교육비</t>
  </si>
  <si>
    <t>- 전문강사 초빙 직원 친절 교육 : 600,000원 * 1명 * 2회</t>
  </si>
  <si>
    <t>- 고객접점직원 직무역량교육비 : 350,000원 * 3명 * 2회</t>
  </si>
  <si>
    <t>- 소비자중심경영 정기교육비 : 250,000원 * 1회 * 2명</t>
  </si>
  <si>
    <t>(기존) 고객관리과정 교육비 -&gt; 소비자중심경영 정기교육</t>
  </si>
  <si>
    <t>- 사내 CS 강사 양성교육 : 600,000원 * 1회</t>
  </si>
  <si>
    <t>○ 부패방지(청렴) 교육 외부 강사료 : 750,000원 * 1명 * 1회</t>
  </si>
  <si>
    <t>○ 부패방지 및 준법경영시스템 내부심사원 교육비 : 400,000원*1인*1회</t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</si>
  <si>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시설관리경영시스템 내부심사원 교육 : 440,000원*2명</t>
    </r>
    <phoneticPr fontId="15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</si>
  <si>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시설물 유지관리 역량강화 교육 : 400,000원*8명</t>
    </r>
    <phoneticPr fontId="15" type="noConversion"/>
  </si>
  <si>
    <t>○ 차량 임차료(수소차, 사무실용 승용) : 570,000원 * 1대 * 12월</t>
    <phoneticPr fontId="15" type="noConversion"/>
  </si>
  <si>
    <t>○ 비데 임차료 : 15,900원 * 4대 * 12월</t>
  </si>
  <si>
    <t xml:space="preserve">  - 본부사무실 커피머신 임차료 : 23,900원 1대 * 12월</t>
    <phoneticPr fontId="15" type="noConversion"/>
  </si>
  <si>
    <t xml:space="preserve">  - 이사장실 커피머신 임차료 : 23,900원 * 1대 * 12월</t>
    <phoneticPr fontId="15" type="noConversion"/>
  </si>
  <si>
    <t>○ 환경미화원 예방접종</t>
  </si>
  <si>
    <t>○ 건강문화체험활동비 지원(일반직, 기능직, 공무직, 환경사원)</t>
    <phoneticPr fontId="15" type="noConversion"/>
  </si>
  <si>
    <t>○ TV수신료 : 7,500원 * 2대 * 12월</t>
    <phoneticPr fontId="15" type="noConversion"/>
  </si>
  <si>
    <t>○ 복합기(프린터) 유지보수비 : 300,000원 * 2회</t>
  </si>
  <si>
    <t>○ 본부 사무실 에어컨 수선유지비 : 2,000,000원 * 1회</t>
  </si>
  <si>
    <t>에어컨 수량증가</t>
  </si>
  <si>
    <t>○ 업무용 PC유지보수비 : 250,000원 * 1회</t>
  </si>
  <si>
    <t>14,400</t>
  </si>
  <si>
    <t>비용증가</t>
  </si>
  <si>
    <t>신규추가</t>
  </si>
  <si>
    <t>12,000</t>
  </si>
  <si>
    <t>○ 전산프로그램 유지보수비용</t>
    <phoneticPr fontId="15" type="noConversion"/>
  </si>
  <si>
    <t xml:space="preserve">  - 경영지원부(10인이하) : 175,000원 * 12월</t>
    <phoneticPr fontId="15" type="noConversion"/>
  </si>
  <si>
    <t xml:space="preserve">  - 안전관리부(5인이하) : 100,000원 * 12월</t>
    <phoneticPr fontId="15" type="noConversion"/>
  </si>
  <si>
    <t xml:space="preserve">  - 기획혁신부(5인이하) : 100,000원 * 12월</t>
    <phoneticPr fontId="15" type="noConversion"/>
  </si>
  <si>
    <t xml:space="preserve">  - 청렴감사부(5인이하) : 100,000원 * 12월</t>
    <phoneticPr fontId="15" type="noConversion"/>
  </si>
  <si>
    <t>=</t>
    <phoneticPr fontId="15" type="noConversion"/>
  </si>
  <si>
    <t xml:space="preserve"> ○ 소비자중심경영 품질관리</t>
    <phoneticPr fontId="15" type="noConversion"/>
  </si>
  <si>
    <t xml:space="preserve">  - 검교정 : 180,000원 * 1식</t>
    <phoneticPr fontId="15" type="noConversion"/>
  </si>
  <si>
    <t xml:space="preserve">  - 센서교체 : 400,000원 * 1식</t>
    <phoneticPr fontId="15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</si>
  <si>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(신규)(법정)</t>
    </r>
    <r>
      <rPr>
        <sz val="10"/>
        <color theme="1"/>
        <rFont val="굴림"/>
        <family val="3"/>
        <charset val="129"/>
      </rPr>
      <t>복합가스농도 측정기 점검 : 580,000원 * 1식</t>
    </r>
    <phoneticPr fontId="15" type="noConversion"/>
  </si>
  <si>
    <t xml:space="preserve"> ○ 안전보건경영시스템 사후심사 : 2,508,000원*1식</t>
    <phoneticPr fontId="15" type="noConversion"/>
  </si>
  <si>
    <t xml:space="preserve"> ○ 환경경영시스템 사후심사 : 4,290,000원*1식</t>
    <phoneticPr fontId="15" type="noConversion"/>
  </si>
  <si>
    <t>○ 부패방지 및 준법경영시스템(ISO37001, ISO37301) 갱신인증비 : 7,425,000원 * 1회</t>
    <phoneticPr fontId="15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</si>
  <si>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 xml:space="preserve"> (행정안전부 주관)재해경감 우수기업 인증 갱신 지원 용역 비용 : 12,700,000원 * 1회</t>
    </r>
    <phoneticPr fontId="15" type="noConversion"/>
  </si>
  <si>
    <t>○ 더존 그룹웨어 사용 유저 추가 : 1,700,000원 * 1식</t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</si>
  <si>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 xml:space="preserve"> 개인정보보호수준 진단 대응 수정 : 11,000,000원 * 1식</t>
    </r>
    <phoneticPr fontId="15" type="noConversion"/>
  </si>
  <si>
    <t>○ 우수 청년인턴 포상금 : 100,000원 * 2회</t>
  </si>
  <si>
    <t>○ ESG경영마일리지 우수직원 포상금 : 500,000원 * 1회</t>
  </si>
  <si>
    <t>○ 혁신 공모전 우수부서 : 700,000원 * 1회</t>
  </si>
  <si>
    <t>○ 부서평가 포상금 지급 : 900,000원 * 1회</t>
  </si>
  <si>
    <t>○ 재난·안전보건·시설물 우수제안 포상 : 1,000,000원</t>
  </si>
  <si>
    <t>○ 소송 수행자 직원 포상금(행정, 민사소송)</t>
  </si>
  <si>
    <t xml:space="preserve">  - 위험성평가 우수부서 포상 : 400,000원 * 1회</t>
    <phoneticPr fontId="15" type="noConversion"/>
  </si>
  <si>
    <t xml:space="preserve">  - 전화응대 친절직원 : 100,000원 * 1명 * 2회</t>
    <phoneticPr fontId="15" type="noConversion"/>
  </si>
  <si>
    <t xml:space="preserve">  - 고객서비스 우수부서 포상 : 200,000원 * 1부서 * 1회</t>
    <phoneticPr fontId="15" type="noConversion"/>
  </si>
  <si>
    <t xml:space="preserve">  - 내외부 고객서비스 제안제도 운영 포상 : 300,000원 * 1회</t>
    <phoneticPr fontId="15" type="noConversion"/>
  </si>
  <si>
    <r>
      <t xml:space="preserve">  -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color theme="1"/>
        <rFont val="굴림"/>
        <family val="3"/>
        <charset val="129"/>
      </rPr>
      <t>시설물 유지 개선제안 우수자 포상 : 300,000원 * 1회</t>
    </r>
    <phoneticPr fontId="15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</si>
  <si>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주니어보드 활동 우수자 : 300,000원 * 1회</t>
    </r>
    <phoneticPr fontId="15" type="noConversion"/>
  </si>
  <si>
    <t>- 본부장 : 5,930,670원 * 2명 * 12개월</t>
  </si>
  <si>
    <t>142,336</t>
  </si>
  <si>
    <t>[ 임원 3명, 일반직 47명(부장 6, 4급 11, 5급 18, 6급 12) ]</t>
  </si>
  <si>
    <t>급수</t>
  </si>
  <si>
    <t>호봉</t>
  </si>
  <si>
    <t>○ 연봉제 급여</t>
  </si>
  <si>
    <t>인건비 보수</t>
  </si>
  <si>
    <t>- 이사장 : 83,000,000원 * 1명</t>
  </si>
  <si>
    <t>83,000</t>
  </si>
  <si>
    <t>- 이사장 :</t>
  </si>
  <si>
    <t>83,000,000</t>
  </si>
  <si>
    <t>- 본부장 :</t>
  </si>
  <si>
    <t>5,930,670</t>
  </si>
  <si>
    <t>- 부 장 : 6,038,030원 * 6명 * 12개월</t>
  </si>
  <si>
    <t>434,738</t>
  </si>
  <si>
    <t>- 팀 장 :</t>
  </si>
  <si>
    <t>6,038,030</t>
  </si>
  <si>
    <t>- 4급(15호봉) : 2,277,405원 * 11명 * 12개월</t>
  </si>
  <si>
    <t>- 4급(15호봉) :</t>
  </si>
  <si>
    <t>- 5급(8호봉) : 1,691,575원 * 18명 * 12개월</t>
  </si>
  <si>
    <t>- 5급(8호봉) :</t>
  </si>
  <si>
    <t>- 6급(4호봉) : 1,307,592원 * 12명 * 12개월</t>
  </si>
  <si>
    <t>- 6급(4호봉) :</t>
  </si>
  <si>
    <t>○ 영업수당</t>
  </si>
  <si>
    <t>- 4급(15호봉) : 2,277,405원 * 30% * 11명 * 12개월</t>
  </si>
  <si>
    <t>- 5급(8호봉) : 1,691,575원 * 30% * 18명 * 12개월</t>
  </si>
  <si>
    <t>- 6급(4호봉) : 1,307,592원 * 30% * 12명 * 12개월</t>
  </si>
  <si>
    <t>- 4급(15호봉) : 150,000원 * 11명 * 12개월</t>
  </si>
  <si>
    <t>- 5급(8호봉) : 150,000원 * 18명 * 12개월</t>
  </si>
  <si>
    <t>- 6급(4호봉) : 150,000원 * 12명 * 12개월</t>
  </si>
  <si>
    <t>○ 업무추진교통비</t>
  </si>
  <si>
    <t>- 4급(15호봉) : 130,000원 * 11명 * 12개월</t>
  </si>
  <si>
    <t>- 5급(8호봉) : 130,000원 * 18명 * 12개월</t>
  </si>
  <si>
    <t>- 6급(4호봉) : 120,000원 * 12명 * 12개월</t>
  </si>
  <si>
    <t>○ 가계안정비</t>
  </si>
  <si>
    <t>- 4급(15호봉) : 2,277,405원 * 11명 * 250%</t>
  </si>
  <si>
    <t>- 5급(8호봉) : 1,691,575원 * 18명 * 250%</t>
  </si>
  <si>
    <t>- 6급(4호봉) : 1,307,592원 * 12명 * 250%</t>
  </si>
  <si>
    <t>○ 정액급식비</t>
  </si>
  <si>
    <t>- 4급(15호봉) : 140,000원 * 11명 * 12개월</t>
  </si>
  <si>
    <t>- 5급(8호봉) : 140,000원 * 18명 * 12개월</t>
  </si>
  <si>
    <t>- 6급(4호봉) : 140,000원 * 12명 * 12개월</t>
  </si>
  <si>
    <t>○ 장기근속수당</t>
  </si>
  <si>
    <t>- 5년 이상 ~ 10년 미만 : 50,000원 * 13명 * 12개월</t>
  </si>
  <si>
    <t>- 5년이상 ~10년미만 :</t>
  </si>
  <si>
    <t>- 10년 이상 ~ 15년 미만 : 60,000원 *10명 * 12개월</t>
  </si>
  <si>
    <t>- 10년이상~15년미만 :</t>
  </si>
  <si>
    <t>- 15년 이상 ~ 20년 미만 : 80,000원 * 3명 * 12개월</t>
  </si>
  <si>
    <t>- 15년이상~20년미만 :</t>
  </si>
  <si>
    <t>- 20년 이상 : 110,000원 * 3명 * 12개월</t>
  </si>
  <si>
    <t>- 20년 이상 :</t>
  </si>
  <si>
    <t>- 배우자 : 40,000원 * 25명 * 12개월</t>
  </si>
  <si>
    <t>- 배우자 :</t>
  </si>
  <si>
    <t>40,000</t>
  </si>
  <si>
    <t>- 직계존비속 : 20,000원 * 17명 * 12개월</t>
  </si>
  <si>
    <t>4,080</t>
  </si>
  <si>
    <t>- 직계존비속 :</t>
  </si>
  <si>
    <t>- 첫째자녀 : 30,000원 * 15명 * 12개월</t>
  </si>
  <si>
    <t>5,400</t>
  </si>
  <si>
    <t>- 첫째자녀 :</t>
  </si>
  <si>
    <t>30,000</t>
  </si>
  <si>
    <t>- 둘째자녀 : 70,000원 * 9명 * 12개월</t>
  </si>
  <si>
    <t>7,560</t>
  </si>
  <si>
    <t>- 둘째자녀 :</t>
  </si>
  <si>
    <t>70,000</t>
  </si>
  <si>
    <t>- 셋째자녀 : 110,000원 * 0명 * 12개월</t>
  </si>
  <si>
    <t>- 셋째자녀 :</t>
  </si>
  <si>
    <t>○ 기술수당</t>
  </si>
  <si>
    <t>- 기사 1급 : 30,000원 * 15명 * 12개월</t>
  </si>
  <si>
    <t>- 기사 1급 :</t>
  </si>
  <si>
    <t>- 기사 2급 : 25,000원 * 4명 * 12개월</t>
  </si>
  <si>
    <t>- 기사 2급 :</t>
  </si>
  <si>
    <t>25,000</t>
  </si>
  <si>
    <t>○ 특정업무수행경비</t>
  </si>
  <si>
    <t>- 예산·결산·계약·감사·노사·경영평가·안전·보건 : 80,000원 * 12명 * 12개월</t>
  </si>
  <si>
    <t>11,520</t>
  </si>
  <si>
    <t>- 예산·결산·계약·감사·노사·경영평가·안전·보건</t>
  </si>
  <si>
    <t>○ 선임수당</t>
  </si>
  <si>
    <t>- 전기안전관리담당 : 30,000원 * 4명 * 12개월</t>
  </si>
  <si>
    <t>1,440</t>
  </si>
  <si>
    <t>- 전기안전관리담당 :</t>
  </si>
  <si>
    <t>- 기타선임수당(소방, 보일러) : 10,000원 * 18명 * 12개월</t>
  </si>
  <si>
    <t>2,160</t>
  </si>
  <si>
    <t>- 기타선임수당(소방, 보일러) :</t>
  </si>
  <si>
    <t>○ 명절휴가비</t>
  </si>
  <si>
    <t>- 4급(15호봉) : 2,277,405원 * 11명 * 150%</t>
  </si>
  <si>
    <t>- 5급(8호봉) : 1,691,575원 * 18명 * 150%</t>
  </si>
  <si>
    <t>- 6급(4호봉) : 1,307,592원 * 12명 * 150%</t>
  </si>
  <si>
    <t>○ 초과수당(시간외, 휴일, 야간)</t>
  </si>
  <si>
    <t>- 4급(15호봉) : 3,969,025원 * 1.5/209 * 30시간 * 11명 * 12개월</t>
  </si>
  <si>
    <t>- 5급(8호봉) : 3,038,311원 * 1.5/209 * 30시간 * 18명 * 12개월</t>
  </si>
  <si>
    <t>- 6급(4호봉) : 2,452,562원 * 1.5/209 * 30시간 * 12명 * 12개월</t>
  </si>
  <si>
    <t>○ 연차휴가수당</t>
  </si>
  <si>
    <t>- 2급 : 5,930,670원 * 1.0/209 * 8시간 * 2명 * 10일</t>
  </si>
  <si>
    <t>- 2급 :</t>
  </si>
  <si>
    <t>- 3급 : 6,038,030원 * 1.0/209 * 8시간 * 6명 * 10일</t>
  </si>
  <si>
    <t>- 3급 :</t>
  </si>
  <si>
    <t>- 4급(15호봉) : 3,969,025원 * 1.0/209 * 8시간 * 11명 * 10일</t>
  </si>
  <si>
    <t>- 5급(8호봉) : 3,038,311원 * 1.0/209 * 8시간 * 18명 * 10일</t>
  </si>
  <si>
    <t>- 6급(4호봉) : 2,452,562원 * 1.0/209 * 8시간 * 12명 * 10일</t>
  </si>
  <si>
    <t>○ 파견수당</t>
  </si>
  <si>
    <t>- 파견직원(6급) : 600,000원 * 2명 * 12개월</t>
  </si>
  <si>
    <t>- 파견직원(6급) :</t>
  </si>
  <si>
    <t>600,000</t>
  </si>
  <si>
    <t>[ 기능직 31명(6등급 4, 7등급 11, 8등급 12, 9등급 4) ]</t>
  </si>
  <si>
    <t>- 6등급(16호봉) : 2,232,759원 * 4명 * 12개월</t>
  </si>
  <si>
    <t>- 6등급(16호봉) :</t>
  </si>
  <si>
    <t>- 7등급(17호봉) : 2,046,456원 * 11명 * 12개월</t>
  </si>
  <si>
    <t>- 7등급(17호봉) :</t>
  </si>
  <si>
    <t>- 8등급(15호봉) : 1,726,008원 * 12명 * 12개월</t>
  </si>
  <si>
    <t>- 8등급(15호봉) :</t>
  </si>
  <si>
    <t>- 9등급(4호봉) : 1,150121원 * 4명 * 12개월</t>
  </si>
  <si>
    <t>- 9등급(4호봉) :</t>
  </si>
  <si>
    <t>- 6등급(16호봉) : 2,232,759원 * 30% * 4명 * 12개월</t>
  </si>
  <si>
    <t>- 7등급(17호봉) : 2,046,456원 * 30% * 11명 * 12개월</t>
  </si>
  <si>
    <t>- 8등급(15호봉) : 1,726,008원 * 30% * 12명 * 12개월</t>
  </si>
  <si>
    <t>- 9등급(4호봉) : 1,150,121원 * 30% * 4명 * 12개월</t>
  </si>
  <si>
    <t>- 6등급(16호봉) : 150,000원 * 4명 * 12개월</t>
  </si>
  <si>
    <t>- 7등급(17호봉) : 150,000원 * 11명 * 12개월</t>
  </si>
  <si>
    <t>- 8등급(15호봉) : 150,000원 * 12명 * 12개월</t>
  </si>
  <si>
    <t>- 9등급(4호봉) : 150,000원 * 4명 * 12개월</t>
  </si>
  <si>
    <t>- 6등급(16호봉) : 130,000원 * 4명 * 12개월</t>
  </si>
  <si>
    <t>- 7등급(17호봉) : 120,000원 * 11명 * 12개월</t>
  </si>
  <si>
    <t>- 8등급(15호봉) : 120,000원 * 12명 * 12개월</t>
  </si>
  <si>
    <t>- 9등급(4호봉) : 120,000원 * 4명 * 12개월</t>
  </si>
  <si>
    <t>- 6등급(16호봉) : 2,232,759원 * 4명 * 250%</t>
  </si>
  <si>
    <t>- 7등급(17호봉) : 2,046,456원 * 11명 * 250%</t>
  </si>
  <si>
    <t>- 8등급(15호봉) : 1,726,008원 * 12명 * 250%</t>
  </si>
  <si>
    <t>- 9등급(4호봉) : 1,150,121원 * 4명 * 250%</t>
  </si>
  <si>
    <t>- 6등급(16호봉) : 140,000원 * 4명 * 12개월</t>
  </si>
  <si>
    <t>- 7등급(17호봉) : 140,000원 * 11명 * 12개월</t>
  </si>
  <si>
    <t>- 8등급(15호봉) : 140,000원 * 12명 * 12개월</t>
  </si>
  <si>
    <t>- 9등급(4호봉) : 140,000원 * 4명 * 12개월</t>
  </si>
  <si>
    <t>- 5년 이상 ~ 10년 미만 : 50,000원 * 1명 * 12개월</t>
  </si>
  <si>
    <t>- 10년 이상 ~ 15년 미만 : 60,000원 * 12명 * 12개월</t>
  </si>
  <si>
    <t>- 15년 이상 ~ 20년 미만 : 80,000원 * 20명 * 12개월</t>
  </si>
  <si>
    <t>- 20년 이상 : 110,000원 * 1명 * 12개월</t>
  </si>
  <si>
    <t>- 20년이상~25년미만 :</t>
  </si>
  <si>
    <t>○ 위험근무수당</t>
  </si>
  <si>
    <t>- 6등급(16호봉) : 30,000원 * 4명 * 12개월</t>
  </si>
  <si>
    <t>- 7등급(17호봉) : 30,000원 * 11명 * 12개월</t>
  </si>
  <si>
    <t>- 8등급(15호봉) : 30,000원 * 12명 * 12개월</t>
  </si>
  <si>
    <t>- 9등급(4호봉) : 30,000원 * 4명 * 12개월</t>
  </si>
  <si>
    <t>○ 장려수당</t>
  </si>
  <si>
    <t>- 배우자 : 40,000원 * 20명 * 12개월</t>
  </si>
  <si>
    <t>9,600</t>
  </si>
  <si>
    <t>- 직계존비속 : 20,000원 * 8명 * 12개월</t>
  </si>
  <si>
    <t>1,920</t>
  </si>
  <si>
    <t>- 첫째자녀 : 30,000원 * 18명 * 12개월</t>
  </si>
  <si>
    <t>6,480</t>
  </si>
  <si>
    <t>- 둘째자녀 : 70,000원 * 13명 * 12개월</t>
  </si>
  <si>
    <t>10,920</t>
  </si>
  <si>
    <t>- 셋째자녀 : 110,000원 * 2명 * 12개월</t>
  </si>
  <si>
    <t>2,640</t>
  </si>
  <si>
    <t>- 셋째자녀이상 :</t>
  </si>
  <si>
    <t>- 기능장 : 50,000원 * 2명 * 12개월</t>
  </si>
  <si>
    <t>- 기능장 :</t>
  </si>
  <si>
    <t>50,000</t>
  </si>
  <si>
    <t>- 기사 1급 : 30,000원 * 6명 * 12개월</t>
  </si>
  <si>
    <t>- 위험물안전관리담당 : 10,000원 * 1명 * 12개월</t>
  </si>
  <si>
    <t>- 위험물안전관리담당 :</t>
  </si>
  <si>
    <t>- 검사대상기기조정자 : 10,000원 * 3명 * 12개월</t>
  </si>
  <si>
    <t>360</t>
  </si>
  <si>
    <t>- 검사대상기기 조정자 :</t>
  </si>
  <si>
    <t>- 승강기안전관리자 : 10,000원 * 1명 * 12개월</t>
  </si>
  <si>
    <t>- 승강기안전관리자 :</t>
  </si>
  <si>
    <t>- 6등급(16호봉) : 2,232,759원 * 4명 * 150%</t>
  </si>
  <si>
    <t>- 7등급(17호봉) : 2,046,456원 * 11명 * 150%</t>
  </si>
  <si>
    <t>- 8등급(15호봉) : 1,726,008원 * 12명 * 150%</t>
  </si>
  <si>
    <t>- 9등급(4호봉) : 1,150,121원 * 4명 * 150%</t>
  </si>
  <si>
    <t>○ 시간외근무수당</t>
  </si>
  <si>
    <t>- 6등급(16호봉) : 4,093995원 * 1.5/209 * 9시간 * 4명 * 12개월</t>
  </si>
  <si>
    <t>- 7등급(17호봉) : 3,835,374원 * 1.5/209 * 9시간 * 11명 * 12개월</t>
  </si>
  <si>
    <t>- 8등급(15호봉) : 3,214,645원 * 1.5/209 * 9시간 * 12명 * 12개월</t>
  </si>
  <si>
    <t>- 9등급(4호봉) : 2,388,516원 * 1.5/209 * 9시간 * 4명 * 12개월</t>
  </si>
  <si>
    <t>○ 휴일근무수당</t>
  </si>
  <si>
    <t>- 6등급(16호봉) : 4,093,995원 * 1.5/209 * 12시간 * 4명 * 12게월</t>
  </si>
  <si>
    <t>- 7등급(17호봉) : 3,835,974원 * 1.5/209 * 12시간 * 11명 * 12개월</t>
  </si>
  <si>
    <t>- 8등급(15호봉) : 3,214,645원 * 1.5/209 * 12시간 * 12명 * 12개월</t>
  </si>
  <si>
    <t>- 9등급(4호봉) : 2,388,516원 * 1.5/209 * 12시간 * 4명 * 12개월</t>
  </si>
  <si>
    <t>○ 야간근무수당</t>
  </si>
  <si>
    <t>- 6등급(16호봉) : 4,093,995원 * 0.5/209 * 61시간 * 4명 * 12게월</t>
  </si>
  <si>
    <t>- 7등급(17호봉) : 3,835,374원 * 0.5/209 * 61시간 * 11명 * 12개월</t>
  </si>
  <si>
    <t>- 8등급(15호봉) : 3,214,645원 * 0.5/209 * 61시간 * 12명 * 12개월</t>
  </si>
  <si>
    <t>- 9등급(4호봉) : 2,388,516원 * 0.5/209 * 61시간 * 4명 * 12개월</t>
  </si>
  <si>
    <t>- 6등급(16호봉) : 4,093,995원 * 1.0/209 * 8시간 * 10일 * 4명</t>
  </si>
  <si>
    <t>- 7등급(17호봉) : 3,835,374원 * 1.0/209 * 8시간 * 10일 * 11명</t>
  </si>
  <si>
    <t>- 8등급(15호봉) : 3,214,645원 * 1.0/209 * 8시간 * 10일 * 12명</t>
  </si>
  <si>
    <t>- 9등급(4호봉) : 2,388,516원 * 1.0/209 * 8시간 * 10일 * 4명</t>
  </si>
  <si>
    <t>○ 조장수당</t>
  </si>
  <si>
    <t>- 50,000원 * 4명 * 12개월</t>
  </si>
  <si>
    <t>○ 조장수당 :</t>
  </si>
  <si>
    <t>- 통합직군(9호봉) : 2,223,408원 * 95명 * 12개월</t>
  </si>
  <si>
    <t>2,534,685</t>
  </si>
  <si>
    <t>- 통합직군(9호봉) :</t>
  </si>
  <si>
    <t>9</t>
  </si>
  <si>
    <t>- 통합직군(9호봉) : 140,000원 * 95명 * 12개월</t>
  </si>
  <si>
    <t>159,600</t>
  </si>
  <si>
    <t>- 통합직군 :</t>
  </si>
  <si>
    <t>140,000</t>
  </si>
  <si>
    <t>○ 직급수당</t>
  </si>
  <si>
    <t>- 통합직군(9호봉) : 200,000원 * 95명 * 12개월</t>
  </si>
  <si>
    <t>228,000</t>
  </si>
  <si>
    <t>○ 직무수당</t>
  </si>
  <si>
    <t>- 통합직군(9호봉) : 80,000원 * 95명 * 12개월</t>
  </si>
  <si>
    <t>91,200</t>
  </si>
  <si>
    <t>80,000</t>
  </si>
  <si>
    <t>○ 정근수당</t>
  </si>
  <si>
    <t>- 통합직군(9호봉) : 2,223,408원 * 95명 * 30% * 2회</t>
  </si>
  <si>
    <t>126,734</t>
  </si>
  <si>
    <t>2,223,408</t>
  </si>
  <si>
    <t>○ 정근수당가산금</t>
  </si>
  <si>
    <t>- 통합직군(9호봉) : 50,000원 * 66명 * 12개월</t>
  </si>
  <si>
    <t>39,600</t>
  </si>
  <si>
    <t>- 배우자 : 40,000원 * 43명 * 12개월</t>
  </si>
  <si>
    <t>20,640</t>
  </si>
  <si>
    <t>- 직계존비속 : 20,000원 * 25명 * 12개월</t>
  </si>
  <si>
    <t>6,000</t>
  </si>
  <si>
    <t>- 첫째자녀 : 30,000원 * 20명 * 12개월</t>
  </si>
  <si>
    <t>7,200</t>
  </si>
  <si>
    <t>- 둘째자녀 : 70,000원 * 19명 * 12개월</t>
  </si>
  <si>
    <t>15,960</t>
  </si>
  <si>
    <t>- 셋째자녀 : 110,000원 * 8명 * 12개월</t>
  </si>
  <si>
    <t>10,560</t>
  </si>
  <si>
    <t>- 자격수당(생활체육지도사) : 50,000원 * 15명 * 12개월</t>
  </si>
  <si>
    <t>9,000</t>
  </si>
  <si>
    <t>- 자격수당(생활체육지도사) :</t>
  </si>
  <si>
    <t>- 강사수당(수영강사) : 50,000원 * 15명 * 12개월</t>
  </si>
  <si>
    <t>- 강사수당(수영강사) :</t>
  </si>
  <si>
    <t>- 기타법정(보일러) : 10,000원 * 1명 * 12개월</t>
  </si>
  <si>
    <t>- 기타법정(보일러) :</t>
  </si>
  <si>
    <t>- 소방안전관리자 : 10,000원 * 7명 * 12개월</t>
  </si>
  <si>
    <t>840</t>
  </si>
  <si>
    <t>- 소방안전관리자 :</t>
  </si>
  <si>
    <t>- 통합직군(9호봉) : 19,750원 * 12시간 * 95명 * 12개월</t>
  </si>
  <si>
    <t>270,180</t>
  </si>
  <si>
    <t>19,750</t>
  </si>
  <si>
    <t>- 통합직군(9호봉) : 19,750원 * 8시간 * 95명 * 25일</t>
  </si>
  <si>
    <t>375,250</t>
  </si>
  <si>
    <t>- 통합직군(9호봉) : 6,580원 * 40시간 * 95명 * 12개월</t>
  </si>
  <si>
    <t>300,048</t>
  </si>
  <si>
    <t>6,580</t>
  </si>
  <si>
    <t>- 통합직군(9호봉) : 105,360원 * 95명 * 10일</t>
  </si>
  <si>
    <t>100,092</t>
  </si>
  <si>
    <t>105,360</t>
  </si>
  <si>
    <t>- 기본급 : 10,710원*8시간*4명*5일*8주</t>
  </si>
  <si>
    <t>- 주휴수당 : 10,710원*8시간*4명*8주</t>
  </si>
  <si>
    <t>- 연차휴가수당 : 10,710원*8시간*4명*2일</t>
  </si>
  <si>
    <t>임원</t>
  </si>
  <si>
    <t>부장</t>
  </si>
  <si>
    <t>4급이하</t>
  </si>
  <si>
    <t>호봉인상</t>
  </si>
  <si>
    <t>처우개선</t>
  </si>
  <si>
    <t>전체정원</t>
  </si>
  <si>
    <t>[수탁자산취득비]</t>
  </si>
  <si>
    <t>- 모니터 : 250,000원 * 6대</t>
  </si>
  <si>
    <t>1,500</t>
  </si>
  <si>
    <t>- 컴퓨터 : 1,300,000원*5대</t>
  </si>
  <si>
    <t>6,500</t>
  </si>
  <si>
    <t>[ 공무직 95명(통합직군) ]</t>
    <phoneticPr fontId="15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</si>
  <si>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b/>
        <sz val="10"/>
        <rFont val="굴림"/>
        <family val="3"/>
        <charset val="129"/>
      </rPr>
      <t xml:space="preserve"> 내용연수 경과 데스크톱 및 모니터 구매</t>
    </r>
    <phoneticPr fontId="15" type="noConversion"/>
  </si>
  <si>
    <t xml:space="preserve">  - 정부혁신(경영평가) 정부권장정책 구매실적 자동집계 시스템 유지보수비 : 1,330,000원 * 12개월</t>
    <phoneticPr fontId="15" type="noConversion"/>
  </si>
  <si>
    <t>- 기본급 : 10,710원*4시간*2명*5일*48주</t>
    <phoneticPr fontId="15" type="noConversion"/>
  </si>
  <si>
    <t>- 주휴수당 : 10,710원*4시간*2명*48주</t>
    <phoneticPr fontId="15" type="noConversion"/>
  </si>
  <si>
    <t>- 연차휴가수당 : 10,710원*4시간*2명*15일</t>
    <phoneticPr fontId="15" type="noConversion"/>
  </si>
  <si>
    <t xml:space="preserve">○ 공기청정기 임차료        </t>
    <phoneticPr fontId="15" type="noConversion"/>
  </si>
  <si>
    <t xml:space="preserve">  - 본부사무실 공기청정기 임차료 : 40,000원 * 1대 * 12월</t>
    <phoneticPr fontId="15" type="noConversion"/>
  </si>
  <si>
    <t xml:space="preserve">  - 이사장실, 본부장실 공기청정기 임차료 : 25,000원 * 3대 * 12월</t>
    <phoneticPr fontId="15" type="noConversion"/>
  </si>
  <si>
    <t xml:space="preserve">  - 복지포인트(일반직,기능직,공무직,환경사원) : 1,100,000원 * 450명</t>
    <phoneticPr fontId="15" type="noConversion"/>
  </si>
  <si>
    <t xml:space="preserve">  - 공무직 : 1,000,000원 * 95명</t>
    <phoneticPr fontId="15" type="noConversion"/>
  </si>
  <si>
    <t xml:space="preserve">  - 기록관리시스템 유지관리비 : 52,800,000원 * 1회</t>
    <phoneticPr fontId="15" type="noConversion"/>
  </si>
  <si>
    <t xml:space="preserve">  - (신규)개인정보접속기록관리 유지보수비 : 450,000원 * 5월</t>
    <phoneticPr fontId="15" type="noConversion"/>
  </si>
  <si>
    <t xml:space="preserve">  - (신규)개인정보접속기록관리 서버 유지보수비 : 550,000원 * 12월</t>
    <phoneticPr fontId="15" type="noConversion"/>
  </si>
  <si>
    <t xml:space="preserve">  - 전자결재 시스템 유지보수비 : 1,200,000원 * 12월</t>
    <phoneticPr fontId="15" type="noConversion"/>
  </si>
  <si>
    <t xml:space="preserve">  - 전자결재 서버 임대료 : 700,000원 * 12월</t>
    <phoneticPr fontId="15" type="noConversion"/>
  </si>
  <si>
    <t xml:space="preserve">  - 더존ERP 시스템 유지보수비 : 460,000원 * 12월</t>
    <phoneticPr fontId="15" type="noConversion"/>
  </si>
  <si>
    <t xml:space="preserve">  - 더존ERP 시스템 서버 임대료 : 380,000원 * 12월</t>
    <phoneticPr fontId="15" type="noConversion"/>
  </si>
  <si>
    <t xml:space="preserve">  - 공단 홈페이지 유지관리보수비 : 3,000,000원 * 12월</t>
    <phoneticPr fontId="15" type="noConversion"/>
  </si>
  <si>
    <t xml:space="preserve">  - 공단 홈페이지 서버 유지보수비 : 1,000,000원 * 12월</t>
    <phoneticPr fontId="15" type="noConversion"/>
  </si>
  <si>
    <t xml:space="preserve">  - 국민연금 : 5,960,301,900원 * 9.0% * 1/2 * 90%</t>
    <phoneticPr fontId="127" type="noConversion"/>
  </si>
  <si>
    <t xml:space="preserve">  - 건강보험 : 5,960,301,900원 * 7.09% * 1/2 * 90%</t>
    <phoneticPr fontId="127" type="noConversion"/>
  </si>
  <si>
    <t xml:space="preserve">  - 장기요양보험 : 211,292,702원 * 12.95% * 1/2 * 90%</t>
    <phoneticPr fontId="127" type="noConversion"/>
  </si>
  <si>
    <t xml:space="preserve">  - 고용보험(실업급여) : 5,960,301,900원 * 1.8% * 1/2 * 90%</t>
    <phoneticPr fontId="127" type="noConversion"/>
  </si>
  <si>
    <t xml:space="preserve">  - 고용보험(고안직능) : 5,960,301,900원 * 0.85% * 90%</t>
    <phoneticPr fontId="127" type="noConversion"/>
  </si>
  <si>
    <t xml:space="preserve">  - 산재보험 : 5,960,301,900원 * (31/1,000) * 90%</t>
    <phoneticPr fontId="127" type="noConversion"/>
  </si>
  <si>
    <t xml:space="preserve">  - 국민연금 : 24,572,861,250원 * 9.0% * 1/2 * 90%</t>
    <phoneticPr fontId="127" type="noConversion"/>
  </si>
  <si>
    <t xml:space="preserve">  - 건강보험 : 24,572,861,250원 * 7.09% * 1/2 * 90%</t>
    <phoneticPr fontId="127" type="noConversion"/>
  </si>
  <si>
    <t xml:space="preserve">  - 장기요양보험 : 871,107,931원 * 12.95% * 1/2 * 90%</t>
    <phoneticPr fontId="127" type="noConversion"/>
  </si>
  <si>
    <t>기간제</t>
  </si>
  <si>
    <t xml:space="preserve">  - 고용보험(실업급여) : 24,572,861,250원 * 1.8% * 1/2 * 90%</t>
    <phoneticPr fontId="127" type="noConversion"/>
  </si>
  <si>
    <t>공무직</t>
  </si>
  <si>
    <t xml:space="preserve">  - 고용보험(고안직능) : 24,572,861,250원 * 0.85% * 90%</t>
    <phoneticPr fontId="127" type="noConversion"/>
  </si>
  <si>
    <t>일반</t>
  </si>
  <si>
    <t xml:space="preserve">  - 산재보험 : 24,572,861,250원 * (31/1,000) * 90%</t>
    <phoneticPr fontId="127" type="noConversion"/>
  </si>
  <si>
    <t>환경</t>
  </si>
  <si>
    <t xml:space="preserve">    -  2025년도 출연금 : 21,200,000원*1식</t>
    <phoneticPr fontId="15" type="noConversion"/>
  </si>
  <si>
    <t xml:space="preserve">    - 2024년도 협의회비 : 21,200,000원*20%</t>
    <phoneticPr fontId="15" type="noConversion"/>
  </si>
  <si>
    <t>[ 2025년 경영평가 평가급(임원, 일반직, 기능직) ]</t>
    <phoneticPr fontId="15" type="noConversion"/>
  </si>
  <si>
    <t>[ 2025년 평가급(환경사원) ]</t>
    <phoneticPr fontId="15" type="noConversion"/>
  </si>
  <si>
    <t>=</t>
    <phoneticPr fontId="15" type="noConversion"/>
  </si>
  <si>
    <t xml:space="preserve">  ○ 700,000원(임금협약) * 274명(정원)</t>
    <phoneticPr fontId="15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</si>
  <si>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(법정, 신규)</t>
    </r>
    <r>
      <rPr>
        <b/>
        <sz val="10"/>
        <color theme="1"/>
        <rFont val="굴림"/>
        <family val="3"/>
        <charset val="129"/>
      </rPr>
      <t>특수건강진단비용</t>
    </r>
    <phoneticPr fontId="15" type="noConversion"/>
  </si>
  <si>
    <t xml:space="preserve">  - 환경미화원 폐렴구균 예방접종 : 100,000 *5명</t>
    <phoneticPr fontId="15" type="noConversion"/>
  </si>
  <si>
    <t xml:space="preserve">  - 독감 예방접종 35,000* 환경사원 273명</t>
    <phoneticPr fontId="15" type="noConversion"/>
  </si>
  <si>
    <t xml:space="preserve">  - 파상풍 예방접종 :25,000*20명(환경미화직 신입직원 20명)</t>
    <phoneticPr fontId="15" type="noConversion"/>
  </si>
  <si>
    <t xml:space="preserve">  - 일반검진비용 30,000 *미가입자 7명(2024년 현황)</t>
    <phoneticPr fontId="15" type="noConversion"/>
  </si>
  <si>
    <t xml:space="preserve">  - 임원,일반직,기능직,환경사원 : 300,000원 * 356명</t>
    <phoneticPr fontId="15" type="noConversion"/>
  </si>
  <si>
    <t xml:space="preserve">  - 신속집행 시스템 유지관리비 : 1,672,000원 * 1회</t>
    <phoneticPr fontId="15" type="noConversion"/>
  </si>
  <si>
    <t xml:space="preserve">  ○ 2024년(2023년 실적) 경영평가에 따른 평가급(2024년 다등급기준)</t>
    <phoneticPr fontId="15" type="noConversion"/>
  </si>
  <si>
    <t xml:space="preserve">     - 2024년 연봉(보수월액) * 2024년 평가급 지급률(인센티브 평가급+자체 평가급)</t>
    <phoneticPr fontId="15" type="noConversion"/>
  </si>
  <si>
    <t>○ 직원 채용 위탁수수료(상.하반기,수시) : 22,000,000원 * 3회</t>
    <phoneticPr fontId="15" type="noConversion"/>
  </si>
  <si>
    <t xml:space="preserve">  - 법인등기부등본 변경 등 업무수수료 : 300,000원 * 4회</t>
    <phoneticPr fontId="15" type="noConversion"/>
  </si>
  <si>
    <t xml:space="preserve">  - 고속도로 통행료, 주차료 및 차고료 : 100,000원 * 6월</t>
    <phoneticPr fontId="15" type="noConversion"/>
  </si>
  <si>
    <t xml:space="preserve">  - 무인방범 근태관리시스템 수수료 : 88,000원 * 12월</t>
    <phoneticPr fontId="15" type="noConversion"/>
  </si>
  <si>
    <t xml:space="preserve">  - 노무관련 사건 수임료 : 3,300,000원 * 3회</t>
    <phoneticPr fontId="15" type="noConversion"/>
  </si>
  <si>
    <t xml:space="preserve">  - 변호사 사건 수임료 : 5,500,000원 * 3회</t>
    <phoneticPr fontId="15" type="noConversion"/>
  </si>
  <si>
    <t>○ 청년인턴 급여 (4명, 2개월)</t>
    <phoneticPr fontId="15" type="noConversion"/>
  </si>
  <si>
    <t>※ 인건비 산출 방법 : 기본급(현원 평균호봉+1) + 인상분 3.9%(일반직, 기능직, 공무직)</t>
    <phoneticPr fontId="15" type="noConversion"/>
  </si>
  <si>
    <t xml:space="preserve">  - 일반 채용 신체검사 : 40,000원 * 48명</t>
    <phoneticPr fontId="15" type="noConversion"/>
  </si>
  <si>
    <t xml:space="preserve">  - 환경미화원 채용 신체검사 : 45,000원 * 4명</t>
    <phoneticPr fontId="15" type="noConversion"/>
  </si>
  <si>
    <t>=</t>
    <phoneticPr fontId="15" type="noConversion"/>
  </si>
  <si>
    <t>○ 안전보건관련 정기교육, 전문화교육 강사료 : 400,000*4회</t>
    <phoneticPr fontId="15" type="noConversion"/>
  </si>
  <si>
    <t xml:space="preserve">  - 주차장 야간작업자 :45,000 *35명</t>
    <phoneticPr fontId="15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</si>
  <si>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>공상치료비 : 500,000원 * 12개월</t>
    </r>
    <phoneticPr fontId="15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</si>
  <si>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>건강관리실 기구 및 약품 구입비 : 500,000원 * 1회</t>
    </r>
    <phoneticPr fontId="15" type="noConversion"/>
  </si>
  <si>
    <t xml:space="preserve">  - 경영정보시스템(인사 재정 등) 유지관리비 : 550,000원 * 12월</t>
    <phoneticPr fontId="15" type="noConversion"/>
  </si>
  <si>
    <t>2025년도</t>
    <phoneticPr fontId="15" type="noConversion"/>
  </si>
  <si>
    <t>3. 2025년 예산 총괄표  ………………………………………………………………</t>
    <phoneticPr fontId="15" type="noConversion"/>
  </si>
  <si>
    <t>다. 지출예산(세부사업) - 교통휴양시설부(공영주차장,돌산공원주차장,봉황산자연휴양림)</t>
    <phoneticPr fontId="15" type="noConversion"/>
  </si>
  <si>
    <t xml:space="preserve"> ○ 기간제근로자(8시간)</t>
    <phoneticPr fontId="15" type="noConversion"/>
  </si>
  <si>
    <t xml:space="preserve"> ○ 단시간 기간제근로자(6시간)</t>
    <phoneticPr fontId="15" type="noConversion"/>
  </si>
  <si>
    <t xml:space="preserve"> ○ 초단시간 기간제근로자(주말)</t>
    <phoneticPr fontId="15" type="noConversion"/>
  </si>
  <si>
    <t>○ 공영주차장 홍보 현수막 제작: 90,000원*4회*35개소</t>
    <phoneticPr fontId="15" type="noConversion"/>
  </si>
  <si>
    <t>○ A4용지 구입: 30,000원*5박스*4개소*5회</t>
    <phoneticPr fontId="15" type="noConversion"/>
  </si>
  <si>
    <t>○ 종량제봉투 구입: 1,800원*35개소*20일*12월</t>
    <phoneticPr fontId="15" type="noConversion"/>
  </si>
  <si>
    <t>○ 청소용품 구입: 200,000원*35개소*2회</t>
    <phoneticPr fontId="15" type="noConversion"/>
  </si>
  <si>
    <t>○ 생수 구입: 11,000원*5박스*4개소*12월</t>
    <phoneticPr fontId="15" type="noConversion"/>
  </si>
  <si>
    <t xml:space="preserve"> ○ (신규)전기차용 리튬 소화기 구입: 800,000*30개소*3식</t>
    <phoneticPr fontId="105" type="noConversion"/>
  </si>
  <si>
    <t>○ 범용S/W 구입: 130,000원*8식(알약, 한글, 오피스)</t>
    <phoneticPr fontId="15" type="noConversion"/>
  </si>
  <si>
    <t xml:space="preserve">  - 오동도, 서교동, 학동선소상가(1,3), 여문, 여문공원, 진남상가, 향일암, 수산시장(3) : 360,000원*9개소*12월</t>
    <phoneticPr fontId="15" type="noConversion"/>
  </si>
  <si>
    <t xml:space="preserve">   -  오동도 주차타워: 500,000원*12월</t>
    <phoneticPr fontId="15" type="noConversion"/>
  </si>
  <si>
    <t xml:space="preserve">   -  여문공원 공영주차장: 190,000원*12월</t>
    <phoneticPr fontId="15" type="noConversion"/>
  </si>
  <si>
    <t xml:space="preserve">   - 학동선소상가(1) 공영주차장: 190,000원*12월</t>
    <phoneticPr fontId="15" type="noConversion"/>
  </si>
  <si>
    <t xml:space="preserve">   - 학동선소상가(3) 공영주차장: 190,000원*12월</t>
    <phoneticPr fontId="15" type="noConversion"/>
  </si>
  <si>
    <t xml:space="preserve"> ○ 여문공원 전기차 충전소 유지관리용역: 370,000원*12월</t>
    <phoneticPr fontId="15" type="noConversion"/>
  </si>
  <si>
    <t xml:space="preserve">  - 오동도 주차타워 : 900,000원*2대*12월</t>
    <phoneticPr fontId="15" type="noConversion"/>
  </si>
  <si>
    <t xml:space="preserve">  - 진남상가, 서교동, 학동선소상가(1,3), 수산시장(3) : 290,000원*5대*12월</t>
    <phoneticPr fontId="15" type="noConversion"/>
  </si>
  <si>
    <t xml:space="preserve"> ○ 신규수탁 주차장 용역 (소방,전기,승강기등)</t>
    <phoneticPr fontId="15" type="noConversion"/>
  </si>
  <si>
    <t xml:space="preserve">  : 6,000,000원*2식(화장동,신기동)</t>
    <phoneticPr fontId="15" type="noConversion"/>
  </si>
  <si>
    <t xml:space="preserve"> ○ 공영주차장 어르신 사회활동 지원사업 활동비</t>
    <phoneticPr fontId="15" type="noConversion"/>
  </si>
  <si>
    <t xml:space="preserve">   - 90,100원*107명*12월</t>
    <phoneticPr fontId="15" type="noConversion"/>
  </si>
  <si>
    <t xml:space="preserve"> ○ 공영주차장 환경정비(풀베기 및 전정작업) 용역 :15,000,000원*1식</t>
    <phoneticPr fontId="15" type="noConversion"/>
  </si>
  <si>
    <t xml:space="preserve"> ○ 주차요금 신용카드 수수료 : 6,000,000원*12월</t>
    <phoneticPr fontId="15" type="noConversion"/>
  </si>
  <si>
    <t xml:space="preserve"> ○ 보안프로그램 사용료 : 90,000원*12월</t>
    <phoneticPr fontId="105" type="noConversion"/>
  </si>
  <si>
    <t xml:space="preserve"> ○ 시스템경비 사용료 : 60,000원*4개소*12월</t>
    <phoneticPr fontId="105" type="noConversion"/>
  </si>
  <si>
    <t xml:space="preserve"> ○ 노외주차장 지문인식기 사용료 : 90,000원*3개소*4회</t>
    <phoneticPr fontId="105" type="noConversion"/>
  </si>
  <si>
    <t xml:space="preserve"> ○ 노상주차장 지문인식기 사용료 : 200,000원*4회</t>
    <phoneticPr fontId="15" type="noConversion"/>
  </si>
  <si>
    <t xml:space="preserve"> ○ 주차관리업무 차량 임차료</t>
    <phoneticPr fontId="15" type="noConversion"/>
  </si>
  <si>
    <t xml:space="preserve"> - 공영주차장 사무실 차량임차(전기차) : 1,000,000원*1대*12월</t>
    <phoneticPr fontId="105" type="noConversion"/>
  </si>
  <si>
    <t xml:space="preserve"> - 서교동 주차관제센터 차량임차(전기차) : 1,000,000원*1대*12월</t>
    <phoneticPr fontId="105" type="noConversion"/>
  </si>
  <si>
    <t xml:space="preserve"> - 학동 주차관제센터 차량임차(전기차) : 1,000,000원*1대*12월</t>
    <phoneticPr fontId="105" type="noConversion"/>
  </si>
  <si>
    <t xml:space="preserve"> ○ 복합기 및 냉난방기 임차료</t>
    <phoneticPr fontId="15" type="noConversion"/>
  </si>
  <si>
    <t xml:space="preserve"> - 공영주차장 사무실 컬러복합기 : 700,000원*1대*4회</t>
    <phoneticPr fontId="105" type="noConversion"/>
  </si>
  <si>
    <t xml:space="preserve"> - 복합기(학동1, 서교동) : 30,000원*2대*12월</t>
    <phoneticPr fontId="15" type="noConversion"/>
  </si>
  <si>
    <t xml:space="preserve"> - 냉난방기(학동1(2대), 학동3, 여문공원, 중앙로) : 50,000원*5대*12월</t>
    <phoneticPr fontId="15" type="noConversion"/>
  </si>
  <si>
    <t xml:space="preserve"> ○ 정수기 및 비데 임차료</t>
    <phoneticPr fontId="15" type="noConversion"/>
  </si>
  <si>
    <t xml:space="preserve">  - 정수기(학동1,여문,선원동, 흥국체육관,이순신광장,수산시장1,서교동,오동도) : 20,000원*8대*12월</t>
    <phoneticPr fontId="15" type="noConversion"/>
  </si>
  <si>
    <t xml:space="preserve">  - 비데(서교동) : 7,000원*1대*12월</t>
    <phoneticPr fontId="15" type="noConversion"/>
  </si>
  <si>
    <t xml:space="preserve"> ○ 승강기 공기살균기 임차료: 30,000원*7개*12월</t>
    <phoneticPr fontId="15" type="noConversion"/>
  </si>
  <si>
    <t xml:space="preserve"> ○ 공기청정기 임차료 : 30,000원*6개소*12월</t>
    <phoneticPr fontId="105" type="noConversion"/>
  </si>
  <si>
    <t xml:space="preserve"> ○ 신규수탁 주차장 임차료 (냉난방기,정수기,비데등) 
: 1,500,000원*2식(화장동,신기동)</t>
    <phoneticPr fontId="15" type="noConversion"/>
  </si>
  <si>
    <t xml:space="preserve"> - 춘추복 : 150,000원*55명*2회</t>
    <phoneticPr fontId="105" type="noConversion"/>
  </si>
  <si>
    <t xml:space="preserve"> - 동복 : 300,000원*55명*1회</t>
    <phoneticPr fontId="105" type="noConversion"/>
  </si>
  <si>
    <t xml:space="preserve"> ○ 안전용품(자외선 차단용품 등) 구입비 : 20,000원*55명</t>
    <phoneticPr fontId="105" type="noConversion"/>
  </si>
  <si>
    <t xml:space="preserve"> ○ 야간급량비 : 9,000원 *5명*10일*12월</t>
    <phoneticPr fontId="15" type="noConversion"/>
  </si>
  <si>
    <t>○ 전기요금(보안등 포함) : 600,000원*35개소*12월</t>
    <phoneticPr fontId="15" type="noConversion"/>
  </si>
  <si>
    <t>○ 통신요금 : 300,000원*20개소*12월</t>
    <phoneticPr fontId="15" type="noConversion"/>
  </si>
  <si>
    <t>○ 무전기 통신요금 : 100,000원*12월</t>
    <phoneticPr fontId="15" type="noConversion"/>
  </si>
  <si>
    <t>○ 상하수도요금 : 200,000원*15개소*12월</t>
    <phoneticPr fontId="15" type="noConversion"/>
  </si>
  <si>
    <t xml:space="preserve"> ○ 신규수탁 주차장 공공요금 (전기,통신,상하수도등) 
: 1,000,000원*3식(화장동,신기동,웅천해변공원)*12월</t>
    <phoneticPr fontId="15" type="noConversion"/>
  </si>
  <si>
    <t xml:space="preserve"> ○ 주차관리업무 차량(전기차) 충전요금 : 100,000원*3대*12월</t>
    <phoneticPr fontId="15" type="noConversion"/>
  </si>
  <si>
    <t xml:space="preserve"> ○ 관내 출장여비 : 20,000원*5명*10회*12월</t>
    <phoneticPr fontId="15" type="noConversion"/>
  </si>
  <si>
    <t xml:space="preserve"> ○ 관외 출장여비(벤치마킹) : 110,000원*5명*2일*4회</t>
    <phoneticPr fontId="15" type="noConversion"/>
  </si>
  <si>
    <t>02 전산개발비</t>
    <phoneticPr fontId="15" type="noConversion"/>
  </si>
  <si>
    <t>02 부서업무비</t>
    <phoneticPr fontId="105" type="noConversion"/>
  </si>
  <si>
    <t>○ 부서업무비(부서운영 업무 추진을 위한 제경비, 55인 기준)</t>
  </si>
  <si>
    <t>01 배상금등</t>
    <phoneticPr fontId="105" type="noConversion"/>
  </si>
  <si>
    <t xml:space="preserve"> ○ 공영주차장 차량사고보상 : 200,000원*35개소*1건</t>
    <phoneticPr fontId="15" type="noConversion"/>
  </si>
  <si>
    <t xml:space="preserve"> ○ 기간제근로자(4명)</t>
    <phoneticPr fontId="15" type="noConversion"/>
  </si>
  <si>
    <t xml:space="preserve"> ○ 지문인식기 사용료 : 90,000원*4회</t>
    <phoneticPr fontId="105" type="noConversion"/>
  </si>
  <si>
    <t xml:space="preserve"> - 춘추복 : 150,000원*4명*2회</t>
    <phoneticPr fontId="105" type="noConversion"/>
  </si>
  <si>
    <t xml:space="preserve"> - 동복 : 300,000원*4명*1회</t>
    <phoneticPr fontId="105" type="noConversion"/>
  </si>
  <si>
    <t xml:space="preserve"> ○ 전기요금 : 600,000원*12월</t>
    <phoneticPr fontId="15" type="noConversion"/>
  </si>
  <si>
    <t xml:space="preserve"> ○ 부서업무비(부서운영 업무 추진을 위한 제경비, 4인 기준)</t>
    <phoneticPr fontId="15" type="noConversion"/>
  </si>
  <si>
    <t xml:space="preserve">    -  부서운영 업무추진비 : 100,000원*12월</t>
    <phoneticPr fontId="15" type="noConversion"/>
  </si>
  <si>
    <t xml:space="preserve"> ○ 공영주차장 차량사고보상 : 1,000,000원*1개소</t>
    <phoneticPr fontId="15" type="noConversion"/>
  </si>
  <si>
    <t xml:space="preserve"> ○ 소규모시설 및 주차장 관제시스템 등 유지보수비 : 10,000,000원*1식</t>
    <phoneticPr fontId="15" type="noConversion"/>
  </si>
  <si>
    <t>04 기간제근로자 보수</t>
  </si>
  <si>
    <t xml:space="preserve"> ○ 청소원</t>
  </si>
  <si>
    <t xml:space="preserve"> ○ 성수기 대비 근로자 인부임</t>
  </si>
  <si>
    <t>○ 홍보물 제작 : 2,000원*3,000매</t>
  </si>
  <si>
    <t>○ 종량제봉투 구입 : 1,800원*2,200매</t>
    <phoneticPr fontId="105" type="noConversion"/>
  </si>
  <si>
    <t>○ 객실 침구류 구입 : 100,000원*1회*30인</t>
  </si>
  <si>
    <t>○ 사무용품 구입 : 200,000원*6개월</t>
  </si>
  <si>
    <t>○ 보안프로그램 임대(알약) : 26,000원*2대</t>
    <phoneticPr fontId="105" type="noConversion"/>
  </si>
  <si>
    <t xml:space="preserve"> ○ 시설관리용품(세탁실, 청소, 객실비품, 위생용품등) 구입 : 3,000,000원*4회</t>
    <phoneticPr fontId="105" type="noConversion"/>
  </si>
  <si>
    <t>○ 신용카드 결제수수료 : 600,000원*12월</t>
  </si>
  <si>
    <t>○ 방역(방제), 물탱크 청소 용역 : 450,000원*12월</t>
  </si>
  <si>
    <t>○ 전기설비 안전관리 대행수수료 : 350,000원*12월</t>
  </si>
  <si>
    <t xml:space="preserve"> ○ 오수처리시설 위탁관리 대행수수료 : 600,000원*12월</t>
  </si>
  <si>
    <t xml:space="preserve"> ○ 시설관리업무 차량 임차(전기차) : 460,000원*12월*1대</t>
  </si>
  <si>
    <t xml:space="preserve"> ○ 시설관리업무 차량 임차(전기차) : 470,000원*12월*1대</t>
  </si>
  <si>
    <t xml:space="preserve"> ○ 사무실 복합기 대여료 : 180,000원*12월</t>
  </si>
  <si>
    <t xml:space="preserve"> ○ (신규)정수기(휴양관) 월 임차료 : 35,000원*12월</t>
  </si>
  <si>
    <t xml:space="preserve"> ○ (신규)정수기(세탁실) 월 임차료 : 35,000원*12월</t>
  </si>
  <si>
    <t xml:space="preserve"> ○ 정수기(관리사무실) 월 임차료 : 35,000원*12월</t>
  </si>
  <si>
    <t xml:space="preserve">  ○ 급량비 : 9,000원*10일*12월</t>
  </si>
  <si>
    <t xml:space="preserve">  ○ 피복구입비</t>
    <phoneticPr fontId="105" type="noConversion"/>
  </si>
  <si>
    <t>○ 통신요금 : 600,000원*12월</t>
  </si>
  <si>
    <t>○ TV수신료 : 75,000원(30대)*12월</t>
    <phoneticPr fontId="105" type="noConversion"/>
  </si>
  <si>
    <t xml:space="preserve"> ○ 주차관리업무 차량(전기차) 충전요금 : 140,000원(2대)*12월</t>
    <phoneticPr fontId="105" type="noConversion"/>
  </si>
  <si>
    <t xml:space="preserve"> ○ 업무추진 관내여비 : 20,000원*1명*10회*12월</t>
  </si>
  <si>
    <t xml:space="preserve"> ○ 국내여비(관외) : 85,000원*2명*1회</t>
  </si>
  <si>
    <t xml:space="preserve"> ○ 부서운영 업무추진비 : 250,000원*12월</t>
  </si>
  <si>
    <t>야영장 수탁 대행사업</t>
    <phoneticPr fontId="15" type="noConversion"/>
  </si>
  <si>
    <r>
      <t>굴전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금오도 야영장 운영</t>
    </r>
    <phoneticPr fontId="15" type="noConversion"/>
  </si>
  <si>
    <t xml:space="preserve"> ○ 시설관리원(굴전)</t>
    <phoneticPr fontId="56" type="noConversion"/>
  </si>
  <si>
    <t xml:space="preserve"> ○ 시설관리원(금오도)</t>
    <phoneticPr fontId="56" type="noConversion"/>
  </si>
  <si>
    <t>○ 소규모 전자제품 등 구입 : 400,000원*4회</t>
    <phoneticPr fontId="15" type="noConversion"/>
  </si>
  <si>
    <t>○ 보안프로그램 임대료(알약) : 22,000원*2대</t>
    <phoneticPr fontId="15" type="noConversion"/>
  </si>
  <si>
    <t>○ 시설관리용품, 청소용품 구입: 300,000원*6회</t>
    <phoneticPr fontId="15" type="noConversion"/>
  </si>
  <si>
    <t>○ 객실비품 및 위생용품 구입: 300,000원*6회</t>
    <phoneticPr fontId="15" type="noConversion"/>
  </si>
  <si>
    <r>
      <t>○</t>
    </r>
    <r>
      <rPr>
        <b/>
        <sz val="1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소프트웨어(한글, ms오피스)구입비 : 670,000원*1식</t>
    </r>
    <phoneticPr fontId="15" type="noConversion"/>
  </si>
  <si>
    <t xml:space="preserve"> ○ 야영장 관리 업무 차량 임차료 : 800,000원*12월</t>
    <phoneticPr fontId="15" type="noConversion"/>
  </si>
  <si>
    <t xml:space="preserve"> ○ 정수기 월 임차료 : 35,000원*12월*2대(굴전 1, 금오도 1)</t>
    <phoneticPr fontId="15" type="noConversion"/>
  </si>
  <si>
    <t xml:space="preserve">  ○ 피복구입비</t>
    <phoneticPr fontId="56" type="noConversion"/>
  </si>
  <si>
    <t xml:space="preserve"> - 춘추복 : 150,000원*10명*2회</t>
    <phoneticPr fontId="105" type="noConversion"/>
  </si>
  <si>
    <t xml:space="preserve"> - 동복 : 300,000원*10명*1회</t>
    <phoneticPr fontId="105" type="noConversion"/>
  </si>
  <si>
    <t xml:space="preserve">  ○ 상수도 요금 : 800,000원*12월</t>
    <phoneticPr fontId="15" type="noConversion"/>
  </si>
  <si>
    <t>○ 통신요금 : 300,000원*12월</t>
    <phoneticPr fontId="15" type="noConversion"/>
  </si>
  <si>
    <t>○ TV수신료 : 3,000원 *13대 *12월</t>
    <phoneticPr fontId="15" type="noConversion"/>
  </si>
  <si>
    <t>○ 문자메시지 요금 : 30,000원*12월</t>
    <phoneticPr fontId="15" type="noConversion"/>
  </si>
  <si>
    <t xml:space="preserve"> ○ 업무용 차량(전기차) 충전요금 : 120,000원*1대*12월</t>
    <phoneticPr fontId="15" type="noConversion"/>
  </si>
  <si>
    <t xml:space="preserve"> ○ (굴전) 업무추진 관내여비 : 20,000원*1명*10회*12월</t>
    <phoneticPr fontId="56" type="noConversion"/>
  </si>
  <si>
    <t xml:space="preserve"> ○ (금오도) 업무추진 관내여비 : 85,000원*1명*4회*12월</t>
    <phoneticPr fontId="56" type="noConversion"/>
  </si>
  <si>
    <t xml:space="preserve"> ○ 부서운영 업무추진비 : 200,000원 * 12월</t>
    <phoneticPr fontId="15" type="noConversion"/>
  </si>
  <si>
    <t>굴전∙금오도 야영장  시설 유지보수</t>
    <phoneticPr fontId="15" type="noConversion"/>
  </si>
  <si>
    <t xml:space="preserve"> ○ 야영장 노후시설물 유지보수비</t>
    <phoneticPr fontId="15" type="noConversion"/>
  </si>
  <si>
    <t xml:space="preserve">   - 예약 시스템 유지보수비 : 700,000원*1식</t>
    <phoneticPr fontId="105" type="noConversion"/>
  </si>
  <si>
    <t xml:space="preserve"> ○ (신규)질식소화포 등 전기차 초기화재진압장비 구입
 : 4,000,000원*30개소*1식</t>
    <phoneticPr fontId="105" type="noConversion"/>
  </si>
  <si>
    <t xml:space="preserve"> ○ 관제시스템 및 소방,전기 예비부품 구입비 : 30,000,000원 *1식</t>
    <phoneticPr fontId="15" type="noConversion"/>
  </si>
  <si>
    <t xml:space="preserve"> ○ (신규)위험물보관함 : 750,000원*1대</t>
  </si>
  <si>
    <t xml:space="preserve"> ○ (신규)테라스 테이블 : 500,000원*2대</t>
  </si>
  <si>
    <t>굴전∙금오도 야영장 자산비품 구입(공기구비품)</t>
    <phoneticPr fontId="15" type="noConversion"/>
  </si>
  <si>
    <t xml:space="preserve"> ○ (굴전) 야영장 운영에 필요한 가전, 가구, 공기구 등 구입비 8,000,000원*1식</t>
    <phoneticPr fontId="15" type="noConversion"/>
  </si>
  <si>
    <t xml:space="preserve"> ○ (금오도) 야영장 운영에 필요한 가전, 가구, 공기구 등 구입비 7,000,000원*1식</t>
    <phoneticPr fontId="15" type="noConversion"/>
  </si>
  <si>
    <t>다. 지출예산(세부사업) - 도시미화부 생활폐기물</t>
    <phoneticPr fontId="105" type="noConversion"/>
  </si>
  <si>
    <t>총 인상률</t>
    <phoneticPr fontId="15" type="noConversion"/>
  </si>
  <si>
    <t>호봉인상률</t>
    <phoneticPr fontId="15" type="noConversion"/>
  </si>
  <si>
    <t>총인건비 인상률</t>
    <phoneticPr fontId="15" type="noConversion"/>
  </si>
  <si>
    <t xml:space="preserve"> 03 무기계약근로자보수</t>
    <phoneticPr fontId="15" type="noConversion"/>
  </si>
  <si>
    <t xml:space="preserve"> [반장]</t>
    <phoneticPr fontId="15" type="noConversion"/>
  </si>
  <si>
    <t>↓↓ 산출식 ↓↓</t>
    <phoneticPr fontId="15" type="noConversion"/>
  </si>
  <si>
    <t xml:space="preserve"> ○ 기본급</t>
    <phoneticPr fontId="15" type="noConversion"/>
  </si>
  <si>
    <t>2023년기준 단가</t>
    <phoneticPr fontId="15" type="noConversion"/>
  </si>
  <si>
    <t>인상률 적용 단가 ↓↓</t>
    <phoneticPr fontId="15" type="noConversion"/>
  </si>
  <si>
    <t xml:space="preserve">  - 별정 7급(31호봉) : 4,382,400원×1명×12월</t>
    <phoneticPr fontId="15" type="noConversion"/>
  </si>
  <si>
    <t xml:space="preserve">  - 별정 7급(25호봉) : 4,148,520원×1명×12월</t>
    <phoneticPr fontId="15" type="noConversion"/>
  </si>
  <si>
    <t xml:space="preserve"> ○ 장려수당 : 70,000원×2명×12월</t>
    <phoneticPr fontId="15" type="noConversion"/>
  </si>
  <si>
    <t xml:space="preserve"> ○ 정액급식비 : 180,000원×2명×12월</t>
    <phoneticPr fontId="15" type="noConversion"/>
  </si>
  <si>
    <t xml:space="preserve"> ○ 상여금 : 정근수당</t>
    <phoneticPr fontId="15" type="noConversion"/>
  </si>
  <si>
    <t xml:space="preserve">  - 별정 7급(31호봉) : 4,632,400원×100%×1명 (50%씩 1, 7월 지급)</t>
    <phoneticPr fontId="15" type="noConversion"/>
  </si>
  <si>
    <t xml:space="preserve">  - 별정 7급(25호봉) : 4,398,520원×100%×1명 (50%씩 1, 7월 지급)</t>
    <phoneticPr fontId="15" type="noConversion"/>
  </si>
  <si>
    <t xml:space="preserve"> ○ 가족수당</t>
    <phoneticPr fontId="15" type="noConversion"/>
  </si>
  <si>
    <t xml:space="preserve">  -  배우자 : 40,000원×2명×12월</t>
    <phoneticPr fontId="15" type="noConversion"/>
  </si>
  <si>
    <t xml:space="preserve">  -  직계존속 : 20,000원×1명×12월</t>
    <phoneticPr fontId="15" type="noConversion"/>
  </si>
  <si>
    <t xml:space="preserve">  -  둘째 : 70,000원×1명×12월</t>
    <phoneticPr fontId="15" type="noConversion"/>
  </si>
  <si>
    <t xml:space="preserve"> ○ 정근수당 가산금 : 25년 이상 130,000원×2명×12월</t>
    <phoneticPr fontId="15" type="noConversion"/>
  </si>
  <si>
    <t xml:space="preserve"> ○ 직급보조비 : 별정 7급 180,000원×2명×12월</t>
    <phoneticPr fontId="15" type="noConversion"/>
  </si>
  <si>
    <t xml:space="preserve"> ○ 초과근무수당</t>
    <phoneticPr fontId="15" type="noConversion"/>
  </si>
  <si>
    <t xml:space="preserve">  - 시간외근무수당 : 25,400원×150%×4시간×2명×12월</t>
    <phoneticPr fontId="15" type="noConversion"/>
  </si>
  <si>
    <t xml:space="preserve">  - 휴일근무수당 : 25,400원×150%×8시간×2명×67일</t>
    <phoneticPr fontId="15" type="noConversion"/>
  </si>
  <si>
    <t xml:space="preserve">  - 야간근무수당 : 25,400원×50%×1시간×2명×299일</t>
    <phoneticPr fontId="15" type="noConversion"/>
  </si>
  <si>
    <t xml:space="preserve"> ○ 미사용 연차수당 : 203,200원×2명×18일</t>
    <phoneticPr fontId="15" type="noConversion"/>
  </si>
  <si>
    <t xml:space="preserve"> ○ 명절휴가비</t>
    <phoneticPr fontId="15" type="noConversion"/>
  </si>
  <si>
    <t xml:space="preserve">  - 별정 7급(31호봉) : 4,382,400원×120%×1명 (60%씩 설, 추석 지급)</t>
    <phoneticPr fontId="15" type="noConversion"/>
  </si>
  <si>
    <t xml:space="preserve">  - 별정 7급(25호봉) : 4,148,520원×120%×1명 (60%씩 설, 추석 지급)</t>
    <phoneticPr fontId="15" type="noConversion"/>
  </si>
  <si>
    <t xml:space="preserve"> [환경사원] 13호봉 기준(평균)</t>
    <phoneticPr fontId="15" type="noConversion"/>
  </si>
  <si>
    <t>2023년기준 단가</t>
  </si>
  <si>
    <t>인상률 적용 단가 ↓↓</t>
  </si>
  <si>
    <t xml:space="preserve"> ○ 기본급 : 13호봉(평균) 2,110,030원×271명×12월</t>
    <phoneticPr fontId="15" type="noConversion"/>
  </si>
  <si>
    <t xml:space="preserve"> ○ 특수업무수당 : 90,000원×271명×12월</t>
  </si>
  <si>
    <t xml:space="preserve"> ○ 작업장려수당 : 70,000원×271명×12월</t>
  </si>
  <si>
    <t xml:space="preserve"> ○ 정액급식비 : 180,000원×271명×12월</t>
  </si>
  <si>
    <t xml:space="preserve"> ○ 상여금</t>
    <phoneticPr fontId="15" type="noConversion"/>
  </si>
  <si>
    <t xml:space="preserve">  - 기말수당 : 2,450,030원×200%×271명</t>
  </si>
  <si>
    <t xml:space="preserve">  - 체력단련비 : 2,450,030원×250%×271명</t>
  </si>
  <si>
    <t xml:space="preserve">  - 정근수당 : 2,450,030원×100%×271명</t>
  </si>
  <si>
    <t xml:space="preserve">  - 배우자 : 40,000원×193명×12월</t>
    <phoneticPr fontId="15" type="noConversion"/>
  </si>
  <si>
    <r>
      <t xml:space="preserve">  - 직계존비속 : 20,000원×100명</t>
    </r>
    <r>
      <rPr>
        <b/>
        <sz val="10"/>
        <rFont val="굴림"/>
        <family val="3"/>
        <charset val="129"/>
      </rPr>
      <t>×</t>
    </r>
    <r>
      <rPr>
        <sz val="10"/>
        <rFont val="굴림"/>
        <family val="3"/>
        <charset val="129"/>
      </rPr>
      <t>12월</t>
    </r>
    <phoneticPr fontId="15" type="noConversion"/>
  </si>
  <si>
    <t xml:space="preserve">  - 첫째 : 30,000원×99명×12월</t>
    <phoneticPr fontId="15" type="noConversion"/>
  </si>
  <si>
    <t xml:space="preserve">  - 둘째 : 70,000원×87명×12월</t>
    <phoneticPr fontId="15" type="noConversion"/>
  </si>
  <si>
    <t xml:space="preserve">  - 셋째 이상 : 110,000원×36명×12월</t>
    <phoneticPr fontId="15" type="noConversion"/>
  </si>
  <si>
    <t xml:space="preserve"> ○ 정근수당가산금</t>
    <phoneticPr fontId="15" type="noConversion"/>
  </si>
  <si>
    <t xml:space="preserve">  - 5년 이상 10년 미만 : 40,000원×91명×12월</t>
    <phoneticPr fontId="15" type="noConversion"/>
  </si>
  <si>
    <t>48명 미해당</t>
    <phoneticPr fontId="15" type="noConversion"/>
  </si>
  <si>
    <t xml:space="preserve">  - 10년 이상 15년 미만 : 48,000원×133명×12월</t>
    <phoneticPr fontId="15" type="noConversion"/>
  </si>
  <si>
    <t xml:space="preserve">  - 시간외근무수당 : 17,800원×150%×4시간×50명×12월</t>
    <phoneticPr fontId="15" type="noConversion"/>
  </si>
  <si>
    <t xml:space="preserve">  - 휴일근무수당 : 17,800원×150%×8시간×271명×67일</t>
    <phoneticPr fontId="15" type="noConversion"/>
  </si>
  <si>
    <t xml:space="preserve">  - 야간근무수당 : 17,800원×50%×1시간×271명×299일</t>
    <phoneticPr fontId="15" type="noConversion"/>
  </si>
  <si>
    <t xml:space="preserve"> ○ 미사용 연차수당 : 142,400원×271명×18일</t>
    <phoneticPr fontId="15" type="noConversion"/>
  </si>
  <si>
    <t xml:space="preserve"> ○ 명절휴가비 : 2,450,030원×271명×120% (60%씩 설, 추석 지급)</t>
    <phoneticPr fontId="15" type="noConversion"/>
  </si>
  <si>
    <t xml:space="preserve"> ○ 탑승수당 : 월 16일 이상 차량탑승자 10,000원×210명×12월</t>
    <phoneticPr fontId="15" type="noConversion"/>
  </si>
  <si>
    <t xml:space="preserve"> ○ 조장수당 : 차량반, 가로청소반 조장 100,000원×11명×12월</t>
    <phoneticPr fontId="15" type="noConversion"/>
  </si>
  <si>
    <t xml:space="preserve"> ○ 운전수당 : 청소차 운전원 40,000원×52명×12월</t>
    <phoneticPr fontId="15" type="noConversion"/>
  </si>
  <si>
    <t xml:space="preserve"> 04 기간제근로자등보수</t>
    <phoneticPr fontId="15" type="noConversion"/>
  </si>
  <si>
    <t xml:space="preserve"> [당직전담원]</t>
    <phoneticPr fontId="15" type="noConversion"/>
  </si>
  <si>
    <t xml:space="preserve"> ○ 일당 : 174,380원×2명×16일×12월</t>
    <phoneticPr fontId="15" type="noConversion"/>
  </si>
  <si>
    <t xml:space="preserve"> ○ 미사용 연차수당 : 174,380원×2명×15일</t>
    <phoneticPr fontId="15" type="noConversion"/>
  </si>
  <si>
    <t xml:space="preserve">  - 대비 : 4,000원×200개×6회</t>
    <phoneticPr fontId="15" type="noConversion"/>
  </si>
  <si>
    <t xml:space="preserve">  - 야자빗자루 : 6,500원×80개×6회</t>
    <phoneticPr fontId="15" type="noConversion"/>
  </si>
  <si>
    <t xml:space="preserve">  - 쓰레받이 : 8,000원×70개×6회</t>
    <phoneticPr fontId="105" type="noConversion"/>
  </si>
  <si>
    <r>
      <t xml:space="preserve">  - 마대(대): 600</t>
    </r>
    <r>
      <rPr>
        <sz val="10"/>
        <color theme="1"/>
        <rFont val="굴림"/>
        <family val="3"/>
        <charset val="129"/>
      </rPr>
      <t>원×1000장x3회</t>
    </r>
    <phoneticPr fontId="15" type="noConversion"/>
  </si>
  <si>
    <t xml:space="preserve">  - 음식물 수거용기(60ℓ) : 33,000원×10개×1회</t>
    <phoneticPr fontId="15" type="noConversion"/>
  </si>
  <si>
    <t xml:space="preserve">  - 음식물 수거용기(120ℓ) : 50,000원×50개×2회</t>
    <phoneticPr fontId="15" type="noConversion"/>
  </si>
  <si>
    <t xml:space="preserve">  - 음식물 수거용기 바퀴교체 : 10,000원×50개×2개×2회</t>
    <phoneticPr fontId="15" type="noConversion"/>
  </si>
  <si>
    <t xml:space="preserve"> ○ 사무용품 등 구입비</t>
    <phoneticPr fontId="15" type="noConversion"/>
  </si>
  <si>
    <t xml:space="preserve">  - PC 유지보수 및 소모품 구입 : 80,000원×5대×1회</t>
    <phoneticPr fontId="15" type="noConversion"/>
  </si>
  <si>
    <t xml:space="preserve">  - 각종 서식 인쇄 및 제작(차량운행일지 등) : 700,000원×4회</t>
    <phoneticPr fontId="15" type="noConversion"/>
  </si>
  <si>
    <t xml:space="preserve"> ○ 현수막 제작비 : 80,000원×4회</t>
    <phoneticPr fontId="15" type="noConversion"/>
  </si>
  <si>
    <t xml:space="preserve"> ○ 공공기관 유류 공동구매 등 나라장터 이용 수수료 : 300,000원x2회</t>
    <phoneticPr fontId="15" type="noConversion"/>
  </si>
  <si>
    <t xml:space="preserve"> ○ 시민 홍보물품 제작 구입비 : 15,000원×100개×1회</t>
    <phoneticPr fontId="15" type="noConversion"/>
  </si>
  <si>
    <t xml:space="preserve"> ○ 환경사원 휴게실 생수 구입 및 정수기 소독비 : 30,000원×5대×4회</t>
    <phoneticPr fontId="15" type="noConversion"/>
  </si>
  <si>
    <t xml:space="preserve"> ○ 불법배출 수거거부 스티커제작구입비 : 150원×8,000매×4회</t>
    <phoneticPr fontId="15" type="noConversion"/>
  </si>
  <si>
    <t xml:space="preserve"> ○ 범용 S/W 구입비 : 알약 27,000원×15대</t>
    <phoneticPr fontId="15" type="noConversion"/>
  </si>
  <si>
    <t>03 행사운영비</t>
    <phoneticPr fontId="15" type="noConversion"/>
  </si>
  <si>
    <t xml:space="preserve"> ○ (삭제) 각종 행사 현수막 제작비 : 70,000원×10회</t>
    <phoneticPr fontId="15" type="noConversion"/>
  </si>
  <si>
    <t xml:space="preserve"> ○ (삭제) 퇴임식관련 행사물품 구입 : 600,000원×2회</t>
    <phoneticPr fontId="15" type="noConversion"/>
  </si>
  <si>
    <t xml:space="preserve"> ○ 지급수수료</t>
    <phoneticPr fontId="15" type="noConversion"/>
  </si>
  <si>
    <t xml:space="preserve">  - 청소차량 정기검사 : 70,000원×60대×1회</t>
    <phoneticPr fontId="15" type="noConversion"/>
  </si>
  <si>
    <t xml:space="preserve">  - 환경사원인사급여프로그램 유지 보수 : 177,150원×12월</t>
    <phoneticPr fontId="15" type="noConversion"/>
  </si>
  <si>
    <t xml:space="preserve">  - 환경사원복지관, 정비동 무인경비용역비 : 121,000원×12월</t>
    <phoneticPr fontId="15" type="noConversion"/>
  </si>
  <si>
    <r>
      <t xml:space="preserve"> ○ </t>
    </r>
    <r>
      <rPr>
        <b/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로드킬 동물사체 수거 처리 용역비</t>
    </r>
    <phoneticPr fontId="15" type="noConversion"/>
  </si>
  <si>
    <t xml:space="preserve">  - 1,200건[1,000건(수거)+200(미수거)] / 동물사체 수거(건당 75,000원, 미수거(건당 50,000원)</t>
    <phoneticPr fontId="15" type="noConversion"/>
  </si>
  <si>
    <t xml:space="preserve"> ○ 임대료</t>
    <phoneticPr fontId="15" type="noConversion"/>
  </si>
  <si>
    <t xml:space="preserve">  - 환경사원복지관 비데 임대 : 19,840원×7개×12월</t>
    <phoneticPr fontId="15" type="noConversion"/>
  </si>
  <si>
    <t xml:space="preserve">  - 환경사원복지관 CCTV 임대 : 77,000원×12월</t>
    <phoneticPr fontId="15" type="noConversion"/>
  </si>
  <si>
    <t xml:space="preserve"> ○ 공유재산 사용료 : 환경사원복지관 외 2필지 65,000,000원x1회</t>
    <phoneticPr fontId="15" type="noConversion"/>
  </si>
  <si>
    <t xml:space="preserve"> ○ 예비운전원 실기시험장 대여료 : 550,000원×2회</t>
    <phoneticPr fontId="15" type="noConversion"/>
  </si>
  <si>
    <t xml:space="preserve"> ○ 지방소득세(종업원분) : 18,427,286,000원×0.5%</t>
    <phoneticPr fontId="15" type="noConversion"/>
  </si>
  <si>
    <t xml:space="preserve"> ○ 자동차세 : 90,000원×77대×2회</t>
    <phoneticPr fontId="15" type="noConversion"/>
  </si>
  <si>
    <t xml:space="preserve"> ○ 경유차 환경개선부담금 : 80,000원×10대×2회</t>
    <phoneticPr fontId="15" type="noConversion"/>
  </si>
  <si>
    <t xml:space="preserve"> ○ 환경사원복지관 공공요금</t>
    <phoneticPr fontId="15" type="noConversion"/>
  </si>
  <si>
    <t xml:space="preserve">  - 환경사원복지관 전기요금 : 1,800,000원×12월</t>
    <phoneticPr fontId="15" type="noConversion"/>
  </si>
  <si>
    <t xml:space="preserve">  - 환경사원복지관 전화요금 : 600,000원×12월</t>
    <phoneticPr fontId="15" type="noConversion"/>
  </si>
  <si>
    <t xml:space="preserve"> ○ 청소차량 보험료 : 1,400,000원×70대×1회</t>
    <phoneticPr fontId="15" type="noConversion"/>
  </si>
  <si>
    <t xml:space="preserve"> ○ 청소차량 유류비</t>
    <phoneticPr fontId="15" type="noConversion"/>
  </si>
  <si>
    <t xml:space="preserve">  - 8000cc(경유) : 40,000km×30대×1,400원×0.3</t>
    <phoneticPr fontId="15" type="noConversion"/>
  </si>
  <si>
    <t xml:space="preserve">  - 6000cc(CNG) : 43,000km×33대×1,200원×0.41</t>
    <phoneticPr fontId="15" type="noConversion"/>
  </si>
  <si>
    <t xml:space="preserve">  - 2500cc(경유) : 26,000km×8대×1,400원×0.3</t>
    <phoneticPr fontId="15" type="noConversion"/>
  </si>
  <si>
    <t xml:space="preserve"> ○ 청소차량 GPS 운영비 : 16,500원×70대×12월</t>
    <phoneticPr fontId="15" type="noConversion"/>
  </si>
  <si>
    <t xml:space="preserve"> ○ 부서운영비(30인이하) : 400,000원×12월</t>
    <phoneticPr fontId="105" type="noConversion"/>
  </si>
  <si>
    <t xml:space="preserve"> ○ 부서운영비(30인이상) : 5,000원×249명×12월</t>
    <phoneticPr fontId="15" type="noConversion"/>
  </si>
  <si>
    <t xml:space="preserve"> ○ 환경사원 피복비</t>
    <phoneticPr fontId="15" type="noConversion"/>
  </si>
  <si>
    <t xml:space="preserve">  - 하계 작업복 : 70,000원×279명×1회</t>
    <phoneticPr fontId="15" type="noConversion"/>
  </si>
  <si>
    <t xml:space="preserve">  - 동절기 작업복 : 165,000원×273명×1회 </t>
  </si>
  <si>
    <t xml:space="preserve">  - 방한복 : 135,000원×273명×1회</t>
  </si>
  <si>
    <t xml:space="preserve">  - 우의 : 55,000원×273명×1회</t>
  </si>
  <si>
    <t xml:space="preserve">  - 안전장화 : 35,000원×273명×1회</t>
  </si>
  <si>
    <t xml:space="preserve">  - 안전화 : 65,000원×273명×3회</t>
  </si>
  <si>
    <t xml:space="preserve">  - 춘추작업모 : 7,500원×273명×1회</t>
    <phoneticPr fontId="15" type="noConversion"/>
  </si>
  <si>
    <t xml:space="preserve">  - 하계작업모 : 15,000원×273명×1회</t>
  </si>
  <si>
    <t xml:space="preserve">  - 방한모 : 20,000원×273명×1회</t>
  </si>
  <si>
    <t xml:space="preserve">  - 자외선차단마스크 : 13,000원×273명×2개</t>
  </si>
  <si>
    <t xml:space="preserve">  - 안전모 : 11,780원×273명×1회</t>
  </si>
  <si>
    <t xml:space="preserve">  - 안전조끼 : 32,000원×273명×2회</t>
  </si>
  <si>
    <t xml:space="preserve">  - 하절기 쿨토시 : 10,000원×273명×1회</t>
  </si>
  <si>
    <t xml:space="preserve">  - 방진복 : 8,000원x85개x6회</t>
    <phoneticPr fontId="15" type="noConversion"/>
  </si>
  <si>
    <t xml:space="preserve">  - 안전벨트(탑승원) : 25,000원×10명×4회</t>
    <phoneticPr fontId="15" type="noConversion"/>
  </si>
  <si>
    <t xml:space="preserve">  - 작업용 관절 보호대 : 35,000×230개×1회</t>
    <phoneticPr fontId="15" type="noConversion"/>
  </si>
  <si>
    <t xml:space="preserve">  - 베임방지 장갑 : 7,000원 x 271명 x 4회</t>
    <phoneticPr fontId="15" type="noConversion"/>
  </si>
  <si>
    <t xml:space="preserve">  - 캡 라이트(헤드렌턴,배터리포함) : 14,000원×200명×1회</t>
    <phoneticPr fontId="15" type="noConversion"/>
  </si>
  <si>
    <t xml:space="preserve"> ○ 환경사원 목욕비 : 4,000원×271명×25회×12월</t>
    <phoneticPr fontId="15" type="noConversion"/>
  </si>
  <si>
    <t xml:space="preserve"> ○ 벌레물림약 구입비 : 10,000원x100개</t>
    <phoneticPr fontId="15" type="noConversion"/>
  </si>
  <si>
    <t xml:space="preserve"> ○ 폭염대비 식염포도당 구입비 : 15,000원x20개</t>
    <phoneticPr fontId="15" type="noConversion"/>
  </si>
  <si>
    <t xml:space="preserve"> ○ 급량비 : 9,000원×6명×6회×12월</t>
    <phoneticPr fontId="15" type="noConversion"/>
  </si>
  <si>
    <t xml:space="preserve"> ○ (삭제) 경미한 부상(공상)에 따른 치료비 및 약제비 : 500,000원x12개월</t>
    <phoneticPr fontId="15" type="noConversion"/>
  </si>
  <si>
    <t xml:space="preserve"> ○ 청소차량 수리비 : 5,000,000원×52대</t>
    <phoneticPr fontId="15" type="noConversion"/>
  </si>
  <si>
    <r>
      <t xml:space="preserve"> ○ </t>
    </r>
    <r>
      <rPr>
        <b/>
        <sz val="10"/>
        <color rgb="FFFF0000"/>
        <rFont val="굴림"/>
        <family val="3"/>
        <charset val="129"/>
      </rPr>
      <t xml:space="preserve">(신규) </t>
    </r>
    <r>
      <rPr>
        <sz val="10"/>
        <rFont val="굴림"/>
        <family val="3"/>
        <charset val="129"/>
      </rPr>
      <t>청소차량 수직배기관 설치 : 5,000,000원×24대</t>
    </r>
    <phoneticPr fontId="15" type="noConversion"/>
  </si>
  <si>
    <t xml:space="preserve"> ○ 청소차량 리프트 설치비 : 4,500,000원×4대</t>
    <phoneticPr fontId="15" type="noConversion"/>
  </si>
  <si>
    <t xml:space="preserve"> ○ 범용 S/W 구입비 : 알약 26,000원 * 3대</t>
    <phoneticPr fontId="15" type="noConversion"/>
  </si>
  <si>
    <t xml:space="preserve"> ○ 판매관리시스템 유지관리 수수료: 500,000원*12개월</t>
    <phoneticPr fontId="15" type="noConversion"/>
  </si>
  <si>
    <t xml:space="preserve"> ○ 비데 렌탈료 :22,000원*12개월*2대</t>
    <phoneticPr fontId="15" type="noConversion"/>
  </si>
  <si>
    <t>○ 피복구입비</t>
    <phoneticPr fontId="105" type="noConversion"/>
  </si>
  <si>
    <t xml:space="preserve">  - 근무복(동절기,하절기) : 150,000원*3명*2회</t>
    <phoneticPr fontId="105" type="noConversion"/>
  </si>
  <si>
    <t xml:space="preserve">  - 방한복 : 200,000원*3명*1회</t>
    <phoneticPr fontId="105" type="noConversion"/>
  </si>
  <si>
    <t>○ 야간근무자 급량비</t>
    <phoneticPr fontId="105" type="noConversion"/>
  </si>
  <si>
    <t xml:space="preserve"> ○ 차량운행관리(GPS) 수수료: 16,500원*12개월</t>
    <phoneticPr fontId="56" type="noConversion"/>
  </si>
  <si>
    <t>01 국내여비</t>
    <phoneticPr fontId="105" type="noConversion"/>
  </si>
  <si>
    <t xml:space="preserve"> - 부서업무비(5인이하) : 100,000원*12개월</t>
    <phoneticPr fontId="56" type="noConversion"/>
  </si>
  <si>
    <t xml:space="preserve"> ○ 내구연한 교체차량</t>
    <phoneticPr fontId="15" type="noConversion"/>
  </si>
  <si>
    <t>04 기간제근로자 보수(2024년 여수시 생활임금)</t>
    <phoneticPr fontId="15" type="noConversion"/>
  </si>
  <si>
    <t xml:space="preserve"> ○ 환경미화 기간제 근로자 인건비</t>
    <phoneticPr fontId="15" type="noConversion"/>
  </si>
  <si>
    <t xml:space="preserve">   - 기본급  : 10,710원*8시간*3명*5일*52주</t>
    <phoneticPr fontId="15" type="noConversion"/>
  </si>
  <si>
    <t xml:space="preserve">   - 휴일근무수당  : 10,710원*8시간*150%*3명*52주</t>
    <phoneticPr fontId="15" type="noConversion"/>
  </si>
  <si>
    <t xml:space="preserve">   - 야간근무수당  : 10,710원*0.5시간*50%*3명*5일*52주</t>
    <phoneticPr fontId="15" type="noConversion"/>
  </si>
  <si>
    <t xml:space="preserve">   - 연차휴가수당  : 10,710원*8시간*3명*12일</t>
    <phoneticPr fontId="15" type="noConversion"/>
  </si>
  <si>
    <t xml:space="preserve">   - 주휴수당  : 10,710원*8시간*3명*52주</t>
    <phoneticPr fontId="15" type="noConversion"/>
  </si>
  <si>
    <t xml:space="preserve">   - 휴일전담 단시간근로자 인건비  : 10,710원*8시간*1명*2일*52주</t>
    <phoneticPr fontId="15" type="noConversion"/>
  </si>
  <si>
    <t xml:space="preserve"> ○ 아쿠아로빅 강사 인건비</t>
    <phoneticPr fontId="15" type="noConversion"/>
  </si>
  <si>
    <t xml:space="preserve">   - 아쿠아로빅 강사 인건비  : 1,000,000원*1명*12개월</t>
    <phoneticPr fontId="15" type="noConversion"/>
  </si>
  <si>
    <t xml:space="preserve"> ○ 체육시설부 매표, 수영강사, 수상안전요원, 환경, 예초, 대체인력 인건비</t>
  </si>
  <si>
    <t xml:space="preserve">   - 강습수당  : 50,000원*1명*10개월</t>
  </si>
  <si>
    <t xml:space="preserve">   - 자격수당  : 50,000원*2명*10개월</t>
  </si>
  <si>
    <t xml:space="preserve"> ○ 직원 병가 및 휴직 등 공백발생 시 채용(인건비 24년 기준)</t>
  </si>
  <si>
    <t xml:space="preserve"> ○ 생체자격증 보유시</t>
  </si>
  <si>
    <t>01 일반수용비</t>
  </si>
  <si>
    <r>
      <t>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알약임대 : 26,000 * 21대</t>
    </r>
  </si>
  <si>
    <t>○ 진남수영장 PC알약 설치</t>
  </si>
  <si>
    <t>○ 회원카드 구입 : 2,000장 *400원</t>
  </si>
  <si>
    <t>○회원카드 분실 및 신규회원 대비 구매</t>
  </si>
  <si>
    <t xml:space="preserve">○ 영수증 용지 구입 : 45,000원*12박스 </t>
  </si>
  <si>
    <r>
      <t>○수영장 영수증 용지 구입</t>
    </r>
    <r>
      <rPr>
        <sz val="10"/>
        <color rgb="FF000000"/>
        <rFont val="굴림"/>
        <family val="3"/>
        <charset val="129"/>
      </rPr>
      <t>(친환경용지)</t>
    </r>
  </si>
  <si>
    <t>○ 무인발권기 입장권 용지 구입 : 45,000원*12박스</t>
  </si>
  <si>
    <r>
      <t>○무인 발권기 용지 구입</t>
    </r>
    <r>
      <rPr>
        <sz val="10"/>
        <color rgb="FF000000"/>
        <rFont val="굴림"/>
        <family val="3"/>
        <charset val="129"/>
      </rPr>
      <t>(친환경용지)</t>
    </r>
  </si>
  <si>
    <t>○ 사무용품 구입비 : 300,000원*12월</t>
  </si>
  <si>
    <t>○기타 사무용품 구입</t>
  </si>
  <si>
    <t xml:space="preserve">○ 소모성 공구류 구입 : 250,000원*2회 </t>
  </si>
  <si>
    <t>○소모성 공구류 구입비</t>
  </si>
  <si>
    <t>○ 쓰레기 종량제 봉투 50L : 100장*1,200원*12월</t>
  </si>
  <si>
    <t>○ 프린터 토너 구입</t>
  </si>
  <si>
    <t>○사무실1, 카운터1, 카운터2, 강사실1</t>
  </si>
  <si>
    <t xml:space="preserve">     - 블랙 : 250,000원*2대*2개</t>
  </si>
  <si>
    <t xml:space="preserve">     - 칼라 : 200,000원*2대*3개</t>
  </si>
  <si>
    <t xml:space="preserve">     - 드럼 : 300,000원*2대*1개</t>
  </si>
  <si>
    <t xml:space="preserve">     - 회수통 : 100,000원*2대*1개</t>
  </si>
  <si>
    <t>○ 배너 및 현수막 제작비 : 66,000원*1회*12월</t>
  </si>
  <si>
    <t>○홍보용 배너, 현수막 제작비</t>
  </si>
  <si>
    <t>○점보롤휴지 ,핸드타올, 면봉, 락스, 세정제 등</t>
  </si>
  <si>
    <t>○ 전산소모품 등 PC 관리비 :75,000원*12월</t>
  </si>
  <si>
    <t>○ 사무용 PC 소규모 수리</t>
  </si>
  <si>
    <t xml:space="preserve">○ (신규) 리플릿 제작비 : 2.000.000원*1회 </t>
  </si>
  <si>
    <t>○ 수영장 안내, 홍보용 리플릿 제작비</t>
  </si>
  <si>
    <t>다. 지출예산(세부사업) - 체육시설부</t>
  </si>
  <si>
    <t>단위 : 천원</t>
  </si>
  <si>
    <t>구
분</t>
  </si>
  <si>
    <t>사업</t>
  </si>
  <si>
    <t>편성목</t>
  </si>
  <si>
    <t>정책</t>
  </si>
  <si>
    <t>세부</t>
  </si>
  <si>
    <t>그룹</t>
  </si>
  <si>
    <t>목</t>
  </si>
  <si>
    <t>세목</t>
  </si>
  <si>
    <t>총계(사업예산 + 자본예산)</t>
  </si>
  <si>
    <t>사업예산</t>
  </si>
  <si>
    <t>체육시설 대행사업</t>
  </si>
  <si>
    <t>진남수영장 수탁 대행사업</t>
  </si>
  <si>
    <t>진남수영장 운영 및 관리</t>
  </si>
  <si>
    <t>04 기간제근로자 보수(2024년 여수시 생활임금)</t>
  </si>
  <si>
    <t>200 물건비</t>
  </si>
  <si>
    <t>○ (법정)보일러 대기배출시설 자가측정 용역비 : 2,000,000원*2회</t>
  </si>
  <si>
    <t>○법적 대기배출시설 자가측정 용역비(연1회)</t>
  </si>
  <si>
    <t>○ (법정)승강기 유지보수 비용 : 160,000원*12회</t>
  </si>
  <si>
    <t>○ (법정)방역 소독비 : 880,000원*5회</t>
  </si>
  <si>
    <t>○법적 방역소독 5회 / 수목 소독 2회</t>
  </si>
  <si>
    <t>○ (법정)도시가스 정기점검 수수료 : 500,000원*1회</t>
  </si>
  <si>
    <t>○ (법정)수영장 수질검사 수수료 : 50,000원*4회</t>
  </si>
  <si>
    <t>○ 설비 유지관리 시스템 관리 : 380,000원*12월</t>
  </si>
  <si>
    <t>○ (법정)보일러 정기검사비 : 1,200,000원*1회</t>
  </si>
  <si>
    <t>○ 신용카드 결제대행수수료 : 1,900,000원*12월</t>
  </si>
  <si>
    <t>○ (법정)정기안전점검 용역비 : 25,000,000원*1식</t>
  </si>
  <si>
    <t>○법정 정밀안전점검(20,000천원) 1회, 정기정검(5,000천원) 1회</t>
  </si>
  <si>
    <t>○ (법정)전기연차점검 : 4,500,000원*1회</t>
  </si>
  <si>
    <t>○법정 전기 연차 점검</t>
  </si>
  <si>
    <t>○ (법정)소방작동기능점검 : 1,000,000원*2회</t>
  </si>
  <si>
    <t>○법정 소방 점검</t>
  </si>
  <si>
    <t>○ (법정)승강기 정기검사 수수료 : 140,000원*1회</t>
  </si>
  <si>
    <t>○ 보일러 세관 용역비 : 7,900,000원*1회</t>
  </si>
  <si>
    <t>○ 보일러 유지관리 용역비 : 2,000,000원*1회</t>
  </si>
  <si>
    <t xml:space="preserve">○ 통합회원관리 시스템 유지관리 용역비 : 370,000원*12월 </t>
  </si>
  <si>
    <t xml:space="preserve">○ 서버 유지관리 용역비 : 850,000원*12월 </t>
  </si>
  <si>
    <t>○ 수영장 발란싱 탱크 청소 용역비 : 1,400,000원*1회</t>
  </si>
  <si>
    <t xml:space="preserve">○ 기계실 집수정 내부 청소 용역비 : 300,000원*4대*1회 </t>
  </si>
  <si>
    <t>○ 저수조 탱크 청소 용역비 : 1,200,000원*2회</t>
  </si>
  <si>
    <t>○ 수영장 바닥타일 청소 용역비 : 1,300,000원*13회</t>
  </si>
  <si>
    <t>○월1회 수영장 내부 바닥청소 용역비(하계 월2회)</t>
  </si>
  <si>
    <t xml:space="preserve"> ○ 생존수영 재인증 용역비 : 300,000원 *1회</t>
  </si>
  <si>
    <t>○ 년 1회 생존수영 인증</t>
  </si>
  <si>
    <t xml:space="preserve"> ○ 수영장 내부 대정비 타일청소 : 2,000,000원*1식</t>
  </si>
  <si>
    <t>○ 연 1회 대정비 타일청소(수영조 내/외부)</t>
  </si>
  <si>
    <t xml:space="preserve"> ○ (신규)에어컨 실내기 청소 용역비  : 3,500,000원 *1회</t>
  </si>
  <si>
    <t>○에어컨 실내기 청소 용역비(2년 1회)</t>
  </si>
  <si>
    <t>○ 수영장 운영관련 물품(정수기 및 공기청정기 등) 임차료 : 90,000원*5대*12월</t>
  </si>
  <si>
    <t>○공기청정기 및 정수기 등 임차료 납부</t>
  </si>
  <si>
    <t>○ 복합기 임차료 : 225,000원*1대*12월</t>
  </si>
  <si>
    <t>○복합기 임대료(1대) 지급</t>
  </si>
  <si>
    <t>○ 무인경비 시스템 임차료 : 285,000원*12월</t>
  </si>
  <si>
    <t>○무인경비(에스원) 임차료 지불(분기별)</t>
  </si>
  <si>
    <t>○ 진남수영장 비상안심벨(6대) 임대료</t>
  </si>
  <si>
    <t>○ 체육시설부(57명) 근무복</t>
  </si>
  <si>
    <t xml:space="preserve"> ○ 급량비(체육시설부)</t>
  </si>
  <si>
    <t xml:space="preserve">   - 9,000원 * 9명 * 8일 * 12월 </t>
  </si>
  <si>
    <t>○진남 3, 망마 3, 장애인 3</t>
  </si>
  <si>
    <t xml:space="preserve"> ○ 간식비</t>
  </si>
  <si>
    <t xml:space="preserve">  - 수영강사 : 3,000원*8명*5일*52주</t>
  </si>
  <si>
    <t>○수영강사 8명 간식비</t>
  </si>
  <si>
    <t xml:space="preserve"> ○ 안전용품(안전화, 안전모 등)  구입비</t>
  </si>
  <si>
    <t xml:space="preserve">   - 150,000원 * 3회</t>
  </si>
  <si>
    <t>○안전장구류 안전화, 안전모 등 안전에 관한 개인장구류 구입</t>
  </si>
  <si>
    <t>○ 진남수영장 구급함 및 비상약품 등 구입비 : 250,000*2회</t>
  </si>
  <si>
    <t>○의약품, 자가진단키트, 마스크 등 구입비</t>
  </si>
  <si>
    <t>○ (법정)주민세 : 250원*6,496㎡</t>
  </si>
  <si>
    <t>○ 연 1회 법정 주민세(재산분) 납부</t>
  </si>
  <si>
    <t>○ 상하수도 요금 : 18,000,000원*12월</t>
  </si>
  <si>
    <t>○ 24년도 이용객 증가, 요금의 단가 상승분 반영</t>
  </si>
  <si>
    <t xml:space="preserve">○ 도시가스 요금 : 22,000,000원*12월 </t>
  </si>
  <si>
    <t xml:space="preserve">○ 통신요금(전화기,인터넷) : 500,000원*12월 </t>
  </si>
  <si>
    <t>○전화기, 인터넷 통신요금</t>
  </si>
  <si>
    <t xml:space="preserve">○ (법정)도시가스사고배상책임보험 : 20,000원*1회 </t>
  </si>
  <si>
    <t xml:space="preserve">○ (법정)승강기사고배상책임보험 : 35,000원*1회 </t>
  </si>
  <si>
    <t>○ 비상안심벨 통신비 : 33,000원*12월</t>
  </si>
  <si>
    <t>○ 화장실 비상안심벨 설치에 따른 통신비</t>
  </si>
  <si>
    <t>○ 교통유발부담금 : 3,000,000원*1회</t>
  </si>
  <si>
    <t>○ 교통유발부담금 연 1회 납부</t>
  </si>
  <si>
    <t xml:space="preserve">○ 문자메시지 요금 : 350,000원*12월 </t>
  </si>
  <si>
    <t>○문자메시지 발송요금</t>
  </si>
  <si>
    <t>01 국내여비(체육시설부)</t>
  </si>
  <si>
    <t>○부장1, 진남3, 망마3, 장애인3</t>
  </si>
  <si>
    <t xml:space="preserve"> ○ 관외여비 : 85,000원*5명*3일*4회</t>
  </si>
  <si>
    <t xml:space="preserve"> ○ 부서운영비(체육시설부)</t>
  </si>
  <si>
    <t xml:space="preserve">    - 진남수영장(29명) : 400,000원 * 12월</t>
  </si>
  <si>
    <t>○30인이하 400,000원</t>
  </si>
  <si>
    <t xml:space="preserve">    - 망마국민체육센터(26명) : 400,000원 * 12월</t>
  </si>
  <si>
    <t xml:space="preserve">    - 장애인국민체육센터(6명) : 175,000원 * 12월</t>
  </si>
  <si>
    <t>○10인이하 175,000원</t>
  </si>
  <si>
    <t>진남수영장 시설 유지보수</t>
  </si>
  <si>
    <t>○ 정제염 소금 구입 : 8,800원*15포*12월</t>
  </si>
  <si>
    <t>○차염소산나트륨 발생기 소금 투입</t>
  </si>
  <si>
    <t>○ 보일러 청관제 구입 : 60,000원*3통*12월</t>
  </si>
  <si>
    <t>○보일러 내부 관체 윤활제 구입</t>
  </si>
  <si>
    <t>○ 응집제 구입 : 22,000원(1L)*12통*12월</t>
  </si>
  <si>
    <t>○수영장 수질개선 응집제 구입</t>
  </si>
  <si>
    <t>○ PH조절제 구입 : 33,000원*10통*1회</t>
  </si>
  <si>
    <t>○수영장 수질개선 PH조절제 구입</t>
  </si>
  <si>
    <t>○ 탁도개선제 : 22,000원*8통*12월</t>
  </si>
  <si>
    <t>○수영장 수질개선 탁도개선제 구입</t>
  </si>
  <si>
    <t xml:space="preserve"> ○ 냉난방기 유지보수 부품 구입 : 100,000원*31대(실내기)</t>
  </si>
  <si>
    <t xml:space="preserve"> ○ 에어컨 유지관리 부품비</t>
  </si>
  <si>
    <t xml:space="preserve"> ○ 수중청소기 유지관리비 : 800,000원*2회</t>
  </si>
  <si>
    <t xml:space="preserve"> ○ 수중청소기 2대 수리비</t>
  </si>
  <si>
    <t xml:space="preserve"> ○ 소방설비 유지관리비 : 200,000원*12월</t>
  </si>
  <si>
    <t xml:space="preserve"> ○ 소방설비 유지관리비(화재감지기, 소화기 등)</t>
  </si>
  <si>
    <t xml:space="preserve"> ○ 전기설비 유지관리비 : 300,000원*12월</t>
  </si>
  <si>
    <t xml:space="preserve"> ○ 전기설비 유지관리비(차단기, 휴즈 등)</t>
  </si>
  <si>
    <t xml:space="preserve"> ○ 고압세척기 유지관리비 : 400,000원*2대</t>
  </si>
  <si>
    <t xml:space="preserve"> ○ 청소용 고압세척기 수리비</t>
  </si>
  <si>
    <t xml:space="preserve"> ○ 수영장 인터넷, 발권기 포스 수리비</t>
  </si>
  <si>
    <t xml:space="preserve"> ○ 기계실 설비 배관 유지관리비</t>
  </si>
  <si>
    <t xml:space="preserve"> ○ 수영장 내부 및 로비 전광판 수리비</t>
  </si>
  <si>
    <t xml:space="preserve"> ○ 샤워기 헤드, 수영장 트렌치커버 등 수리비</t>
  </si>
  <si>
    <t xml:space="preserve"> ○ GHP 실외기 정기 소모품 교체(2호)</t>
  </si>
  <si>
    <t xml:space="preserve"> ○ GHP 실외기 콤프레샤 교체 예비비</t>
  </si>
  <si>
    <t xml:space="preserve"> ○ pt층 누수부 시설 보수비</t>
  </si>
  <si>
    <t xml:space="preserve"> ○샤워실, 탈의실 내부 시설 유지관리비</t>
  </si>
  <si>
    <t xml:space="preserve"> ○ 기계실 센서류, 밸브류 유지관리비</t>
  </si>
  <si>
    <t xml:space="preserve"> ○ 수영장 외부 시설(탄력봉, 카스토퍼 등) 유지관리비</t>
  </si>
  <si>
    <t xml:space="preserve"> ○ 수영장 내부 타일 보수비 : 6,000,000원*1식</t>
  </si>
  <si>
    <t xml:space="preserve"> ○ 내부 타일 탈락 보수 등 유지관리비</t>
  </si>
  <si>
    <t xml:space="preserve"> ○ (신규)보일러 및 냉난방기 가스 계량기 교체비 : 5,000,000원*1식</t>
  </si>
  <si>
    <t xml:space="preserve"> ○ 가스 계량기 교체비(8년 1회, 2017년 설치)</t>
  </si>
  <si>
    <t xml:space="preserve"> ○ (신규)2층 복도 칸막이 설치 공사 : 6,000,000원*1식</t>
  </si>
  <si>
    <t xml:space="preserve"> ○ 2층 복도 칸막이 설치비(주민참여예산)</t>
  </si>
  <si>
    <t xml:space="preserve"> ○ (법정)냉난방기 GHP 저감장치 설시 : 5,000,000원*4대</t>
  </si>
  <si>
    <t xml:space="preserve"> ○ (법정) GHP 저감장치 설치</t>
  </si>
  <si>
    <t xml:space="preserve"> ○ (신규)전기실 배터리 교체(정류기반, 발전기 등) : 5,000,000원*1식</t>
  </si>
  <si>
    <t xml:space="preserve"> ○ 전기실 노후 배터리 교체비</t>
  </si>
  <si>
    <t xml:space="preserve"> ○ (신규)매표 및 안내데스크 칸막이 및 스피커 설치 : 3,000,000원*1식</t>
  </si>
  <si>
    <t xml:space="preserve"> ○ 안전한 고객응대 근로자 환경 조성 칸막이 설치</t>
  </si>
  <si>
    <t xml:space="preserve"> ○ 아쿠아로빅 인건비</t>
    <phoneticPr fontId="105" type="noConversion"/>
  </si>
  <si>
    <t>○ 한글,엑셀 등 소프트웨어구입비 : 670,000원*1식</t>
    <phoneticPr fontId="15" type="noConversion"/>
  </si>
  <si>
    <t xml:space="preserve"> ○ 컴퓨터 추가분 소프트웨어 구입</t>
    <phoneticPr fontId="105" type="noConversion"/>
  </si>
  <si>
    <t>○ 알약임대 : 26,000원*16대</t>
    <phoneticPr fontId="15" type="noConversion"/>
  </si>
  <si>
    <t xml:space="preserve"> ○ 컴퓨터(16대) 알약 임대</t>
    <phoneticPr fontId="105" type="noConversion"/>
  </si>
  <si>
    <t xml:space="preserve"> ○ 수영장 영수증 용지 구입(친환경용지)</t>
    <phoneticPr fontId="105" type="noConversion"/>
  </si>
  <si>
    <t xml:space="preserve"> ○ 무인발매기 용지 구입(친환경용지)</t>
    <phoneticPr fontId="105" type="noConversion"/>
  </si>
  <si>
    <t xml:space="preserve"> ○ 쓰레기 종량제 봉투 구입</t>
    <phoneticPr fontId="105" type="noConversion"/>
  </si>
  <si>
    <t xml:space="preserve"> ○ 복사기 카트리지 구입</t>
    <phoneticPr fontId="105" type="noConversion"/>
  </si>
  <si>
    <t xml:space="preserve"> ○ 리플릿 및 현수막 구입</t>
    <phoneticPr fontId="105" type="noConversion"/>
  </si>
  <si>
    <t xml:space="preserve"> ○ 화장실(롤화장지, 손세정제), 샤워장 위생용품(면봉 등) 구입</t>
    <phoneticPr fontId="105" type="noConversion"/>
  </si>
  <si>
    <t xml:space="preserve"> ○ 청소용품(밀대, 물걸레 등) 구입비</t>
    <phoneticPr fontId="105" type="noConversion"/>
  </si>
  <si>
    <t>○ 소규모 전자제품, 소모품 구입 : 500,000원*4회</t>
    <phoneticPr fontId="15" type="noConversion"/>
  </si>
  <si>
    <t xml:space="preserve"> ○ 소규모 전자제품(짤순이, 드라이기 등)</t>
    <phoneticPr fontId="105" type="noConversion"/>
  </si>
  <si>
    <t xml:space="preserve"> ○ 탈의실 락커(키밴드, 자물쇠), 수영장 용품</t>
    <phoneticPr fontId="105" type="noConversion"/>
  </si>
  <si>
    <t xml:space="preserve"> ○ 탈의실 락커 키밴드 등 구입비</t>
    <phoneticPr fontId="105" type="noConversion"/>
  </si>
  <si>
    <t xml:space="preserve"> ○ 다목적체육관(네트, 점수판등) 구입비</t>
    <phoneticPr fontId="105" type="noConversion"/>
  </si>
  <si>
    <t xml:space="preserve"> ○ 사무용품(복사용지, 카트리지) 구입비</t>
    <phoneticPr fontId="105" type="noConversion"/>
  </si>
  <si>
    <t xml:space="preserve"> ○ (법점) 승강기 정기검사</t>
    <phoneticPr fontId="105" type="noConversion"/>
  </si>
  <si>
    <t xml:space="preserve"> ○ (법정) 도시가스 정기 검사</t>
    <phoneticPr fontId="105" type="noConversion"/>
  </si>
  <si>
    <t xml:space="preserve"> ○ (법정) 수영장수 수질검사 / 연 4회</t>
    <phoneticPr fontId="105" type="noConversion"/>
  </si>
  <si>
    <t xml:space="preserve"> ○ (법정) 저수조 수질검사 / 연 1회</t>
    <phoneticPr fontId="105" type="noConversion"/>
  </si>
  <si>
    <t xml:space="preserve"> ○ 저수조 청소 용역(연2회)</t>
    <phoneticPr fontId="105" type="noConversion"/>
  </si>
  <si>
    <t xml:space="preserve"> ○ 소방시설 작동기능, 종합 점검</t>
    <phoneticPr fontId="105" type="noConversion"/>
  </si>
  <si>
    <t xml:space="preserve"> ○ (법정) 대기배출 자가 측정 / 연 1회</t>
    <phoneticPr fontId="105" type="noConversion"/>
  </si>
  <si>
    <t>○ 신용카드 결제대행수수료 : 2,000,000원*12개월</t>
    <phoneticPr fontId="15" type="noConversion"/>
  </si>
  <si>
    <t xml:space="preserve"> ○ 신용카드 결제대행수수료</t>
    <phoneticPr fontId="105" type="noConversion"/>
  </si>
  <si>
    <t xml:space="preserve"> ○ 밸런싱탱크 청소 용역비</t>
    <phoneticPr fontId="105" type="noConversion"/>
  </si>
  <si>
    <t>○ 승강기 유지관리 용역비 : 180,000원*12개월</t>
    <phoneticPr fontId="15" type="noConversion"/>
  </si>
  <si>
    <t xml:space="preserve"> ○ 승강기 유지관리 대행 용역비</t>
    <phoneticPr fontId="105" type="noConversion"/>
  </si>
  <si>
    <t>○ 수영조 내부 청소 용역비 : 2,000,000원*1식</t>
    <phoneticPr fontId="15" type="noConversion"/>
  </si>
  <si>
    <t xml:space="preserve"> ○ 수영조 내부 청소 용역비</t>
    <phoneticPr fontId="105" type="noConversion"/>
  </si>
  <si>
    <t xml:space="preserve"> ○ 망마수영장 회원관리 시스템 유지보수 용역비</t>
    <phoneticPr fontId="105" type="noConversion"/>
  </si>
  <si>
    <t>○ 수영장 바닥 청소 용역비 : 1,100,000원*13회</t>
    <phoneticPr fontId="105" type="noConversion"/>
  </si>
  <si>
    <t xml:space="preserve"> ○ 풀사이드 청소용역 / 연 12회</t>
    <phoneticPr fontId="105" type="noConversion"/>
  </si>
  <si>
    <t>○ 정수기 임차(7대) : 50,000원*7대*12회</t>
    <phoneticPr fontId="15" type="noConversion"/>
  </si>
  <si>
    <t xml:space="preserve"> ○ 정수기 임차(7대) 임차</t>
    <phoneticPr fontId="105" type="noConversion"/>
  </si>
  <si>
    <t>○ 무인경비 시스템 수수료 : 200,000원*12개월</t>
    <phoneticPr fontId="15" type="noConversion"/>
  </si>
  <si>
    <t xml:space="preserve"> ○ 무인경비 시스템 수수료</t>
    <phoneticPr fontId="105" type="noConversion"/>
  </si>
  <si>
    <t xml:space="preserve"> ○ 비상벨(화장실) 임대 수수료</t>
    <phoneticPr fontId="105" type="noConversion"/>
  </si>
  <si>
    <t xml:space="preserve"> ○ CCTV 시스템 유지관리 및 장비 임대비용</t>
    <phoneticPr fontId="105" type="noConversion"/>
  </si>
  <si>
    <t xml:space="preserve"> ○ 안전용품(안전화, 장갑, 안전모 등) 구입비</t>
    <phoneticPr fontId="105" type="noConversion"/>
  </si>
  <si>
    <t xml:space="preserve"> ○ 의약품, 자가진단키트, 마스크 등 구입비</t>
    <phoneticPr fontId="105" type="noConversion"/>
  </si>
  <si>
    <t>○ 수영강사 간식비 : 3,000원*5일*52주*7명</t>
    <phoneticPr fontId="15" type="noConversion"/>
  </si>
  <si>
    <t xml:space="preserve"> ○ 수영강사(7명) 간식비</t>
    <phoneticPr fontId="105" type="noConversion"/>
  </si>
  <si>
    <t>○ 연 1회 법정 책임보험 가입</t>
    <phoneticPr fontId="105" type="noConversion"/>
  </si>
  <si>
    <t>○ (법정) 주민세 : 260원*3,299㎡*1회</t>
    <phoneticPr fontId="15" type="noConversion"/>
  </si>
  <si>
    <t>○ 비상안심벨 통신비 : 33,000원*12개월</t>
    <phoneticPr fontId="15" type="noConversion"/>
  </si>
  <si>
    <t>○ 24년도 이용객 증가, 요금의 단가 상승분 반영</t>
    <phoneticPr fontId="15" type="noConversion"/>
  </si>
  <si>
    <t>○ 통신요금 : 300,000원*12개월</t>
    <phoneticPr fontId="15" type="noConversion"/>
  </si>
  <si>
    <t>○ 전화기, 인터넷 통신요금</t>
    <phoneticPr fontId="105" type="noConversion"/>
  </si>
  <si>
    <t>○ 문자메시지 발송요금</t>
    <phoneticPr fontId="15" type="noConversion"/>
  </si>
  <si>
    <t xml:space="preserve">○ 수영장내/외부벌레퇴치약품살포/감염병예방약품 </t>
    <phoneticPr fontId="105" type="noConversion"/>
  </si>
  <si>
    <t>○ 차염소산나트륨 발생기 소금 투입</t>
    <phoneticPr fontId="15" type="noConversion"/>
  </si>
  <si>
    <t>○ 응집제 구입 : 22,000원(1L)*6통*12월</t>
    <phoneticPr fontId="15" type="noConversion"/>
  </si>
  <si>
    <t>○ 수영장 수질개선 응집제 구입</t>
    <phoneticPr fontId="15" type="noConversion"/>
  </si>
  <si>
    <t>○ 탁도개선제 : 24,000원*8통*12월</t>
    <phoneticPr fontId="15" type="noConversion"/>
  </si>
  <si>
    <t>○ 수영장 수질개선 탁도개선제 구입</t>
    <phoneticPr fontId="15" type="noConversion"/>
  </si>
  <si>
    <t xml:space="preserve"> ○ 에어컨(시스템) 유지관리 부품비</t>
    <phoneticPr fontId="15" type="noConversion"/>
  </si>
  <si>
    <t xml:space="preserve"> ○ 다목적체육관 스텐드 에어컨 유지관리비</t>
    <phoneticPr fontId="105" type="noConversion"/>
  </si>
  <si>
    <t>○ 수영장 설비(수중청소기, 고압세척기 등) 유지보수비 :1,000,000원*3회</t>
    <phoneticPr fontId="15" type="noConversion"/>
  </si>
  <si>
    <t xml:space="preserve"> ○ 수중청소기, 고압세척기 유지보수 수리비</t>
    <phoneticPr fontId="15" type="noConversion"/>
  </si>
  <si>
    <t xml:space="preserve"> ○ 센서류(저수조, 밸런싱, 염소 등) 유지보수비</t>
    <phoneticPr fontId="105" type="noConversion"/>
  </si>
  <si>
    <t xml:space="preserve"> ○ 순환펌프류 유지보수비</t>
    <phoneticPr fontId="105" type="noConversion"/>
  </si>
  <si>
    <t xml:space="preserve"> ○ 화장실, 샤워장 내 (타일, 유압힌지 등) 유지보수비</t>
    <phoneticPr fontId="105" type="noConversion"/>
  </si>
  <si>
    <t xml:space="preserve"> ○ CCTV, 발매기 등 유지보수비</t>
    <phoneticPr fontId="105" type="noConversion"/>
  </si>
  <si>
    <t xml:space="preserve"> ○ 노후 기계설비(배관, 밸브) 유지보수비</t>
    <phoneticPr fontId="105" type="noConversion"/>
  </si>
  <si>
    <t xml:space="preserve"> ○ 수영장 내(스파탕, 풀 사이드 등) 줄눈 보수 비</t>
    <phoneticPr fontId="105" type="noConversion"/>
  </si>
  <si>
    <t xml:space="preserve"> ○ 샤워실 및 수영장 내부 소모성 자재 구입(카트리지, 수전 등)</t>
    <phoneticPr fontId="105" type="noConversion"/>
  </si>
  <si>
    <t xml:space="preserve"> ○ 수영장 내 무전극 램프 교체 공사</t>
    <phoneticPr fontId="105" type="noConversion"/>
  </si>
  <si>
    <t>○ (신규) 매표 및 안내데스크 칸막이 및 스피커 설치 : 3,000,000원*1식</t>
    <phoneticPr fontId="15" type="noConversion"/>
  </si>
  <si>
    <t xml:space="preserve"> ○ 매표 및 안내데스크 칸막이 및 스피커 설치</t>
    <phoneticPr fontId="105" type="noConversion"/>
  </si>
  <si>
    <t xml:space="preserve"> ○ 수영장 여과사 교체 및 여과기 보수 공사</t>
    <phoneticPr fontId="105" type="noConversion"/>
  </si>
  <si>
    <t>○ (신규) 망마수영장 급배기시설 보수 : 10,000,000원*1식</t>
    <phoneticPr fontId="15" type="noConversion"/>
  </si>
  <si>
    <t xml:space="preserve"> ○ 수영장 급배기 시설 소음기 설치 공사</t>
    <phoneticPr fontId="105" type="noConversion"/>
  </si>
  <si>
    <t>○ 일반수용비</t>
    <phoneticPr fontId="15" type="noConversion"/>
  </si>
  <si>
    <t>○ 기타 사무용품 구입비</t>
    <phoneticPr fontId="15" type="noConversion"/>
  </si>
  <si>
    <t>○ 사무실1, 측정실 1 카트리지 구입비</t>
    <phoneticPr fontId="15" type="noConversion"/>
  </si>
  <si>
    <t xml:space="preserve">  - 전산 소모품 구입비 : 50,000원*10대*1회</t>
    <phoneticPr fontId="15" type="noConversion"/>
  </si>
  <si>
    <t>○ 마우스, 키보드 등 구입비</t>
    <phoneticPr fontId="15" type="noConversion"/>
  </si>
  <si>
    <t xml:space="preserve">  - 목욕탕, 화장실 소모품 구입 : 400,000원*12회</t>
    <phoneticPr fontId="15" type="noConversion"/>
  </si>
  <si>
    <t>○ 비누, 치약 등 구입비</t>
    <phoneticPr fontId="15" type="noConversion"/>
  </si>
  <si>
    <t xml:space="preserve">  - 청소용품(청소도구, 세제 등) 구입 : 400,000원*4회</t>
    <phoneticPr fontId="15" type="noConversion"/>
  </si>
  <si>
    <t>○ 청소용 세제 구입비</t>
    <phoneticPr fontId="15" type="noConversion"/>
  </si>
  <si>
    <t>○ 시설안내 리플릿 및 현수막 제작 : 150,000원*6회</t>
    <phoneticPr fontId="15" type="noConversion"/>
  </si>
  <si>
    <t>○ 장애인국민체육센터 현수막, 리플릿 제작</t>
    <phoneticPr fontId="15" type="noConversion"/>
  </si>
  <si>
    <t>○ 운동 소모품 구입비</t>
    <phoneticPr fontId="15" type="noConversion"/>
  </si>
  <si>
    <t>○ 소모성 공구류 구입비 : 400,000원*1회</t>
    <phoneticPr fontId="15" type="noConversion"/>
  </si>
  <si>
    <t>○ 소모성 공구류 구입비</t>
    <phoneticPr fontId="15" type="noConversion"/>
  </si>
  <si>
    <t>○ 안전용품 구입비</t>
    <phoneticPr fontId="15" type="noConversion"/>
  </si>
  <si>
    <t>○ 장애인국민체육센터 PC 9대 알약 설치</t>
    <phoneticPr fontId="15" type="noConversion"/>
  </si>
  <si>
    <t>○ 탈의실 락커 키밴드, 자물쇠 등 구입 : 15,000원*50개</t>
    <phoneticPr fontId="15" type="noConversion"/>
  </si>
  <si>
    <t>○ (삭제)비상발전기 유류비 : 100,000원*1회</t>
    <phoneticPr fontId="15" type="noConversion"/>
  </si>
  <si>
    <t>○ 연 1회 점검 실시</t>
    <phoneticPr fontId="15" type="noConversion"/>
  </si>
  <si>
    <t>○ 소방 작동기능점검, 종합정밀점검 실시</t>
    <phoneticPr fontId="15" type="noConversion"/>
  </si>
  <si>
    <t>○ (법정) 방역소독비 : 400,000원*12회</t>
    <phoneticPr fontId="15" type="noConversion"/>
  </si>
  <si>
    <t>○ 매월1회 소독 실시</t>
    <phoneticPr fontId="15" type="noConversion"/>
  </si>
  <si>
    <t>○ 연2회 저수조 청소 용역비</t>
    <phoneticPr fontId="15" type="noConversion"/>
  </si>
  <si>
    <t>○ 승강기시설안전관리법에 의한 안전관리 대행</t>
    <phoneticPr fontId="15" type="noConversion"/>
  </si>
  <si>
    <t>○ 승강기 법정 정기검사 수수료</t>
    <phoneticPr fontId="15" type="noConversion"/>
  </si>
  <si>
    <t>○ 가스 정기검사 수수료</t>
    <phoneticPr fontId="15" type="noConversion"/>
  </si>
  <si>
    <t>○ 수질검사용역비</t>
    <phoneticPr fontId="15" type="noConversion"/>
  </si>
  <si>
    <t>○ 장애인국민체육센터 보일러 유지관리 용역비</t>
    <phoneticPr fontId="15" type="noConversion"/>
  </si>
  <si>
    <t>○ 신용카드 결재대행수수료</t>
    <phoneticPr fontId="15" type="noConversion"/>
  </si>
  <si>
    <t>○ 개인정보 프로그램 서버 임대 및 운영 : 820,000원*12월</t>
    <phoneticPr fontId="15" type="noConversion"/>
  </si>
  <si>
    <t>○ 개인정보 서버 임대 및 운영 용역비</t>
    <phoneticPr fontId="15" type="noConversion"/>
  </si>
  <si>
    <t>○ 회원관리프로그램 유지관리 용역비</t>
    <phoneticPr fontId="15" type="noConversion"/>
  </si>
  <si>
    <t>○ 무인방범 경비 및 cctv 임차료 : 190,000원*12월</t>
    <phoneticPr fontId="15" type="noConversion"/>
  </si>
  <si>
    <t xml:space="preserve">○ 무인방범 경비, 근태관리, CCTV 임차료 </t>
    <phoneticPr fontId="15" type="noConversion"/>
  </si>
  <si>
    <t>○ 공기청정기 2대 임차료</t>
    <phoneticPr fontId="15" type="noConversion"/>
  </si>
  <si>
    <t>○ 의약품, 마스크, 자가진단키트 등 구입비</t>
    <phoneticPr fontId="15" type="noConversion"/>
  </si>
  <si>
    <t>○ 요금 단가 상승분 반영 및 이용객 증가</t>
    <phoneticPr fontId="15" type="noConversion"/>
  </si>
  <si>
    <t>○ 주최자배상책임보험 납부</t>
    <phoneticPr fontId="15" type="noConversion"/>
  </si>
  <si>
    <t>○ 이용객 안내 문자 메시지 발송 요금</t>
    <phoneticPr fontId="15" type="noConversion"/>
  </si>
  <si>
    <t>○ (법정)승강기배상책임보험 : 50,000원*1식</t>
    <phoneticPr fontId="15" type="noConversion"/>
  </si>
  <si>
    <t>○ 승강기책임보험 납부</t>
    <phoneticPr fontId="15" type="noConversion"/>
  </si>
  <si>
    <t>○ (법정)가스사고배상책임보험 : 50,000원*1식</t>
    <phoneticPr fontId="15" type="noConversion"/>
  </si>
  <si>
    <t>○ 가스사고배상책임보험 납부</t>
    <phoneticPr fontId="15" type="noConversion"/>
  </si>
  <si>
    <t>○ 보일러 내부 관체 윤활제 구입</t>
    <phoneticPr fontId="15" type="noConversion"/>
  </si>
  <si>
    <t xml:space="preserve"> ○ 정제염 소금 구입비 : 8,800원*1포*4월</t>
    <phoneticPr fontId="15" type="noConversion"/>
  </si>
  <si>
    <t>○ 화재감지기 및 소방설비 등 유지보수비</t>
    <phoneticPr fontId="15" type="noConversion"/>
  </si>
  <si>
    <t>○ 누전차단기, 휴즈 등 교체비</t>
    <phoneticPr fontId="15" type="noConversion"/>
  </si>
  <si>
    <t>○ 기계설비 수리 및 교체비</t>
    <phoneticPr fontId="15" type="noConversion"/>
  </si>
  <si>
    <t>○ 기타 설비 수리 및 교체비</t>
    <phoneticPr fontId="15" type="noConversion"/>
  </si>
  <si>
    <t>○ 벨브 노후에 따른 교체비</t>
    <phoneticPr fontId="15" type="noConversion"/>
  </si>
  <si>
    <t xml:space="preserve">  - (신규)냉난방기 오버홀 : 150,000원*30대(천장형, 벽걸이, 스탠드)</t>
    <phoneticPr fontId="15" type="noConversion"/>
  </si>
  <si>
    <t>○ 냉난방기 필터 및 내부 오버홀</t>
    <phoneticPr fontId="15" type="noConversion"/>
  </si>
  <si>
    <t>○ 엔진오일, 오일필터, 벨트, 점화코일 등 교체비</t>
    <phoneticPr fontId="15" type="noConversion"/>
  </si>
  <si>
    <t xml:space="preserve">  - 목욕탕 및 샤워실 내부 소모성 자재 구입 : 500,000원*1식</t>
    <phoneticPr fontId="15" type="noConversion"/>
  </si>
  <si>
    <t>○ 내부 소모성 자재 구입비</t>
    <phoneticPr fontId="15" type="noConversion"/>
  </si>
  <si>
    <t>○ 공기순환기 노후에 따른 유지보수비(6년경과)</t>
    <phoneticPr fontId="15" type="noConversion"/>
  </si>
  <si>
    <t xml:space="preserve">  - 비상벨 수리 및 PCB기판 교체비 : 200,000원*12월</t>
    <phoneticPr fontId="15" type="noConversion"/>
  </si>
  <si>
    <t>○ 비상벨 노후에 따른 PCB 교체비(6년경과)</t>
    <phoneticPr fontId="15" type="noConversion"/>
  </si>
  <si>
    <t xml:space="preserve">  - 무인발권 시스템 프로그램 유지비 : 1,000,000원*1대</t>
    <phoneticPr fontId="15" type="noConversion"/>
  </si>
  <si>
    <t>○ 무인발권시스템 유지보수비</t>
    <phoneticPr fontId="15" type="noConversion"/>
  </si>
  <si>
    <t xml:space="preserve">  - (신규)다목적체육관 공조기 오버홀 : 4,500,000*1대</t>
    <phoneticPr fontId="15" type="noConversion"/>
  </si>
  <si>
    <t>○ 다목적체육관 공조기 오버홀(6년경과)</t>
    <phoneticPr fontId="15" type="noConversion"/>
  </si>
  <si>
    <t>○ 다목적체육관 바닥 라인 보수(민원요청)</t>
    <phoneticPr fontId="15" type="noConversion"/>
  </si>
  <si>
    <t xml:space="preserve">  - (신규)매표 및 안내 데스크 칸막이 조성 및 스피커 설치 : 3,000,000*1식</t>
    <phoneticPr fontId="15" type="noConversion"/>
  </si>
  <si>
    <t>○ 안내 데스크 칸막이 조성 및 스피커 설치</t>
    <phoneticPr fontId="15" type="noConversion"/>
  </si>
  <si>
    <t xml:space="preserve">  - (법정) 냉난방기 GHP 배출저감장치 설치 : 5,000,000*9대</t>
    <phoneticPr fontId="15" type="noConversion"/>
  </si>
  <si>
    <t>○ 냉난방기 GHP 배출저감장치 부착 의무</t>
    <phoneticPr fontId="15" type="noConversion"/>
  </si>
  <si>
    <t xml:space="preserve">  - (신규)타일 교체 및 보수비 : 3,000,000원*1식</t>
    <phoneticPr fontId="15" type="noConversion"/>
  </si>
  <si>
    <t>○ 목욕탕 및 화장실 탈의실 타일 교체</t>
    <phoneticPr fontId="15" type="noConversion"/>
  </si>
  <si>
    <t>진남수영장 자산비품 구입(공기구비품)</t>
  </si>
  <si>
    <t>400 자본지출</t>
  </si>
  <si>
    <t xml:space="preserve"> ○ 로비 및 샤워장 바닥 대리석 청소 도구(주민참여예산) </t>
  </si>
  <si>
    <t xml:space="preserve"> ○ 2층 복도 에어컨 추가 설치(주민참여예산) 23평 2대</t>
    <phoneticPr fontId="15" type="noConversion"/>
  </si>
  <si>
    <t xml:space="preserve"> ○ (신규)코스로프 구매 : 2,130,000원*9개</t>
    <phoneticPr fontId="15" type="noConversion"/>
  </si>
  <si>
    <t xml:space="preserve"> ○ 수영장 노후 코스로프 교체</t>
  </si>
  <si>
    <t xml:space="preserve"> ○ (신규)여자 탈의실 에어컨 설치 : 3,700,000원*1대</t>
    <phoneticPr fontId="15" type="noConversion"/>
  </si>
  <si>
    <t xml:space="preserve"> ○ 여자 탈의실 에어컨 설치 23평 1대</t>
    <phoneticPr fontId="15" type="noConversion"/>
  </si>
  <si>
    <t xml:space="preserve"> ○ (신규)안전보호구함 구매 : 500,000원*1개</t>
  </si>
  <si>
    <t xml:space="preserve"> ○ 수영장 1층, 2층 안전보호구함 설치</t>
  </si>
  <si>
    <t>○ (신규) 안전보호구함 구입비 : 500,000원*1개</t>
    <phoneticPr fontId="15" type="noConversion"/>
  </si>
  <si>
    <t xml:space="preserve"> ○ 주요업무 안전보호구함 구입비</t>
    <phoneticPr fontId="105" type="noConversion"/>
  </si>
  <si>
    <t xml:space="preserve"> ○ 노후컴퓨터 1대분 교체</t>
    <phoneticPr fontId="105" type="noConversion"/>
  </si>
  <si>
    <t>○ 목욕탕 탈의실 신발장 구입 2개소(민원요청)</t>
    <phoneticPr fontId="15" type="noConversion"/>
  </si>
  <si>
    <t>○ 층별 안전보호구함 구입</t>
    <phoneticPr fontId="15" type="noConversion"/>
  </si>
  <si>
    <t>세부검토</t>
    <phoneticPr fontId="15" type="noConversion"/>
  </si>
  <si>
    <t>[일반수용비]</t>
    <phoneticPr fontId="105" type="noConversion"/>
  </si>
  <si>
    <t xml:space="preserve"> ○ 사무용 잡품비</t>
    <phoneticPr fontId="15" type="noConversion"/>
  </si>
  <si>
    <t xml:space="preserve">  - 표준사무용품 : 50,000원*10명*3회</t>
    <phoneticPr fontId="15" type="noConversion"/>
  </si>
  <si>
    <t xml:space="preserve">  - 사무실 위생 및 청소용품(세탁세제, 유연제, 화장지 등) : 500,000원*12월</t>
    <phoneticPr fontId="15" type="noConversion"/>
  </si>
  <si>
    <t xml:space="preserve">  - 전산소모 비품비(토너, 드럼, 잉크 등) : 100,000원*5대*2회 </t>
    <phoneticPr fontId="15" type="noConversion"/>
  </si>
  <si>
    <t xml:space="preserve"> 전산 소모품 : 칼라 프린트 잉크 및 토너(제어실4, 소장실1), 추가 인쇄비</t>
    <phoneticPr fontId="15" type="noConversion"/>
  </si>
  <si>
    <t xml:space="preserve"> ○ 기타 수용비</t>
    <phoneticPr fontId="15" type="noConversion"/>
  </si>
  <si>
    <t xml:space="preserve">  - 범용 S/W 구입 및 리스료 (캐드, 엑셀, 알약 등) : 3,000,000원*1회</t>
    <phoneticPr fontId="105" type="noConversion"/>
  </si>
  <si>
    <t xml:space="preserve">○ 범용 S/W 구입(엑셀13, 알약13, 캐드 등) </t>
    <phoneticPr fontId="56" type="noConversion"/>
  </si>
  <si>
    <t xml:space="preserve">  물가자료 등 구매</t>
    <phoneticPr fontId="15" type="noConversion"/>
  </si>
  <si>
    <t xml:space="preserve">  -  컴퓨터수리비 : 100,000원*15대*1회</t>
    <phoneticPr fontId="15" type="noConversion"/>
  </si>
  <si>
    <t xml:space="preserve">  컴퓨터 수리비 (사무실11, 소장실1, 제어실10, 계근대2)</t>
    <phoneticPr fontId="15" type="noConversion"/>
  </si>
  <si>
    <t xml:space="preserve">  -  무전기 수리(소각,바이오,기술,관리) : 500,000원 * 2대</t>
    <phoneticPr fontId="15" type="noConversion"/>
  </si>
  <si>
    <t xml:space="preserve"> 무전기 수리(36대) : 500,000 × 2회(상,하반기) </t>
    <phoneticPr fontId="15" type="noConversion"/>
  </si>
  <si>
    <t xml:space="preserve"> ○ 시설 홍보관련</t>
    <phoneticPr fontId="15" type="noConversion"/>
  </si>
  <si>
    <t xml:space="preserve"> ○ 기타 소모성 물품 구입</t>
    <phoneticPr fontId="15" type="noConversion"/>
  </si>
  <si>
    <t xml:space="preserve">  - 중앙제어실, 홍보실 비품 구입 : 1,000,000원*2회</t>
    <phoneticPr fontId="15" type="noConversion"/>
  </si>
  <si>
    <t xml:space="preserve"> 중앙제어실, 홍보실 비품 구입</t>
    <phoneticPr fontId="15" type="noConversion"/>
  </si>
  <si>
    <t xml:space="preserve">  - 재난 예방 관련 물품 구입 : 1,000,000원*1회</t>
    <phoneticPr fontId="105" type="noConversion"/>
  </si>
  <si>
    <t xml:space="preserve">   재난대비  훈련관련 등 물품 구매</t>
    <phoneticPr fontId="105" type="noConversion"/>
  </si>
  <si>
    <t xml:space="preserve">  - 소방시설 유지보수 관련 물품 구매 : 1,500,000원*2회</t>
    <phoneticPr fontId="105" type="noConversion"/>
  </si>
  <si>
    <t xml:space="preserve">  소방시설 보수관련 물품 교체(노후화, 사용기한 등)</t>
    <phoneticPr fontId="105" type="noConversion"/>
  </si>
  <si>
    <t xml:space="preserve"> 100만원 이하 소모품 구매(수중펌프 등)</t>
    <phoneticPr fontId="15" type="noConversion"/>
  </si>
  <si>
    <t xml:space="preserve"> ○ 업무대행 수수료</t>
    <phoneticPr fontId="15" type="noConversion"/>
  </si>
  <si>
    <t>○ 전문기관 용역(법정 용역)</t>
    <phoneticPr fontId="56" type="noConversion"/>
  </si>
  <si>
    <t xml:space="preserve">   - 대기 자가측정(TMS 전송항목 5종, 미전송 30종) :  41,000,000원*1식</t>
    <phoneticPr fontId="15" type="noConversion"/>
  </si>
  <si>
    <t>환경오염시설의 통합관리에 관한 법률 제31조(자가측정) 관련</t>
    <phoneticPr fontId="15" type="noConversion"/>
  </si>
  <si>
    <t xml:space="preserve">   - 악취측정(복합악취, 지정악취) : 25,300,000원*1식</t>
    <phoneticPr fontId="105" type="noConversion"/>
  </si>
  <si>
    <t>악취 측정( 배출구 및 부지경계 10지점, 지정악취 22종 등)</t>
    <phoneticPr fontId="105" type="noConversion"/>
  </si>
  <si>
    <t xml:space="preserve">   - CleanSYS(TMS) 정기점검 : 3,600,000원*12월</t>
    <phoneticPr fontId="15" type="noConversion"/>
  </si>
  <si>
    <t xml:space="preserve"> ○ 법정검사 수수료</t>
    <phoneticPr fontId="15" type="noConversion"/>
  </si>
  <si>
    <t>○ 법정검사 수수료</t>
    <phoneticPr fontId="56" type="noConversion"/>
  </si>
  <si>
    <t xml:space="preserve">   - 전기 수용설비 법정검사(1회/3년)  : 2,000,000원*1회</t>
    <phoneticPr fontId="105" type="noConversion"/>
  </si>
  <si>
    <t>전기안전관리법 11조에 따른 전기설비 필수 법정검사(1회/3년)</t>
    <phoneticPr fontId="105" type="noConversion"/>
  </si>
  <si>
    <t xml:space="preserve">   -  CleanSYS(TMS) 정도검사 : 6,1000,000원*1회</t>
    <phoneticPr fontId="15" type="noConversion"/>
  </si>
  <si>
    <t>환경분야 시험ㆍ검사 등에 관한 법률 제11조(측정기기의 정도검사) 제1항 및 4항, 제30조(수수료) 1항 관련</t>
    <phoneticPr fontId="15" type="noConversion"/>
  </si>
  <si>
    <t xml:space="preserve">   -  다이옥신(대기, 수질) 검사 : 6,500,000원*2회</t>
    <phoneticPr fontId="15" type="noConversion"/>
  </si>
  <si>
    <t xml:space="preserve">   -  음식물폐기물처리시설(혐기성분해) 정기검사 : 4,000,000원*1회</t>
    <phoneticPr fontId="15" type="noConversion"/>
  </si>
  <si>
    <t xml:space="preserve">   -  기타(보일러,압력용기,호이스트 등) : 5,000,000원*1회</t>
    <phoneticPr fontId="15" type="noConversion"/>
  </si>
  <si>
    <t xml:space="preserve">   - 차량(지게차 등) 정기검사  : 60,000원 *1대</t>
    <phoneticPr fontId="15" type="noConversion"/>
  </si>
  <si>
    <t xml:space="preserve"> ○ 기타 수수료</t>
    <phoneticPr fontId="15" type="noConversion"/>
  </si>
  <si>
    <t>○ 기타용역 제공에 대한 수수료</t>
    <phoneticPr fontId="56" type="noConversion"/>
  </si>
  <si>
    <t xml:space="preserve">   - 반입폐기물(바닥재 포함) 성상분석 : 3,600,000원*12회(월)</t>
    <phoneticPr fontId="15" type="noConversion"/>
  </si>
  <si>
    <t>에너지 회수 및 온실가스 관련 분석(반입폐기물 성상분석 등), 1회/월</t>
    <phoneticPr fontId="15" type="noConversion"/>
  </si>
  <si>
    <t xml:space="preserve">   - 비점오염원, 식수분석(먹는물기준)</t>
    <phoneticPr fontId="15" type="noConversion"/>
  </si>
  <si>
    <t xml:space="preserve"> (우수)비점오염원 관리규정, 식수(먹는물기준 준수, 2회/년)</t>
    <phoneticPr fontId="15" type="noConversion"/>
  </si>
  <si>
    <t xml:space="preserve">   - 유입 / 방류수 수질분석</t>
    <phoneticPr fontId="15" type="noConversion"/>
  </si>
  <si>
    <t xml:space="preserve">   - 기타 공정(소화액 외 5) 수질분석</t>
    <phoneticPr fontId="15" type="noConversion"/>
  </si>
  <si>
    <t xml:space="preserve">   - 자원 순환법(에너지 회수)관련 검교정  : 1,000,000원 *1회*15지점</t>
    <phoneticPr fontId="15" type="noConversion"/>
  </si>
  <si>
    <t xml:space="preserve"> 자원순환법 에너지 회수 부분관련 자료(측정기기는 1년 1회이상 검교정 실시)</t>
    <phoneticPr fontId="15" type="noConversion"/>
  </si>
  <si>
    <t xml:space="preserve">   - 전기안전관리자 직무고시 관련 계측장비 검교정  : 100,000원 *1회* 6EA</t>
    <phoneticPr fontId="15" type="noConversion"/>
  </si>
  <si>
    <t xml:space="preserve"> 전기안전관리자의 직무에 관한 고시 제9조(계측장비 교정 등)(1회/1년)</t>
    <phoneticPr fontId="15" type="noConversion"/>
  </si>
  <si>
    <t xml:space="preserve"> 병해충 방역(사무실, 제어실, 식당 등)</t>
    <phoneticPr fontId="15" type="noConversion"/>
  </si>
  <si>
    <t xml:space="preserve">   - 냉온수기 소독 : 15,000원* 월/1회(4EA)</t>
    <phoneticPr fontId="15" type="noConversion"/>
  </si>
  <si>
    <t xml:space="preserve"> 냉온수기(주민감시실, 바이오, 계근대, 크레인실) 소독 및 청소</t>
    <phoneticPr fontId="15" type="noConversion"/>
  </si>
  <si>
    <t xml:space="preserve"> ○ 시설(시스템) 유지 관리</t>
    <phoneticPr fontId="15" type="noConversion"/>
  </si>
  <si>
    <t xml:space="preserve">   -  설비운영지원시스템(관리시스템) : 1,100,000원*12월 </t>
    <phoneticPr fontId="15" type="noConversion"/>
  </si>
  <si>
    <t xml:space="preserve">   -  근태관리(관리프로그램)  : 40,000원*12월</t>
    <phoneticPr fontId="15" type="noConversion"/>
  </si>
  <si>
    <t xml:space="preserve"> ○ 공개입찰(나라장터) 수수료 등 : 100,000원*6월</t>
    <phoneticPr fontId="15" type="noConversion"/>
  </si>
  <si>
    <t xml:space="preserve"> ○ 나라장터 물품구매 수수료</t>
    <phoneticPr fontId="15" type="noConversion"/>
  </si>
  <si>
    <t xml:space="preserve">  -  얼음정수기(2대) 렌트비용 : 70,000*2대*12월</t>
    <phoneticPr fontId="105" type="noConversion"/>
  </si>
  <si>
    <t xml:space="preserve">  -  비데 렌트비용 : 20,000원*6대*12월</t>
    <phoneticPr fontId="15" type="noConversion"/>
  </si>
  <si>
    <t>비데(화장실3곳)</t>
    <phoneticPr fontId="15" type="noConversion"/>
  </si>
  <si>
    <t xml:space="preserve">  -  복합기 렌트비용 : 140,000원*2대*12월</t>
    <phoneticPr fontId="15" type="noConversion"/>
  </si>
  <si>
    <t>복합기(사무실, 계근대)</t>
    <phoneticPr fontId="15" type="noConversion"/>
  </si>
  <si>
    <t xml:space="preserve">  -  크레인근무자 근골격계 예방 관련 기구 렌트비용 : 60,000원*1대*12월</t>
    <phoneticPr fontId="15" type="noConversion"/>
  </si>
  <si>
    <t>산업안전보건위원회 요청사항(크레인 근무자 근골격계 예방 수립)</t>
    <phoneticPr fontId="105" type="noConversion"/>
  </si>
  <si>
    <t xml:space="preserve">  - 준설(정화조 및 비점오염원 등) : 2,200,000원*6회</t>
    <phoneticPr fontId="15" type="noConversion"/>
  </si>
  <si>
    <t xml:space="preserve">  슬러지 준설(약품탱크, 비점오염원 퇴적물 등)</t>
    <phoneticPr fontId="15" type="noConversion"/>
  </si>
  <si>
    <t xml:space="preserve"> 시설운영관련 중장비 임대(지게차(5톤이상), 굴삭기 등)</t>
    <phoneticPr fontId="15" type="noConversion"/>
  </si>
  <si>
    <t xml:space="preserve">  - 안전모, 안전화, 작업화 등 : 100,000원*42명*2회</t>
    <phoneticPr fontId="15" type="noConversion"/>
  </si>
  <si>
    <t xml:space="preserve">  - 계절 안전용품(보안경, 헤드렌턴, 쿨토시, 넥워머) 등 : 50,000원*42명*2회</t>
    <phoneticPr fontId="15" type="noConversion"/>
  </si>
  <si>
    <t xml:space="preserve">  안전용품 지급(정기유지보수 및 계절별 지급)</t>
    <phoneticPr fontId="15" type="noConversion"/>
  </si>
  <si>
    <t xml:space="preserve">  - 안전장갑(면, 반코팅, 완코팅) 등 : 1,290,000원*10회</t>
    <phoneticPr fontId="15" type="noConversion"/>
  </si>
  <si>
    <t xml:space="preserve">  면/반코팅(15일/월), 완코팅(30일/월) 지급</t>
    <phoneticPr fontId="15" type="noConversion"/>
  </si>
  <si>
    <t>○ 구급약품 등 구입 : 250,000원*2회</t>
    <phoneticPr fontId="15" type="noConversion"/>
  </si>
  <si>
    <t xml:space="preserve"> 정비기간 구급 및 기타 약품 구입(상/하반기)</t>
    <phoneticPr fontId="15" type="noConversion"/>
  </si>
  <si>
    <t xml:space="preserve">  - 9,000원*5명*10일*12개월 </t>
    <phoneticPr fontId="15" type="noConversion"/>
  </si>
  <si>
    <t xml:space="preserve"> ○ 업무용 무선장비 전파 사용료 : 11,000원*36대*1회</t>
    <phoneticPr fontId="15" type="noConversion"/>
  </si>
  <si>
    <t>『전파법』제67조(전파사용료)에 의거 무전기 전파 사용료 납부(36대)</t>
    <phoneticPr fontId="15" type="noConversion"/>
  </si>
  <si>
    <t xml:space="preserve">  - 환경책임보험 갱신(소각시설) : 8,000,000원*1회</t>
    <phoneticPr fontId="15" type="noConversion"/>
  </si>
  <si>
    <t xml:space="preserve">  - 소각재,안정화재(소각시설) : 7,200톤/년 * 10,000원/톤 *산정지수(1.2)</t>
    <phoneticPr fontId="15" type="noConversion"/>
  </si>
  <si>
    <t xml:space="preserve">  - 오니(폐수처리, 바이오시설) :960톤/년 * 25,000원/톤 *산정지수(1.2)</t>
    <phoneticPr fontId="15" type="noConversion"/>
  </si>
  <si>
    <t xml:space="preserve"> 지게차 자동차세(1회/년)</t>
    <phoneticPr fontId="15" type="noConversion"/>
  </si>
  <si>
    <t xml:space="preserve"> 경유차량 환경개선부담금(2회/년)</t>
    <phoneticPr fontId="15" type="noConversion"/>
  </si>
  <si>
    <t xml:space="preserve">  - 차량(지게차)보험료 : 300,000원*1회</t>
    <phoneticPr fontId="15" type="noConversion"/>
  </si>
  <si>
    <t xml:space="preserve"> ○ 차량(렌터카, 지게차) 유지비</t>
    <phoneticPr fontId="15" type="noConversion"/>
  </si>
  <si>
    <t>○ 차량선박비(렌터카, 지게차)</t>
  </si>
  <si>
    <t xml:space="preserve">  - 차량유지비(세차, 소모품, 엔진오일 등) : 300,000원*1대*2회</t>
    <phoneticPr fontId="15" type="noConversion"/>
  </si>
  <si>
    <t xml:space="preserve">  - 차량유류비 : 30리터/(지게차)*1,700원*10회</t>
    <phoneticPr fontId="15" type="noConversion"/>
  </si>
  <si>
    <t xml:space="preserve"> ○ 탈산제 : 4,000원*3.5kg*320일</t>
    <phoneticPr fontId="15" type="noConversion"/>
  </si>
  <si>
    <t xml:space="preserve"> ○ 부식방지제 : 5,000원*1.0kg*320일</t>
    <phoneticPr fontId="15" type="noConversion"/>
  </si>
  <si>
    <t xml:space="preserve"> ○ 차아염소산나트륨(12%) :700원*45L*360일</t>
    <phoneticPr fontId="15" type="noConversion"/>
  </si>
  <si>
    <t xml:space="preserve"> ○ 실험실 운영물품(실험 분석키트 및 소모자재) 구입 : 2,000,000원*6종</t>
    <phoneticPr fontId="15" type="noConversion"/>
  </si>
  <si>
    <t xml:space="preserve">○ 실험 분석키트 : T-N, COD 등 6종 및 소모자재 : 비커, 피펫 등  </t>
    <phoneticPr fontId="15" type="noConversion"/>
  </si>
  <si>
    <t>○ 소각설비 소모품(화격자) 교체 : 300,000,000원 * 1식</t>
    <phoneticPr fontId="105" type="noConversion"/>
  </si>
  <si>
    <t xml:space="preserve"> ○ 화격자 내구 연한 (3~4년), 前 교체일 : '20.11.23 , 22종(515EA)</t>
    <phoneticPr fontId="56" type="noConversion"/>
  </si>
  <si>
    <t>○ 배출가스처리설비 소모품(SCR 촉매) 교체 : 220,000,000원 * 1식</t>
    <phoneticPr fontId="105" type="noConversion"/>
  </si>
  <si>
    <t xml:space="preserve"> ○ 촉매 내구 연한 (3~4년), 최초 설치일 : '21.12.20 , 보증시간 : 24,000hr(약 3년)</t>
    <phoneticPr fontId="56" type="noConversion"/>
  </si>
  <si>
    <t>○ 시설의 안전진단 및 정밀점검비 : 2,000,000원*2회</t>
    <phoneticPr fontId="105" type="noConversion"/>
  </si>
  <si>
    <t xml:space="preserve"> ○ 자연재해 예방 및 복구 비용</t>
    <phoneticPr fontId="105" type="noConversion"/>
  </si>
  <si>
    <t>○ 시설 운영 관련  물품 구매</t>
    <phoneticPr fontId="15" type="noConversion"/>
  </si>
  <si>
    <t xml:space="preserve"> - 윤활유 : 4,000원*1,000L*1회</t>
    <phoneticPr fontId="15" type="noConversion"/>
  </si>
  <si>
    <t>윤활유 구매 : 크레인 및 유압장치 등 유압유 교체(1회/년)</t>
    <phoneticPr fontId="15" type="noConversion"/>
  </si>
  <si>
    <t xml:space="preserve"> - 그리스 : 6,000원*20L*4회</t>
    <phoneticPr fontId="15" type="noConversion"/>
  </si>
  <si>
    <t>그리스 구매 : 회전기기류 그리스 주입(월별, 분기별 주입)</t>
    <phoneticPr fontId="15" type="noConversion"/>
  </si>
  <si>
    <t xml:space="preserve"> - 소각로 온도계 : 1,950,000원 * 6개</t>
    <phoneticPr fontId="15" type="noConversion"/>
  </si>
  <si>
    <t xml:space="preserve">  소각로 출구 법적온도(850℃) 측정용 온도계 구매-3EA(상/하반기)</t>
    <phoneticPr fontId="15" type="noConversion"/>
  </si>
  <si>
    <t xml:space="preserve">  액상소석회, 요소수 분무용 노즐 및 팁 구매(각 2EA)</t>
    <phoneticPr fontId="15" type="noConversion"/>
  </si>
  <si>
    <t xml:space="preserve"> - 크레인 관련 물품구매(발톱, 와이어, 케이블 등) : 12,000,000원*1식</t>
    <phoneticPr fontId="15" type="noConversion"/>
  </si>
  <si>
    <t xml:space="preserve">  크레인 버켓 예비품(6발톱),(2와이어(S/Z), (전선케이블), 유압실린더(6EA) 등</t>
    <phoneticPr fontId="15" type="noConversion"/>
  </si>
  <si>
    <t>○ 기타 소모자제구매 : 각시설에 필요한 잡자재 구매</t>
    <phoneticPr fontId="15" type="noConversion"/>
  </si>
  <si>
    <t>○ 사업장폐기물 운반(소각재, 안정화물, 오니)</t>
    <phoneticPr fontId="56" type="noConversion"/>
  </si>
  <si>
    <t xml:space="preserve"> - 공업용수 : 450원*6,000톤*12월</t>
    <phoneticPr fontId="15" type="noConversion"/>
  </si>
  <si>
    <t xml:space="preserve">  공업용수 : 년간 계약단가(404원), 사용량(6,000톤/월) </t>
    <phoneticPr fontId="15" type="noConversion"/>
  </si>
  <si>
    <t>○ 전기요금 : 160원*380,000kwh*12월</t>
    <phoneticPr fontId="15" type="noConversion"/>
  </si>
  <si>
    <t>○ 전기요금 : '24년도 평균단가(136.8원/kwh), '24.5월 사용량(379,215kwh)</t>
    <phoneticPr fontId="15" type="noConversion"/>
  </si>
  <si>
    <t xml:space="preserve"> - 보조버너(정기유지보수 승온) : 1,600원*5,000L*2회</t>
    <phoneticPr fontId="15" type="noConversion"/>
  </si>
  <si>
    <t xml:space="preserve"> '24.7월 전남지역 경유단가 : 1,549원 -  정기유지보수 : 2회(상반기/4월, 하반기/10월)</t>
    <phoneticPr fontId="15" type="noConversion"/>
  </si>
  <si>
    <t xml:space="preserve"> - 보조버너(비상정지 승온) : 1,600원*3,000L*2회</t>
    <phoneticPr fontId="15" type="noConversion"/>
  </si>
  <si>
    <t xml:space="preserve">   시설이상 관련 비상정지 : 2회('23 ~ '24.6 : 없음)</t>
    <phoneticPr fontId="15" type="noConversion"/>
  </si>
  <si>
    <t xml:space="preserve"> - 비상발전기  : 1,600원*200L*3월</t>
    <phoneticPr fontId="15" type="noConversion"/>
  </si>
  <si>
    <t xml:space="preserve"> - 보조보일러 및 기타  : 1,600원*200L*3월</t>
    <phoneticPr fontId="15" type="noConversion"/>
  </si>
  <si>
    <t xml:space="preserve">  기타 난방용(보조 보일러), 예초 휘발유 구입</t>
    <phoneticPr fontId="15" type="noConversion"/>
  </si>
  <si>
    <t>24년 통합환경 조건부 허가 : 수질오염물질(T-N)  배출허용기준(120㎎/L) 준수 '25.12.31.한)</t>
    <phoneticPr fontId="56" type="noConversion"/>
  </si>
  <si>
    <t xml:space="preserve">  ○ 보일러급수 펌프 제작 구매 * 1식</t>
    <phoneticPr fontId="15" type="noConversion"/>
  </si>
  <si>
    <t>○ 소각시설 보일러 급수펌프 운영(3기) 중 1기 신규 교체 : 최종교체일(21. 4., 1기)</t>
    <phoneticPr fontId="15" type="noConversion"/>
  </si>
  <si>
    <t>○ 사무실 비품 구매</t>
    <phoneticPr fontId="15" type="noConversion"/>
  </si>
  <si>
    <t>○ 의자 수량 : 사무실(11EA), 제어실(소각 : 2EA, 바이오 : 2EA)</t>
    <phoneticPr fontId="15" type="noConversion"/>
  </si>
  <si>
    <t>○ 보조의자 수량 : 사무실(5 EA), 제어실(소각 : 15EA)</t>
    <phoneticPr fontId="15" type="noConversion"/>
  </si>
  <si>
    <t>굴전∙금오도 시설 유지보수</t>
    <phoneticPr fontId="15" type="noConversion"/>
  </si>
  <si>
    <r>
      <t xml:space="preserve">  ○ 수착자산취득비(굴전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금오도 야영장 운영)</t>
    </r>
    <phoneticPr fontId="15" type="noConversion"/>
  </si>
  <si>
    <t>야영장 수탁 대행사업</t>
    <phoneticPr fontId="15" type="noConversion"/>
  </si>
  <si>
    <t>- 복사용지 및 소모품비(토너) : 100,000원*12개월</t>
    <phoneticPr fontId="15" type="noConversion"/>
  </si>
  <si>
    <t xml:space="preserve"> ○ (신규)냉난방기 설치비</t>
    <phoneticPr fontId="15" type="noConversion"/>
  </si>
  <si>
    <t xml:space="preserve"> ○ 정수기렌탈료 : 20,000원*12개월</t>
    <phoneticPr fontId="15" type="noConversion"/>
  </si>
  <si>
    <t xml:space="preserve"> ○ (신규)냉난방기 렌탈료 : 60,000원*12개월*1대</t>
    <phoneticPr fontId="56" type="noConversion"/>
  </si>
  <si>
    <t xml:space="preserve">  - 3,000cc(경유) : 21,000km*1대*1,500원*0.16</t>
    <phoneticPr fontId="15" type="noConversion"/>
  </si>
  <si>
    <t xml:space="preserve">  - 관내(일반직) :10,000원*10일*1명*12개월 </t>
    <phoneticPr fontId="15" type="noConversion"/>
  </si>
  <si>
    <t xml:space="preserve">  - 연간카드판매액*수수료율=1,800백만원*2.86%</t>
    <phoneticPr fontId="56" type="noConversion"/>
  </si>
  <si>
    <t xml:space="preserve"> ○ 물품판매관리 서버 임대 및 운영수수료 : 650,000원*12개월</t>
    <phoneticPr fontId="56" type="noConversion"/>
  </si>
  <si>
    <t xml:space="preserve">  - 8,000원*10일*12개월 </t>
  </si>
  <si>
    <t xml:space="preserve"> ○ 택배비(도서지역 등기우편) : 90,000원*12개월</t>
  </si>
  <si>
    <t xml:space="preserve"> ○ 전기요금 : 400,000원*12개월</t>
  </si>
  <si>
    <t xml:space="preserve"> ○ 컴퓨터 및 복사기 수리비 : 100,000원*1회</t>
    <phoneticPr fontId="15" type="noConversion"/>
  </si>
  <si>
    <t xml:space="preserve">   - 기본급  : 10,710원*8시간*5명*5일*44주</t>
    <phoneticPr fontId="15" type="noConversion"/>
  </si>
  <si>
    <t xml:space="preserve">   - 휴일근무수당  : 10,710원*8시간*150%*5명*44주</t>
    <phoneticPr fontId="15" type="noConversion"/>
  </si>
  <si>
    <t xml:space="preserve">   - 야간근무수당  : 10,710원*0.5시간*50%*5명*44주</t>
    <phoneticPr fontId="15" type="noConversion"/>
  </si>
  <si>
    <t xml:space="preserve">   - 연차휴가수당  : 10,710원*8시간*5명*10일</t>
    <phoneticPr fontId="15" type="noConversion"/>
  </si>
  <si>
    <t xml:space="preserve">   - 주휴수당  : 10,710원*8시간*5명*44주</t>
    <phoneticPr fontId="15" type="noConversion"/>
  </si>
  <si>
    <t>○수영장(진남,망마) 수영강사 강습관련 장비 구입(대체인력 포함 20명)</t>
    <phoneticPr fontId="15" type="noConversion"/>
  </si>
  <si>
    <t xml:space="preserve"> ○ 수영장 네트워크 시스템 수리비 : 1,000,000원*1식</t>
    <phoneticPr fontId="15" type="noConversion"/>
  </si>
  <si>
    <t xml:space="preserve"> ○ 기계실 장비 및 배관 유지보수 : 4,000,000원*1식</t>
    <phoneticPr fontId="15" type="noConversion"/>
  </si>
  <si>
    <t xml:space="preserve"> ○ 수영장 및 로비 전광판 수리비 : 1,000,000원*1식</t>
    <phoneticPr fontId="15" type="noConversion"/>
  </si>
  <si>
    <t xml:space="preserve"> ○ 샤워실 및 수영장 내부 소모성 자재 구입 : 1,000,000원*1식</t>
    <phoneticPr fontId="15" type="noConversion"/>
  </si>
  <si>
    <t xml:space="preserve"> ○ GHP 실외기 소모품 교체 : 2,000,000원*1대</t>
    <phoneticPr fontId="15" type="noConversion"/>
  </si>
  <si>
    <t xml:space="preserve"> ○ GHP 실외기 유지관리비(콤프) : 4,000,000원*1식</t>
    <phoneticPr fontId="15" type="noConversion"/>
  </si>
  <si>
    <t xml:space="preserve"> ○ 수영장 PT층 누수부위 방수 공사 : 200,000원*10개소</t>
    <phoneticPr fontId="15" type="noConversion"/>
  </si>
  <si>
    <t xml:space="preserve"> ○ 수영장 외부 시설 유지보수비 : 1,150,000원*1식</t>
    <phoneticPr fontId="15" type="noConversion"/>
  </si>
  <si>
    <t>○ (법정) 체육센터 내·외부 방역 용역비 : 300,000원*5회</t>
    <phoneticPr fontId="15" type="noConversion"/>
  </si>
  <si>
    <t xml:space="preserve"> ○ 체육시설 내 외부 방역(연5회)</t>
    <phoneticPr fontId="105" type="noConversion"/>
  </si>
  <si>
    <t>○ 방역소독약품 구입 : 500,000원*1회</t>
    <phoneticPr fontId="105" type="noConversion"/>
  </si>
  <si>
    <t>○ 정제염 소금 구입 : 8,800원*12포*12월</t>
    <phoneticPr fontId="15" type="noConversion"/>
  </si>
  <si>
    <t>○ 시스템 냉난방기 유지보수비 : 150,000원*12대*1회</t>
    <phoneticPr fontId="15" type="noConversion"/>
  </si>
  <si>
    <t>○ 독립형 냉난방기 유지보수비 : 200,000원*9대*1회</t>
    <phoneticPr fontId="15" type="noConversion"/>
  </si>
  <si>
    <t>○ 소방시설 유지보수비 : 150,000원*12개월</t>
    <phoneticPr fontId="15" type="noConversion"/>
  </si>
  <si>
    <t>○ 센서류(저수조, 밸런싱, 염소 등) 유지보수비 : 800,000원*5개소</t>
    <phoneticPr fontId="15" type="noConversion"/>
  </si>
  <si>
    <t>○ 순환펌프(난방, 급탕, 수처리 등) 유지보수 : 600,000원*5대*1회</t>
    <phoneticPr fontId="15" type="noConversion"/>
  </si>
  <si>
    <t>○ 사무기기(발매기, CCTV 등) 유지보수비 : 2,500,000원*1식</t>
    <phoneticPr fontId="15" type="noConversion"/>
  </si>
  <si>
    <t>○ 노후 기계설비(밸브, 배관 등) 보수 및 보강 : 2,500,000원*2회</t>
    <phoneticPr fontId="105" type="noConversion"/>
  </si>
  <si>
    <t>○ (삭제)망마수영장 줄눈 보수 : 2,000,000원*1식</t>
    <phoneticPr fontId="15" type="noConversion"/>
  </si>
  <si>
    <t xml:space="preserve"> ○ 수영장 풀장 누수 방수 공사</t>
    <phoneticPr fontId="105" type="noConversion"/>
  </si>
  <si>
    <t>○ 체육관 용품 구입(탁구공, 배드민턴네트 등) : 700,000원*4회</t>
    <phoneticPr fontId="15" type="noConversion"/>
  </si>
  <si>
    <t xml:space="preserve">  - 소방설비 수리 및 교체비 : 250,000원*8월</t>
    <phoneticPr fontId="15" type="noConversion"/>
  </si>
  <si>
    <t xml:space="preserve">  - 전기설비 수리 및 교체비 : 200,000원*8월</t>
    <phoneticPr fontId="15" type="noConversion"/>
  </si>
  <si>
    <t xml:space="preserve">  - 기계설비 수리 및 교체비 : 200,000원*8월</t>
    <phoneticPr fontId="15" type="noConversion"/>
  </si>
  <si>
    <t xml:space="preserve">  - (삭제)내부 공기순환장치 필터, 전열교환기 교체비 : 2,500,000원*1식</t>
    <phoneticPr fontId="15" type="noConversion"/>
  </si>
  <si>
    <t xml:space="preserve">  - (삭제)다목적체육관 바닥 라인(배구, 배드민턴) 보수 : 4,600,000*1식</t>
    <phoneticPr fontId="15" type="noConversion"/>
  </si>
  <si>
    <t>○ 성희롱·성폭력·스토킹 고충심의위원회 참석수당 : 100,000원 * 5명 * 2회</t>
    <phoneticPr fontId="15" type="noConversion"/>
  </si>
  <si>
    <t>○ 퇴직연금(DB) 운영 사용자 부담금 및 퇴직급여충당금
- 2024년 말 공단 퇴직금 적립 예상 금액 : 217억원
- 2024년 말 95% 기준 퇴직금 필수 충당금 금액 : 207억원
- 2025년 상반기 퇴직금 및 충당금 지출액 : 20억원
- 퇴직급여 요구액 ;10 억원(217억 - 207억 -20억 = -10억)
※ 요구액 = 2024년 연말 기준 퇴직금 최소 적립액 95% 기준</t>
    <phoneticPr fontId="15" type="noConversion"/>
  </si>
  <si>
    <t>[ 장애인 기간제 채용 2명 ]</t>
    <phoneticPr fontId="15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</si>
  <si>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(신설)</t>
    </r>
    <r>
      <rPr>
        <sz val="10"/>
        <color rgb="FF000000"/>
        <rFont val="굴림"/>
        <family val="3"/>
        <charset val="129"/>
      </rPr>
      <t>장애인 기간제 급여 (2명)</t>
    </r>
    <phoneticPr fontId="15" type="noConversion"/>
  </si>
  <si>
    <t xml:space="preserve">  - 복사용지 구입 : 23,000원 * 12박스 * 12월</t>
    <phoneticPr fontId="15" type="noConversion"/>
  </si>
  <si>
    <t xml:space="preserve">  - 사무용품 구입 : 200,000원 * 1회 * 12월</t>
    <phoneticPr fontId="15" type="noConversion"/>
  </si>
  <si>
    <t>○ 적극행정 및 청렴캠페인 관련 직원 홍보물 제작 : 800,000원 * 1식</t>
    <phoneticPr fontId="15" type="noConversion"/>
  </si>
  <si>
    <t xml:space="preserve">  - 기본(참석수당) : 100,000원 * 4명 * 9회</t>
    <phoneticPr fontId="15" type="noConversion"/>
  </si>
  <si>
    <t xml:space="preserve">  - 기본(참석수당) : 100,000원 * 3명 * 8회</t>
    <phoneticPr fontId="15" type="noConversion"/>
  </si>
  <si>
    <t>○ ESG경영위원회 참석수당 : 100,000원 * 7명 * 2회</t>
    <phoneticPr fontId="15" type="noConversion"/>
  </si>
  <si>
    <t>○ 야간근무자 급량비 : 9,000원 * 20명 * 10일 * 10월</t>
    <phoneticPr fontId="15" type="noConversion"/>
  </si>
  <si>
    <t xml:space="preserve">○ 회계관계직원 재정보증보험료 : 55,000원 * 23명 </t>
    <phoneticPr fontId="15" type="noConversion"/>
  </si>
  <si>
    <t xml:space="preserve">  - 차량유지비(세차,소모품등)     : 100,000원 * 2대 * 10월</t>
    <phoneticPr fontId="15" type="noConversion"/>
  </si>
  <si>
    <t xml:space="preserve">  - 관내(경영본부)       : 20,000원 * 10명 * 9일 * 10월</t>
    <phoneticPr fontId="15" type="noConversion"/>
  </si>
  <si>
    <t xml:space="preserve">  - 아차사고 제안 우수자 포상 : 200,000원 * 1회</t>
    <phoneticPr fontId="15" type="noConversion"/>
  </si>
  <si>
    <t>○ 적극행정 우수직원 선정에 따른 포상금 : 700,000원*1회</t>
    <phoneticPr fontId="15" type="noConversion"/>
  </si>
  <si>
    <t>- 통합직군(9호봉) : 2,223,408원 * 95명 * 120%</t>
    <phoneticPr fontId="15" type="noConversion"/>
  </si>
  <si>
    <t>○ 교육여비 : 400,000원 * 10명 * 1회</t>
    <phoneticPr fontId="15" type="noConversion"/>
  </si>
  <si>
    <t>○ 실무자과정교육(부장급) : 400,000원 * 5명 * 1회</t>
    <phoneticPr fontId="15" type="noConversion"/>
  </si>
  <si>
    <t>○ 실무자과정교육(4급이하) : 300,000원 * 35명 * 1회</t>
    <phoneticPr fontId="15" type="noConversion"/>
  </si>
  <si>
    <t>- 관리감독자 법정교육 : 208,000원*25명</t>
    <phoneticPr fontId="15" type="noConversion"/>
  </si>
  <si>
    <t>○ 노사협의회 운영비                        : 25,000원 * 10명 * 2회</t>
    <phoneticPr fontId="15" type="noConversion"/>
  </si>
  <si>
    <t xml:space="preserve">   - 고객모니터링단 간담회 : 25,000원 * 12명 * 1회</t>
    <phoneticPr fontId="15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</si>
  <si>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적극행정 지원위원회 간담회 : 25,000원 * 4명 * 1회</t>
    </r>
    <phoneticPr fontId="15" type="noConversion"/>
  </si>
  <si>
    <t>○ 이사회 간담회 및 운영비                : 25,000원 * 10명 * 4회</t>
    <phoneticPr fontId="15" type="noConversion"/>
  </si>
  <si>
    <t>○ 임원추천위원회 간담회 및 운영비     : 25,000원 * 7명 * 3회</t>
    <phoneticPr fontId="15" type="noConversion"/>
  </si>
  <si>
    <t>○ 인사 위원회 간담회 및 운영비          : 25,000원 * 5명 * 3회</t>
    <phoneticPr fontId="15" type="noConversion"/>
  </si>
  <si>
    <t xml:space="preserve">   - 주민참여예산위원회 간담회 : 25,000원 * 7명 * 1회</t>
    <phoneticPr fontId="15" type="noConversion"/>
  </si>
  <si>
    <t xml:space="preserve">  - 컬러복합기 토너 : 200,000원 * 20개</t>
    <phoneticPr fontId="15" type="noConversion"/>
  </si>
  <si>
    <t xml:space="preserve">  - 컬러복합기 폐토너통 : 110,000원 * 10개</t>
    <phoneticPr fontId="15" type="noConversion"/>
  </si>
  <si>
    <t xml:space="preserve">  - 흑백복합기 추가인쇄료 : 11원 * 100,000매</t>
    <phoneticPr fontId="15" type="noConversion"/>
  </si>
  <si>
    <t xml:space="preserve">  - 임원실 토너 : 200,000원 * 3개</t>
    <phoneticPr fontId="15" type="noConversion"/>
  </si>
  <si>
    <t xml:space="preserve">  - 전산 소모품 : 20,000원 * 20회</t>
    <phoneticPr fontId="15" type="noConversion"/>
  </si>
  <si>
    <t xml:space="preserve">  - 기록관 환경정비 물품 구입 : 200,000원 * 2개</t>
    <phoneticPr fontId="15" type="noConversion"/>
  </si>
  <si>
    <t>○ 공단 업무용 수첩 제작 : 50,000원 * 80부</t>
    <phoneticPr fontId="15" type="noConversion"/>
  </si>
  <si>
    <t xml:space="preserve">  - 기본(참석수당) : 100,000원 * 7명 * 5회</t>
    <phoneticPr fontId="15" type="noConversion"/>
  </si>
  <si>
    <t xml:space="preserve">  - 초과(2시간이상) : 50,000원 * 7명 * 2회</t>
    <phoneticPr fontId="15" type="noConversion"/>
  </si>
  <si>
    <t xml:space="preserve">  - 초과(2시간이상) : 50,000원 * 3명 * 8회</t>
    <phoneticPr fontId="15" type="noConversion"/>
  </si>
  <si>
    <t>○ 사무실 전기, 선로설비등 보수비 : 250,000원 * 2회</t>
    <phoneticPr fontId="15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</si>
  <si>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 xml:space="preserve"> 개인정보보호 컨설팅 및 전문가 자문 : 16,500,000원 * 1회</t>
    </r>
    <phoneticPr fontId="15" type="noConversion"/>
  </si>
  <si>
    <t>=</t>
    <phoneticPr fontId="15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</si>
  <si>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ESG., 혁신 아이디어 공모전 : 400,000원 * 1회</t>
    </r>
    <phoneticPr fontId="15" type="noConversion"/>
  </si>
  <si>
    <t>○ 직원 화합 워크숍 : 4,800,000원 * 1회</t>
    <phoneticPr fontId="15" type="noConversion"/>
  </si>
  <si>
    <r>
      <t xml:space="preserve">○  </t>
    </r>
    <r>
      <rPr>
        <sz val="10"/>
        <color rgb="FFFF0000"/>
        <rFont val="굴림"/>
        <family val="3"/>
        <charset val="129"/>
      </rPr>
      <t xml:space="preserve">(신규) </t>
    </r>
    <r>
      <rPr>
        <sz val="10"/>
        <color theme="1"/>
        <rFont val="굴림"/>
        <family val="3"/>
        <charset val="129"/>
      </rPr>
      <t>산업시찰, 견학, 참여를 위한 실비 : 400,000원 * 2회</t>
    </r>
    <phoneticPr fontId="15" type="noConversion"/>
  </si>
  <si>
    <t xml:space="preserve">○ 여수시도시형폐기물종합처리시설 총질소(T-N) 저감시설 설치공사 관련 설계비 * 1식 </t>
    <phoneticPr fontId="56" type="noConversion"/>
  </si>
  <si>
    <t xml:space="preserve"> - 총질소(T-N) 저감시설 설계비(기본 및 실시 설계) * 1식</t>
    <phoneticPr fontId="56" type="noConversion"/>
  </si>
  <si>
    <t xml:space="preserve">  총질소 저감시설 설계용역비</t>
    <phoneticPr fontId="56" type="noConversion"/>
  </si>
  <si>
    <t xml:space="preserve">   - 기본급: 89,600원*5명*5일*52주</t>
    <phoneticPr fontId="15" type="noConversion"/>
  </si>
  <si>
    <t xml:space="preserve">   - 주휴수당: 89,600원*5명*52주</t>
    <phoneticPr fontId="15" type="noConversion"/>
  </si>
  <si>
    <t xml:space="preserve">   - 휴일근무수당: 89,600원*5명*46일*150%</t>
    <phoneticPr fontId="15" type="noConversion"/>
  </si>
  <si>
    <t xml:space="preserve">   - 연차수당: 89,600원*5명*10일</t>
    <phoneticPr fontId="15" type="noConversion"/>
  </si>
  <si>
    <t xml:space="preserve">   - 기본급: 67,200원*6명*5일*52주</t>
    <phoneticPr fontId="15" type="noConversion"/>
  </si>
  <si>
    <t xml:space="preserve">   - 주휴수당: 67,200원*6명*52주</t>
    <phoneticPr fontId="15" type="noConversion"/>
  </si>
  <si>
    <t xml:space="preserve">   - 휴일근무수당: 89,600원*6명*46일*150%</t>
    <phoneticPr fontId="15" type="noConversion"/>
  </si>
  <si>
    <t xml:space="preserve">   - 연차수당: 67,200원*6명*10일</t>
    <phoneticPr fontId="15" type="noConversion"/>
  </si>
  <si>
    <t xml:space="preserve">   - 초단시간근로자(기본급): 78,400원*4명*2일*52주</t>
    <phoneticPr fontId="15" type="noConversion"/>
  </si>
  <si>
    <t xml:space="preserve">   - 기본급: 89,600원*4명*5일*52주</t>
    <phoneticPr fontId="15" type="noConversion"/>
  </si>
  <si>
    <t xml:space="preserve">   - 주휴수당: 89,600원*4명*52주</t>
    <phoneticPr fontId="15" type="noConversion"/>
  </si>
  <si>
    <t xml:space="preserve">   - 휴일근무수당: 89,600원*4명*50일*150%</t>
    <phoneticPr fontId="15" type="noConversion"/>
  </si>
  <si>
    <t xml:space="preserve">   - 연차수당: 89,600원*4명*10일</t>
    <phoneticPr fontId="15" type="noConversion"/>
  </si>
  <si>
    <t xml:space="preserve">   - 인부임 : 87,920원*2명*5일*52주</t>
  </si>
  <si>
    <t xml:space="preserve">   - 주휴수당 : 87,920원*2명*52주</t>
  </si>
  <si>
    <t xml:space="preserve">   - 휴일근무수당 : 87,920원*2명*22일*150%</t>
  </si>
  <si>
    <t xml:space="preserve">   - 연차휴가수당 : 87,920원*2명*10일</t>
  </si>
  <si>
    <t xml:space="preserve">   - 청소원 인부임 : 87,920원*2명*5일*8주 </t>
  </si>
  <si>
    <t xml:space="preserve">  ○ 전기요금 : 2,700,000원*12월</t>
    <phoneticPr fontId="15" type="noConversion"/>
  </si>
  <si>
    <t>○ 시설관리 청소용품 및 위생용품 구입 : 750,000원*12월</t>
    <phoneticPr fontId="15" type="noConversion"/>
  </si>
  <si>
    <t>○ CCTV 임차료 : 50,000원*12월</t>
    <phoneticPr fontId="15" type="noConversion"/>
  </si>
  <si>
    <t>○CCTV 임차료</t>
    <phoneticPr fontId="15" type="noConversion"/>
  </si>
  <si>
    <t xml:space="preserve"> ○ 비상안심벨 임차료 : 224,000원*12월</t>
    <phoneticPr fontId="15" type="noConversion"/>
  </si>
  <si>
    <t xml:space="preserve"> ○ 피복비(체육시설부) : 60,000원*2회*57명</t>
    <phoneticPr fontId="15" type="noConversion"/>
  </si>
  <si>
    <t xml:space="preserve"> ○ 강습용 슈트, 수경, 수모, 수영복 등 구입비(체육시설팀) : 300,000원*2회*20명</t>
    <phoneticPr fontId="15" type="noConversion"/>
  </si>
  <si>
    <t xml:space="preserve">○ 전기 요금 : 8,500,000원*12월 </t>
    <phoneticPr fontId="15" type="noConversion"/>
  </si>
  <si>
    <t xml:space="preserve"> ○ 남/여 샤워실, 탈의실 내부 유지보수 : 3,000,000*1식</t>
    <phoneticPr fontId="15" type="noConversion"/>
  </si>
  <si>
    <t xml:space="preserve"> ○ 기계실 센서류, 밸브류 유지보수비 : 2,000,000원*1식</t>
    <phoneticPr fontId="15" type="noConversion"/>
  </si>
  <si>
    <t xml:space="preserve"> ○ (주민참여)전기 대리석 청소기 구매 : 900,000원*2대</t>
    <phoneticPr fontId="15" type="noConversion"/>
  </si>
  <si>
    <t xml:space="preserve"> ○ (주민참여)2층 복도 에어컨 설치 : 3,500,000원*2대</t>
    <phoneticPr fontId="15" type="noConversion"/>
  </si>
  <si>
    <t>○ 도시가스 요금 : 16,000,000원*12개월</t>
    <phoneticPr fontId="15" type="noConversion"/>
  </si>
  <si>
    <t>○ 상하수도 요금 : 14,500,000원*12개월</t>
    <phoneticPr fontId="15" type="noConversion"/>
  </si>
  <si>
    <t>○ 전기요금 : 6,500,000원*12개월</t>
    <phoneticPr fontId="15" type="noConversion"/>
  </si>
  <si>
    <t>○ 샤워실, 화장실 보수 정비 : 2,000,000원*1식</t>
    <phoneticPr fontId="15" type="noConversion"/>
  </si>
  <si>
    <t>○ 샤워실 및 수영장 내부 소모성 자재 구입 : 2,000,000원*1식</t>
    <phoneticPr fontId="15" type="noConversion"/>
  </si>
  <si>
    <t>○ (신규) 수영장 풀장 누수 방수 작업 : 9,000,000원*1식</t>
    <phoneticPr fontId="15" type="noConversion"/>
  </si>
  <si>
    <t>○ (신규) 수영장 여과사 교체 및 보수 작업 : 15,000,000원*1식</t>
    <phoneticPr fontId="15" type="noConversion"/>
  </si>
  <si>
    <t>○ 전기요금 : 2,800,000원*12월</t>
    <phoneticPr fontId="15" type="noConversion"/>
  </si>
  <si>
    <t>○ 도시가스요금 : 5,300,000원*12월</t>
    <phoneticPr fontId="15" type="noConversion"/>
  </si>
  <si>
    <t xml:space="preserve">  - (신규)기계실 안전밸브, 방출밸브 등 노후 벨브 교체비 :1,500,000원*1개소</t>
    <phoneticPr fontId="15" type="noConversion"/>
  </si>
  <si>
    <t xml:space="preserve">  - 실외기 소모품 교체비 : 1,000,000원*7대</t>
    <phoneticPr fontId="15" type="noConversion"/>
  </si>
  <si>
    <t xml:space="preserve">  - 복사용지 구입(A4) : 23,000원×10박스×10회</t>
    <phoneticPr fontId="15" type="noConversion"/>
  </si>
  <si>
    <t xml:space="preserve">  - 복사용지 구입(A3) : 25,000원×4박스×2회</t>
    <phoneticPr fontId="15" type="noConversion"/>
  </si>
  <si>
    <r>
      <t xml:space="preserve">  - 사무용품 구입비 : </t>
    </r>
    <r>
      <rPr>
        <sz val="10"/>
        <rFont val="굴림"/>
        <family val="3"/>
        <charset val="129"/>
      </rPr>
      <t>300,000원</t>
    </r>
    <r>
      <rPr>
        <sz val="10"/>
        <color theme="1"/>
        <rFont val="굴림"/>
        <family val="3"/>
        <charset val="129"/>
      </rPr>
      <t>×12회</t>
    </r>
    <phoneticPr fontId="15" type="noConversion"/>
  </si>
  <si>
    <t xml:space="preserve"> ○ 휴게실 모포 세탁비 : 8,000원x40개×3회</t>
    <phoneticPr fontId="15" type="noConversion"/>
  </si>
  <si>
    <r>
      <t xml:space="preserve"> ○ </t>
    </r>
    <r>
      <rPr>
        <b/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청소차량 및 사무실 구급약품 구입</t>
    </r>
    <phoneticPr fontId="15" type="noConversion"/>
  </si>
  <si>
    <t xml:space="preserve"> ○ 도서지역 폐기물 운반 선박비 : 2,000,000원×63회</t>
    <phoneticPr fontId="15" type="noConversion"/>
  </si>
  <si>
    <r>
      <t xml:space="preserve">  - </t>
    </r>
    <r>
      <rPr>
        <b/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2500cc(LPG) : 26,000km×1대×980원×0.41</t>
    </r>
    <phoneticPr fontId="15" type="noConversion"/>
  </si>
  <si>
    <t xml:space="preserve">  - 춘추 작업복 : 150,000원×279명×1회 </t>
    <phoneticPr fontId="15" type="noConversion"/>
  </si>
  <si>
    <t xml:space="preserve">  - 작업용 장갑 :1,100원×274명×8개×12월</t>
    <phoneticPr fontId="15" type="noConversion"/>
  </si>
  <si>
    <t xml:space="preserve">  - 마스크 : 500원×271명×100회</t>
    <phoneticPr fontId="15" type="noConversion"/>
  </si>
  <si>
    <t xml:space="preserve"> ○ 환경사원 복지관 등 수선유지비 : 5,800,000원×1식</t>
    <phoneticPr fontId="15" type="noConversion"/>
  </si>
  <si>
    <t xml:space="preserve"> ○ 노면 청소차 유지비(소형포함) : 23,000,000원×1식</t>
    <phoneticPr fontId="15" type="noConversion"/>
  </si>
  <si>
    <t xml:space="preserve">  - 생활폐기물 차량 구입(경유5톤/저상) : 157,000,000원×3대</t>
    <phoneticPr fontId="15" type="noConversion"/>
  </si>
  <si>
    <t xml:space="preserve">  - 음식물쓰레기 차량 구입(경유7톤/저상) : 151,000,000원×1대</t>
    <phoneticPr fontId="15" type="noConversion"/>
  </si>
  <si>
    <t xml:space="preserve">  - 재활용쓰레기 차량 구입(경유1.6톤) : 85,000,000원×1대</t>
    <phoneticPr fontId="15" type="noConversion"/>
  </si>
  <si>
    <t xml:space="preserve"> ○ 관내여비 : 20,000원*7명*11일*12월</t>
    <phoneticPr fontId="15" type="noConversion"/>
  </si>
  <si>
    <t>○ 공기청정기(4대) 임차 : 42,000원*4대*12회</t>
    <phoneticPr fontId="15" type="noConversion"/>
  </si>
  <si>
    <t xml:space="preserve"> ○ 공기청정기(4대) 임차</t>
    <phoneticPr fontId="105" type="noConversion"/>
  </si>
  <si>
    <t>○ 비상안심벨 임차료 : 224,000원*12개월</t>
    <phoneticPr fontId="15" type="noConversion"/>
  </si>
  <si>
    <t>○ (신규)CCTV 장비 임차료 : 300,000원*12개월</t>
    <phoneticPr fontId="15" type="noConversion"/>
  </si>
  <si>
    <t xml:space="preserve"> ○ 소규모시설 및 주차장 관제시스템 등 유지보수비 : 125,859,000원*1식</t>
  </si>
  <si>
    <t xml:space="preserve"> ○ 관제시스템 내부 장비 교체 및 유지관리 등(연간 단가계약) : 55,000,000원*1식</t>
  </si>
  <si>
    <t>○ 사무용품 등 : 199,000원*12월</t>
  </si>
  <si>
    <t>○ (신규) 소규모 전자제품 구입 : 775,000원*2회</t>
    <phoneticPr fontId="15" type="noConversion"/>
  </si>
  <si>
    <t xml:space="preserve"> ○ 소방시설 안전관리 대행수수료 : 330,000원*12월</t>
    <phoneticPr fontId="15" type="noConversion"/>
  </si>
  <si>
    <t xml:space="preserve"> - 춘추복 : 130,000원*12명*2회</t>
    <phoneticPr fontId="105" type="noConversion"/>
  </si>
  <si>
    <t xml:space="preserve"> - 동복 : 200,000원*12명*1회</t>
    <phoneticPr fontId="105" type="noConversion"/>
  </si>
  <si>
    <t xml:space="preserve">  ○ 상수도 요금 : 1,000,000원*12월</t>
    <phoneticPr fontId="15" type="noConversion"/>
  </si>
  <si>
    <t xml:space="preserve">  ○ 전기요금 : 8,500,000원*12월</t>
    <phoneticPr fontId="15" type="noConversion"/>
  </si>
  <si>
    <t xml:space="preserve"> ○ 소규모시설물 유지관리 : 2,000,000원*12월</t>
    <phoneticPr fontId="15" type="noConversion"/>
  </si>
  <si>
    <t xml:space="preserve"> ○ 장비(예취기, 기계톱) 유류대 : 1,900원*40리터*6월</t>
    <phoneticPr fontId="105" type="noConversion"/>
  </si>
  <si>
    <t xml:space="preserve">  - 중장비 임대료(지게차, 굴삭기 등) : 800,000원*2회</t>
    <phoneticPr fontId="15" type="noConversion"/>
  </si>
  <si>
    <t xml:space="preserve">  - 안전용품(방독마스크 및 필터, 방진복) 등 : 20,000원*42명*12회</t>
    <phoneticPr fontId="15" type="noConversion"/>
  </si>
  <si>
    <t xml:space="preserve"> ○ 요소수(40%) : 520원*312.5kg*320일</t>
    <phoneticPr fontId="15" type="noConversion"/>
  </si>
  <si>
    <t>○ 요소수 : '24 계약단가(550원), 일평균사용량(313kg) -'24년 견적가(520원)</t>
    <phoneticPr fontId="15" type="noConversion"/>
  </si>
  <si>
    <t xml:space="preserve"> ○ 소석회슬러리 : 81.4원*5,625kg*320일</t>
    <phoneticPr fontId="15" type="noConversion"/>
  </si>
  <si>
    <t>○ 소석회슬러리 : '24 계약단가(63.79원), 일평균사용량(5,625kg) -'24년 견적가(81.4원)</t>
    <phoneticPr fontId="15" type="noConversion"/>
  </si>
  <si>
    <t xml:space="preserve"> ○ 활성탄(소각) : 2,850원*55kg*320일</t>
    <phoneticPr fontId="15" type="noConversion"/>
  </si>
  <si>
    <t>○ 활성탄 : '24 계약단가(2,416원), 일평균사용량(63kg) -'24년 견적가(2,850원)</t>
    <phoneticPr fontId="15" type="noConversion"/>
  </si>
  <si>
    <t xml:space="preserve"> ○ 탈취제(반입장) : 2,800원*7L*365일</t>
    <phoneticPr fontId="15" type="noConversion"/>
  </si>
  <si>
    <t>○ 탈취제 : '24 계약단가(2,554원), 일평균사용량(6L) -'24년 견적가(2,500원)</t>
    <phoneticPr fontId="15" type="noConversion"/>
  </si>
  <si>
    <t xml:space="preserve"> ○ 청관제 : 4,100원*3.5kg*320일</t>
    <phoneticPr fontId="15" type="noConversion"/>
  </si>
  <si>
    <t>○ 청관제 : '24 계약단가(2,980원), 일평균사용량(3.5kg) -'24년 견적가(4,000원)</t>
    <phoneticPr fontId="15" type="noConversion"/>
  </si>
  <si>
    <t>○ 탈산제 : '24 계약단가(3,091원), 일평균사용량((3.5kg) -'24년 견적가4,100원)</t>
    <phoneticPr fontId="15" type="noConversion"/>
  </si>
  <si>
    <t>○ 부식방지제 : '24 계약단가(4,416원), 일평균사용량(1L) -'24년 견적가(5,000원)</t>
  </si>
  <si>
    <t xml:space="preserve"> ○ 고형화제(킬레이트) : 1,800원*168kg/일*320일</t>
    <phoneticPr fontId="15" type="noConversion"/>
  </si>
  <si>
    <t>○ 킬레이트 : '24 계약단가(1,914원), 일평균사용량(168L) -'24년 견적가(1,760원)</t>
    <phoneticPr fontId="15" type="noConversion"/>
  </si>
  <si>
    <t xml:space="preserve"> ○ 암모니아수(9%) : 470원/kg*190L*320일</t>
    <phoneticPr fontId="15" type="noConversion"/>
  </si>
  <si>
    <t>○ 암모니아수 : '24 계약단가(386원), 일평균사용량(188L) -'24년 견적가(470원)</t>
    <phoneticPr fontId="15" type="noConversion"/>
  </si>
  <si>
    <t xml:space="preserve"> ○ 가성소다(4.5%) : 190원*60L*360일</t>
    <phoneticPr fontId="15" type="noConversion"/>
  </si>
  <si>
    <t>○ 가성소다 : '24 계약단가(145원), 일평균사용량(56L) -'24년 견적가(188원)</t>
    <phoneticPr fontId="15" type="noConversion"/>
  </si>
  <si>
    <t xml:space="preserve"> ○ 응집제(응집보조제 포함) : 4,100원*114kg*360일</t>
    <phoneticPr fontId="15" type="noConversion"/>
  </si>
  <si>
    <t>○ 응집제 : '24 계약단가(2,525원), 일평균사용량(110kg) -'24년 견적가(4,092원)</t>
    <phoneticPr fontId="15" type="noConversion"/>
  </si>
  <si>
    <t xml:space="preserve"> ○ 소포제(폐수) : 3,200원*9kg/일*360일</t>
    <phoneticPr fontId="15" type="noConversion"/>
  </si>
  <si>
    <t>○ 소포제 : '24 계약단가(2,721원), 일평균사용량(8.3kg) -'24년 견적가(3,125원)</t>
    <phoneticPr fontId="15" type="noConversion"/>
  </si>
  <si>
    <t xml:space="preserve"> ○ 황산(9%) : 280원*60L/일*360일</t>
    <phoneticPr fontId="15" type="noConversion"/>
  </si>
  <si>
    <t>○ 황산 : '24 계약단가(220원), 일평균사용량(56L) -'24년 견적가(275원)</t>
    <phoneticPr fontId="15" type="noConversion"/>
  </si>
  <si>
    <t xml:space="preserve"> ○ 구연산 : 2,500원*15kg*360일</t>
    <phoneticPr fontId="15" type="noConversion"/>
  </si>
  <si>
    <t>○ 구연산 : '24년 계약단가(2,099원), 일평균사용량(14kg) -'24년 견적가(2,500원)</t>
    <phoneticPr fontId="15" type="noConversion"/>
  </si>
  <si>
    <t>○ 차염 : '24년 계약단가(583원), 일평균사용량(42L) -'24년 견적가(688원)</t>
    <phoneticPr fontId="15" type="noConversion"/>
  </si>
  <si>
    <t xml:space="preserve"> ○ 기타 약품(염화제2철, 살충제 등) : 400원*5kg*150일</t>
    <phoneticPr fontId="15" type="noConversion"/>
  </si>
  <si>
    <t>○ 운영 시 Test 약품 (염화제2철 등), 일평균사용량(12kg)예상 -'24년 견적가(375원)</t>
  </si>
  <si>
    <t xml:space="preserve"> - 폐기물 운반비(바닥재,안정화처리물,오니) 8,000톤 * 30천원/톤</t>
    <phoneticPr fontId="15" type="noConversion"/>
  </si>
  <si>
    <t xml:space="preserve"> - 사무실 의자 : 300,000원 * 8EA(사무실, 제어실 등)</t>
    <phoneticPr fontId="15" type="noConversion"/>
  </si>
  <si>
    <t xml:space="preserve"> - 회의용 보조 의자 : 20,000원 * 10EA(사무실, 제어실 등)</t>
    <phoneticPr fontId="15" type="noConversion"/>
  </si>
  <si>
    <t>총질소(T-N) 저감시설 설치공사(기계장치)</t>
  </si>
  <si>
    <t>환경사원 복지관 및 청소차량 유지보수</t>
    <phoneticPr fontId="105" type="noConversion"/>
  </si>
  <si>
    <t>환경사원 복지관 및 청소차량 유지보수</t>
    <phoneticPr fontId="15" type="noConversion"/>
  </si>
  <si>
    <t>악취방지시설 개선 공사(기계장치)</t>
    <phoneticPr fontId="15" type="noConversion"/>
  </si>
  <si>
    <t>악취방지시설 개선공사(기계장치)</t>
    <phoneticPr fontId="15" type="noConversion"/>
  </si>
  <si>
    <t>총질소(T-N) 저감시설 설치공사(기계장치)</t>
    <phoneticPr fontId="15" type="noConversion"/>
  </si>
  <si>
    <t xml:space="preserve">  ○ 대행사업관리비 수입(굴전∙금오도 야영장 운영)</t>
    <phoneticPr fontId="15" type="noConversion"/>
  </si>
  <si>
    <t>4) 굴전, 금오도 야영장</t>
    <phoneticPr fontId="15" type="noConversion"/>
  </si>
  <si>
    <t>5) 생활폐기물수집운반</t>
    <phoneticPr fontId="15" type="noConversion"/>
  </si>
  <si>
    <t>6) 종량제물품공급</t>
    <phoneticPr fontId="15" type="noConversion"/>
  </si>
  <si>
    <t>7) 진남수영장</t>
    <phoneticPr fontId="15" type="noConversion"/>
  </si>
  <si>
    <t>8) 망마국민체육센터</t>
    <phoneticPr fontId="15" type="noConversion"/>
  </si>
  <si>
    <t>9) 장애인국민체육센터</t>
    <phoneticPr fontId="15" type="noConversion"/>
  </si>
  <si>
    <t>10) 도시형폐기물처리시설</t>
    <phoneticPr fontId="15" type="noConversion"/>
  </si>
  <si>
    <t>1.6만대/1</t>
  </si>
  <si>
    <t>진남/망마/웅천</t>
    <phoneticPr fontId="15" type="noConversion"/>
  </si>
  <si>
    <t>3) 야영장 관리</t>
    <phoneticPr fontId="15" type="noConversion"/>
  </si>
  <si>
    <t>4) 장애인국민체육센터 관리</t>
    <phoneticPr fontId="15" type="noConversion"/>
  </si>
  <si>
    <t>5) 수영장관리</t>
    <phoneticPr fontId="15" type="noConversion"/>
  </si>
  <si>
    <t>굴전/금오도</t>
    <phoneticPr fontId="15" type="noConversion"/>
  </si>
  <si>
    <t>신규 : 화장동 / 신기동</t>
    <phoneticPr fontId="15" type="noConversion"/>
  </si>
  <si>
    <t>2024년   12월    일</t>
    <phoneticPr fontId="15" type="noConversion"/>
  </si>
  <si>
    <t>○ ESG경영위원회 간담회 및 운영비 : 25,000원 * 9명  * 1회</t>
    <phoneticPr fontId="15" type="noConversion"/>
  </si>
  <si>
    <t>○ 산업안전보건위원회 간담회 : 25,000원*14명*3회</t>
    <phoneticPr fontId="15" type="noConversion"/>
  </si>
  <si>
    <t>○ 개인정보 자문회 등 기타 위원회별 간담회 및 운영비   : 25,000원 * 10명 * 1회</t>
    <phoneticPr fontId="15" type="noConversion"/>
  </si>
  <si>
    <t>○ 사무용품, 청소용품 등 구입 : 200,000원*6개월</t>
    <phoneticPr fontId="15" type="noConversion"/>
  </si>
  <si>
    <t xml:space="preserve"> ○ 사무실 복합기 대여료 : 110,000원*12월*1대(굴전)</t>
    <phoneticPr fontId="15" type="noConversion"/>
  </si>
  <si>
    <t xml:space="preserve">  ○ 급량비 : 9,000원*5일*12월</t>
    <phoneticPr fontId="105" type="noConversion"/>
  </si>
  <si>
    <t xml:space="preserve">   - 인부임 : 87,920원*3명*5일*26주</t>
    <phoneticPr fontId="56" type="noConversion"/>
  </si>
  <si>
    <t xml:space="preserve">   - 주휴수당 :87,920원*3명*26일</t>
    <phoneticPr fontId="56" type="noConversion"/>
  </si>
  <si>
    <t xml:space="preserve">   - 휴일근무수당 : 87,920원*2명*5일*150%</t>
    <phoneticPr fontId="56" type="noConversion"/>
  </si>
  <si>
    <t xml:space="preserve">   - 인부임 : 87,920원*1명*5일*26주</t>
    <phoneticPr fontId="56" type="noConversion"/>
  </si>
  <si>
    <t xml:space="preserve">   - 주휴수당 : 87,920원*1명*26일</t>
    <phoneticPr fontId="56" type="noConversion"/>
  </si>
  <si>
    <t xml:space="preserve">   - 연차휴가수당 :87,920원*3명*5일</t>
    <phoneticPr fontId="56" type="noConversion"/>
  </si>
  <si>
    <t xml:space="preserve">   - 야간근무수당 : 10,990원*50%*3시간*30일*6월*1명</t>
    <phoneticPr fontId="56" type="noConversion"/>
  </si>
  <si>
    <t xml:space="preserve">   - 연차휴가수당 : 87,920원*3명*5일</t>
    <phoneticPr fontId="56" type="noConversion"/>
  </si>
  <si>
    <t>○ 전정 및 예초 용역비(굴전, 금오도) : 4,000,000원*2회</t>
    <phoneticPr fontId="15" type="noConversion"/>
  </si>
  <si>
    <t>○ 신용카드 결제수수료 : 600,000원*6월</t>
    <phoneticPr fontId="15" type="noConversion"/>
  </si>
  <si>
    <t>○ 방역(방제), 물탱크 청소 용역 : 300,000원*6월</t>
    <phoneticPr fontId="15" type="noConversion"/>
  </si>
  <si>
    <t>○ 전기설비 안전관리 대행수수료 : 200,000원*6월</t>
    <phoneticPr fontId="15" type="noConversion"/>
  </si>
  <si>
    <t xml:space="preserve"> ○ 소방시설 안전관리 대행수수료 : 250,000원*6월</t>
    <phoneticPr fontId="15" type="noConversion"/>
  </si>
  <si>
    <t xml:space="preserve"> ○ 오수처리시설 위탁관리 대행수수료 : 250,000원*6월</t>
    <phoneticPr fontId="15" type="noConversion"/>
  </si>
  <si>
    <t xml:space="preserve"> ○ 지문인식기(근태관리) 임차료 : 27,500원*2대*6월</t>
    <phoneticPr fontId="15" type="noConversion"/>
  </si>
  <si>
    <t xml:space="preserve">   - (굴전, 금오도) 소규모 시설물 유지보수비 25,000,000천원*1식</t>
    <phoneticPr fontId="56" type="noConversion"/>
  </si>
  <si>
    <t>2024. 12.</t>
    <phoneticPr fontId="15" type="noConversion"/>
  </si>
  <si>
    <t>수입·지출 예산서</t>
    <phoneticPr fontId="15" type="noConversion"/>
  </si>
  <si>
    <t>2024년도 세출예산 사고이월 사업조서</t>
    <phoneticPr fontId="52" type="noConversion"/>
  </si>
  <si>
    <r>
      <t xml:space="preserve">(단위 </t>
    </r>
    <r>
      <rPr>
        <sz val="11"/>
        <color rgb="FF000000"/>
        <rFont val="맑은 고딕"/>
        <family val="3"/>
        <charset val="129"/>
      </rPr>
      <t>: 원)</t>
    </r>
    <phoneticPr fontId="52" type="noConversion"/>
  </si>
  <si>
    <t>정
책</t>
    <phoneticPr fontId="15" type="noConversion"/>
  </si>
  <si>
    <t>단
위</t>
    <phoneticPr fontId="15" type="noConversion"/>
  </si>
  <si>
    <t>세
부</t>
    <phoneticPr fontId="15" type="noConversion"/>
  </si>
  <si>
    <t>목/세목</t>
    <phoneticPr fontId="15" type="noConversion"/>
  </si>
  <si>
    <t>환경대행사업(사업예산)</t>
    <phoneticPr fontId="52" type="noConversion"/>
  </si>
  <si>
    <t>도시형 폐기물 처리시설 
수탁 대행사업</t>
    <phoneticPr fontId="52" type="noConversion"/>
  </si>
  <si>
    <t>도시형 폐기물 처리시설 유지보수</t>
    <phoneticPr fontId="52" type="noConversion"/>
  </si>
  <si>
    <t>여수시도시형폐기물종합처리시설 통합환경허가 변경신고</t>
    <phoneticPr fontId="52" type="noConversion"/>
  </si>
  <si>
    <t>○ 환경부 통합허가제도과의 심사업무 증가로 연내 접수 불가
  - 사업기간 변경 전 : 2024. 7. 11. ~ 2024. 12. 31.
  - 사업기간 변경 후 : 2024. 7. 11. ~ 2025. 6. 30.</t>
    <phoneticPr fontId="52" type="noConversion"/>
  </si>
  <si>
    <t>체육시설 대행사업(사업예산)</t>
    <phoneticPr fontId="52" type="noConversion"/>
  </si>
  <si>
    <t>진남수영장 수탁 대행사업</t>
    <phoneticPr fontId="52" type="noConversion"/>
  </si>
  <si>
    <t>진남수영장 시설 유지보수</t>
    <phoneticPr fontId="52" type="noConversion"/>
  </si>
  <si>
    <t>214수선유지교체비</t>
    <phoneticPr fontId="52" type="noConversion"/>
  </si>
  <si>
    <t>02
수선유지비</t>
    <phoneticPr fontId="52" type="noConversion"/>
  </si>
  <si>
    <t>진남수영장 가스열펌프(GHP) 배출 가스 저감장치</t>
    <phoneticPr fontId="52" type="noConversion"/>
  </si>
  <si>
    <t>○ 여수시 제3차 추경 교부일 : 2024. 12. 5.
  - 사업기간 : 2024. 12. ~ 2025. 7.</t>
    <phoneticPr fontId="52" type="noConversion"/>
  </si>
  <si>
    <t>장애인국민체육센터 수탁
 대행사업</t>
    <phoneticPr fontId="52" type="noConversion"/>
  </si>
  <si>
    <t>장애인국민체육센터 시설 유지보수</t>
    <phoneticPr fontId="52" type="noConversion"/>
  </si>
  <si>
    <t>장애인국민체육센터 가스열펌프(GHP) 배출 가스 저감장치</t>
    <phoneticPr fontId="52" type="noConversion"/>
  </si>
  <si>
    <t>일반직평가급등</t>
    <phoneticPr fontId="15" type="noConversion"/>
  </si>
  <si>
    <t>공무직(무기계약)근로자평가급등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</si>
</sst>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&quot;△&quot;#,##0;0"/>
    <numFmt numFmtId="177" formatCode="#,##0_ ;[Red]\-#,##0\ "/>
    <numFmt numFmtId="178" formatCode="#,##0_);[Red]\(#,##0\)"/>
    <numFmt numFmtId="179" formatCode="0_);[Red]\(0\)"/>
    <numFmt numFmtId="180" formatCode="_-* #,##0_-;\-* #,##0_-;_-* &quot;-&quot;??_-;_-@_-"/>
    <numFmt numFmtId="181" formatCode="#,##0;[Red]&quot;△&quot;#,##0"/>
    <numFmt numFmtId="182" formatCode="#,##0;[Red]&quot;△&quot;#,##0;\-"/>
    <numFmt numFmtId="183" formatCode="#,##0_);&quot;△&quot;#,##0"/>
    <numFmt numFmtId="184" formatCode="#,##0;&quot;△&quot;#,##0"/>
    <numFmt numFmtId="185" formatCode="#,###"/>
    <numFmt numFmtId="186" formatCode="000\-000"/>
    <numFmt numFmtId="187" formatCode="#,##0_ "/>
    <numFmt numFmtId="188" formatCode="#,##0.00_ ;[Red]\-#,##0.00\ "/>
    <numFmt numFmtId="189" formatCode="#,##0.0000_);[Red]\(#,##0.0000\)"/>
    <numFmt numFmtId="190" formatCode="_-* #,##0.0_-;\-* #,##0.0_-;_-* &quot;-&quot;?_-;_-@_-"/>
    <numFmt numFmtId="191" formatCode="#,##0.00_);[Red]\(#,##0.00\)"/>
    <numFmt numFmtId="192" formatCode="#,##0.000_);[Red]\(#,##0.000\)"/>
    <numFmt numFmtId="193" formatCode="_-* #,##0_-;&quot;₩&quot;\!\-* #,##0_-;_-* &quot;-&quot;_-;_-@_-"/>
    <numFmt numFmtId="194" formatCode="mm&quot;월&quot;\ dd&quot;일&quot;"/>
    <numFmt numFmtId="195" formatCode="_-* #,##0_-;\-* #,##0_-;_-* &quot;-&quot;_-;_-@"/>
    <numFmt numFmtId="196" formatCode="_-* #,##0.00_-;\-* #,##0.00_-;_-* &quot;-&quot;_-;_-@_-"/>
    <numFmt numFmtId="197" formatCode="#,##0.0_ ;[Red]\-#,##0.0\ "/>
    <numFmt numFmtId="198" formatCode="_-* #,##0.000_-;\-* #,##0.000_-;_-* &quot;-&quot;?_-;_-@_-"/>
  </numFmts>
  <fonts count="148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HY궁서"/>
      <family val="1"/>
      <charset val="129"/>
    </font>
    <font>
      <sz val="11"/>
      <name val="HY궁서"/>
      <family val="1"/>
      <charset val="129"/>
    </font>
    <font>
      <b/>
      <sz val="24"/>
      <name val="HY궁서"/>
      <family val="1"/>
      <charset val="129"/>
    </font>
    <font>
      <sz val="14"/>
      <name val="HY궁서"/>
      <family val="1"/>
      <charset val="129"/>
    </font>
    <font>
      <b/>
      <sz val="36"/>
      <name val="한양해서"/>
      <family val="1"/>
      <charset val="129"/>
    </font>
    <font>
      <sz val="24"/>
      <name val="HY궁서"/>
      <family val="1"/>
      <charset val="129"/>
    </font>
    <font>
      <b/>
      <sz val="18"/>
      <name val="HY궁서"/>
      <family val="1"/>
      <charset val="129"/>
    </font>
    <font>
      <sz val="20"/>
      <name val="HY궁서"/>
      <family val="1"/>
      <charset val="129"/>
    </font>
    <font>
      <b/>
      <sz val="28"/>
      <name val="HY궁서"/>
      <family val="1"/>
      <charset val="129"/>
    </font>
    <font>
      <b/>
      <sz val="24"/>
      <name val="HY신명조"/>
      <family val="1"/>
      <charset val="129"/>
    </font>
    <font>
      <sz val="12"/>
      <name val="HY신명조"/>
      <family val="1"/>
      <charset val="129"/>
    </font>
    <font>
      <b/>
      <sz val="14"/>
      <name val="HY신명조"/>
      <family val="1"/>
      <charset val="129"/>
    </font>
    <font>
      <b/>
      <sz val="36"/>
      <name val="바탕"/>
      <family val="1"/>
      <charset val="129"/>
    </font>
    <font>
      <sz val="36"/>
      <name val="HY궁서"/>
      <family val="1"/>
      <charset val="129"/>
    </font>
    <font>
      <b/>
      <sz val="36"/>
      <name val="HY궁서"/>
      <family val="1"/>
      <charset val="129"/>
    </font>
    <font>
      <b/>
      <sz val="2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1"/>
      <name val="HY궁서"/>
      <family val="1"/>
      <charset val="129"/>
    </font>
    <font>
      <b/>
      <sz val="20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rgb="FF0408BC"/>
      <name val="굴림"/>
      <family val="3"/>
      <charset val="129"/>
    </font>
    <font>
      <b/>
      <sz val="11"/>
      <name val="돋움"/>
      <family val="3"/>
      <charset val="129"/>
    </font>
    <font>
      <b/>
      <sz val="12"/>
      <color rgb="FF0408BC"/>
      <name val="굴림"/>
      <family val="3"/>
      <charset val="129"/>
    </font>
    <font>
      <sz val="12"/>
      <color rgb="FF0000FF"/>
      <name val="굴림"/>
      <family val="3"/>
      <charset val="129"/>
    </font>
    <font>
      <sz val="12"/>
      <color rgb="FF0408BC"/>
      <name val="굴림"/>
      <family val="3"/>
      <charset val="129"/>
    </font>
    <font>
      <sz val="9"/>
      <name val="굴림"/>
      <family val="3"/>
      <charset val="129"/>
    </font>
    <font>
      <b/>
      <sz val="36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FF"/>
      <name val="굴림"/>
      <family val="3"/>
      <charset val="129"/>
    </font>
    <font>
      <sz val="10"/>
      <color rgb="FF0070C0"/>
      <name val="굴림"/>
      <family val="3"/>
      <charset val="129"/>
    </font>
    <font>
      <sz val="11"/>
      <color indexed="64"/>
      <name val="굴림"/>
      <family val="3"/>
      <charset val="129"/>
    </font>
    <font>
      <sz val="11"/>
      <color rgb="FF0070C0"/>
      <name val="굴림"/>
      <family val="3"/>
      <charset val="129"/>
    </font>
    <font>
      <sz val="10"/>
      <color indexed="64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64"/>
      <name val="굴림"/>
      <family val="3"/>
      <charset val="129"/>
    </font>
    <font>
      <sz val="9"/>
      <color indexed="64"/>
      <name val="굴림"/>
      <family val="3"/>
      <charset val="129"/>
    </font>
    <font>
      <sz val="10"/>
      <color indexed="64"/>
      <name val="Arial Narrow"/>
      <family val="2"/>
    </font>
    <font>
      <b/>
      <sz val="10"/>
      <color indexed="64"/>
      <name val="Arial Narrow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1"/>
      <color indexed="64"/>
      <name val="굴림"/>
      <family val="3"/>
      <charset val="129"/>
    </font>
    <font>
      <sz val="8"/>
      <color indexed="64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20"/>
      <name val="굴림"/>
      <family val="3"/>
      <charset val="129"/>
    </font>
    <font>
      <sz val="13"/>
      <color rgb="FF000000"/>
      <name val="돋움"/>
      <family val="3"/>
      <charset val="129"/>
    </font>
    <font>
      <b/>
      <sz val="10"/>
      <color rgb="FF0408BC"/>
      <name val="굴림"/>
      <family val="3"/>
      <charset val="129"/>
    </font>
    <font>
      <sz val="11"/>
      <name val="돋움체"/>
      <family val="3"/>
      <charset val="129"/>
    </font>
    <font>
      <b/>
      <sz val="12"/>
      <name val="돋움체"/>
      <family val="3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0"/>
      <color theme="1"/>
      <name val="Arial Narrow"/>
      <family val="2"/>
    </font>
    <font>
      <sz val="10"/>
      <color theme="1"/>
      <name val="Calibri"/>
      <family val="2"/>
    </font>
    <font>
      <sz val="10"/>
      <color theme="1"/>
      <name val="굴림"/>
      <family val="2"/>
      <charset val="129"/>
    </font>
    <font>
      <sz val="8"/>
      <name val="맑은 고딕"/>
      <family val="2"/>
      <charset val="129"/>
      <scheme val="minor"/>
    </font>
    <font>
      <sz val="10"/>
      <color theme="4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B050"/>
      <name val="굴림"/>
      <family val="3"/>
      <charset val="129"/>
    </font>
    <font>
      <b/>
      <sz val="10"/>
      <name val="맑은 고딕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color rgb="FFFF0000"/>
      <name val="돋움"/>
      <family val="3"/>
      <charset val="129"/>
    </font>
    <font>
      <sz val="11"/>
      <color rgb="FF0070C0"/>
      <name val="돋움"/>
      <family val="3"/>
      <charset val="129"/>
    </font>
    <font>
      <b/>
      <sz val="11"/>
      <color theme="1"/>
      <name val="굴림"/>
      <family val="3"/>
      <charset val="129"/>
    </font>
    <font>
      <sz val="10"/>
      <name val="맑은 고딕"/>
      <family val="3"/>
      <charset val="129"/>
    </font>
    <font>
      <b/>
      <sz val="30"/>
      <name val="HY견명조"/>
      <family val="1"/>
      <charset val="129"/>
    </font>
    <font>
      <b/>
      <sz val="17"/>
      <name val="굴림"/>
      <family val="3"/>
      <charset val="129"/>
    </font>
    <font>
      <sz val="12"/>
      <name val="Arial Narrow"/>
      <family val="2"/>
    </font>
    <font>
      <sz val="13"/>
      <name val="HY울릉도M"/>
      <family val="1"/>
      <charset val="129"/>
    </font>
    <font>
      <b/>
      <sz val="15"/>
      <name val="굴림"/>
      <family val="3"/>
      <charset val="129"/>
    </font>
    <font>
      <b/>
      <sz val="13"/>
      <name val="Arial Narrow"/>
      <family val="2"/>
    </font>
    <font>
      <sz val="13"/>
      <name val="Arial Narrow"/>
      <family val="2"/>
    </font>
    <font>
      <sz val="11"/>
      <color rgb="FF000000"/>
      <name val="Calibri"/>
      <family val="2"/>
    </font>
    <font>
      <sz val="11"/>
      <color rgb="FF000000"/>
      <name val="Gulim"/>
      <family val="3"/>
    </font>
    <font>
      <sz val="11"/>
      <color rgb="FF000000"/>
      <name val="Arial"/>
      <family val="2"/>
    </font>
    <font>
      <sz val="10"/>
      <color rgb="FF000000"/>
      <name val="Gulim"/>
      <family val="3"/>
      <charset val="129"/>
    </font>
    <font>
      <sz val="10"/>
      <color theme="1"/>
      <name val="Gulim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Gulim"/>
      <family val="3"/>
      <charset val="129"/>
    </font>
    <font>
      <b/>
      <sz val="36"/>
      <name val="맑은 고딕"/>
      <family val="1"/>
      <charset val="129"/>
    </font>
    <font>
      <b/>
      <sz val="43"/>
      <name val="맑은 고딕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6600"/>
      <name val="굴림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rgb="FFFF0000"/>
      <name val="돋움"/>
      <family val="3"/>
      <charset val="129"/>
    </font>
    <font>
      <sz val="10"/>
      <color rgb="FF000000"/>
      <name val="돋움"/>
      <family val="3"/>
      <charset val="129"/>
    </font>
    <font>
      <sz val="9.5"/>
      <color theme="1"/>
      <name val="굴림"/>
      <family val="3"/>
      <charset val="129"/>
    </font>
    <font>
      <sz val="9"/>
      <color rgb="FFFF0000"/>
      <name val="굴림"/>
      <family val="3"/>
      <charset val="129"/>
    </font>
    <font>
      <b/>
      <u/>
      <sz val="9"/>
      <color indexed="81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FF0000"/>
      <name val="돋움"/>
      <family val="3"/>
      <charset val="129"/>
    </font>
    <font>
      <b/>
      <u/>
      <sz val="10"/>
      <color theme="3"/>
      <name val="굴림"/>
      <family val="3"/>
      <charset val="129"/>
    </font>
    <font>
      <b/>
      <sz val="10"/>
      <color theme="3"/>
      <name val="굴림"/>
      <family val="3"/>
      <charset val="129"/>
    </font>
    <font>
      <b/>
      <sz val="9"/>
      <color theme="1"/>
      <name val="굴림"/>
      <family val="3"/>
      <charset val="129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F7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FFF"/>
        <bgColor indexed="64"/>
      </patternFill>
    </fill>
  </fills>
  <borders count="2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medium">
        <color indexed="64"/>
      </right>
      <top style="hair">
        <color theme="0" tint="-0.1499679555650502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499984740745262"/>
      </top>
      <bottom/>
      <diagonal/>
    </border>
    <border>
      <left/>
      <right style="medium">
        <color indexed="64"/>
      </right>
      <top style="hair">
        <color theme="0" tint="-0.34998626667073579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rgb="FFA6A6A6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04">
    <xf numFmtId="0" fontId="0" fillId="0" borderId="0">
      <alignment vertical="center"/>
    </xf>
    <xf numFmtId="41" fontId="14" fillId="0" borderId="0">
      <alignment vertical="center"/>
    </xf>
    <xf numFmtId="0" fontId="6" fillId="0" borderId="0"/>
    <xf numFmtId="41" fontId="6" fillId="0" borderId="0"/>
    <xf numFmtId="41" fontId="14" fillId="0" borderId="0">
      <alignment vertical="center"/>
    </xf>
    <xf numFmtId="0" fontId="14" fillId="0" borderId="0">
      <alignment vertical="center"/>
    </xf>
    <xf numFmtId="41" fontId="6" fillId="0" borderId="0"/>
    <xf numFmtId="0" fontId="14" fillId="0" borderId="0">
      <alignment vertical="center"/>
    </xf>
    <xf numFmtId="9" fontId="6" fillId="0" borderId="0"/>
    <xf numFmtId="0" fontId="16" fillId="0" borderId="0"/>
    <xf numFmtId="41" fontId="16" fillId="0" borderId="0" applyFont="0" applyFill="0" applyBorder="0" applyAlignment="0" applyProtection="0"/>
    <xf numFmtId="0" fontId="16" fillId="0" borderId="0"/>
    <xf numFmtId="41" fontId="16" fillId="0" borderId="0" applyFont="0" applyFill="0" applyBorder="0" applyAlignment="0" applyProtection="0"/>
    <xf numFmtId="0" fontId="57" fillId="0" borderId="0">
      <alignment vertical="center"/>
    </xf>
    <xf numFmtId="41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6" fillId="0" borderId="0"/>
    <xf numFmtId="0" fontId="75" fillId="0" borderId="0">
      <alignment vertical="center"/>
    </xf>
    <xf numFmtId="0" fontId="5" fillId="0" borderId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93" fontId="16" fillId="0" borderId="0" applyFont="0" applyFill="0" applyBorder="0" applyAlignment="0" applyProtection="0"/>
    <xf numFmtId="0" fontId="16" fillId="0" borderId="0"/>
    <xf numFmtId="0" fontId="16" fillId="0" borderId="0"/>
    <xf numFmtId="0" fontId="75" fillId="7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5" fillId="21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3" fillId="9" borderId="137" applyNumberFormat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16" fillId="10" borderId="141" applyNumberFormat="0" applyFont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1" fillId="36" borderId="140" applyNumberFormat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87" fillId="0" borderId="139" applyNumberFormat="0" applyFill="0" applyAlignment="0" applyProtection="0">
      <alignment vertical="center"/>
    </xf>
    <xf numFmtId="0" fontId="82" fillId="0" borderId="142" applyNumberFormat="0" applyFill="0" applyAlignment="0" applyProtection="0">
      <alignment vertical="center"/>
    </xf>
    <xf numFmtId="0" fontId="88" fillId="11" borderId="13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143" applyNumberFormat="0" applyFill="0" applyAlignment="0" applyProtection="0">
      <alignment vertical="center"/>
    </xf>
    <xf numFmtId="0" fontId="91" fillId="0" borderId="144" applyNumberFormat="0" applyFill="0" applyAlignment="0" applyProtection="0">
      <alignment vertical="center"/>
    </xf>
    <xf numFmtId="0" fontId="92" fillId="0" borderId="145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9" borderId="138" applyNumberFormat="0" applyAlignment="0" applyProtection="0">
      <alignment vertical="center"/>
    </xf>
    <xf numFmtId="0" fontId="7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0" fontId="75" fillId="0" borderId="0">
      <alignment vertical="center"/>
    </xf>
    <xf numFmtId="0" fontId="16" fillId="0" borderId="0">
      <alignment vertical="center"/>
    </xf>
    <xf numFmtId="0" fontId="5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40" fillId="0" borderId="0"/>
    <xf numFmtId="41" fontId="40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6" fillId="0" borderId="0"/>
    <xf numFmtId="41" fontId="6" fillId="0" borderId="0"/>
    <xf numFmtId="41" fontId="6" fillId="0" borderId="0"/>
    <xf numFmtId="0" fontId="6" fillId="0" borderId="0"/>
    <xf numFmtId="0" fontId="14" fillId="0" borderId="0">
      <alignment vertical="center"/>
    </xf>
    <xf numFmtId="41" fontId="6" fillId="0" borderId="0"/>
    <xf numFmtId="0" fontId="14" fillId="0" borderId="0">
      <alignment vertical="center"/>
    </xf>
    <xf numFmtId="41" fontId="6" fillId="0" borderId="0"/>
  </cellStyleXfs>
  <cellXfs count="3084">
    <xf numFmtId="0" fontId="0" fillId="0" borderId="0" xfId="0" applyNumberFormat="1">
      <alignment vertical="center"/>
    </xf>
    <xf numFmtId="0" fontId="7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center" vertical="center"/>
    </xf>
    <xf numFmtId="0" fontId="7" fillId="2" borderId="0" xfId="3" applyNumberFormat="1" applyFont="1" applyFill="1" applyBorder="1" applyAlignment="1">
      <alignment horizontal="center" vertical="center"/>
    </xf>
    <xf numFmtId="9" fontId="7" fillId="0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shrinkToFit="1"/>
    </xf>
    <xf numFmtId="0" fontId="7" fillId="0" borderId="0" xfId="4" applyNumberFormat="1" applyFont="1" applyFill="1" applyBorder="1" applyAlignment="1">
      <alignment horizontal="center" vertical="center"/>
    </xf>
    <xf numFmtId="41" fontId="7" fillId="0" borderId="0" xfId="3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 shrinkToFit="1"/>
    </xf>
    <xf numFmtId="10" fontId="7" fillId="0" borderId="0" xfId="3" applyNumberFormat="1" applyFont="1" applyFill="1" applyBorder="1" applyAlignment="1">
      <alignment horizontal="center" vertical="center"/>
    </xf>
    <xf numFmtId="41" fontId="7" fillId="0" borderId="0" xfId="2" applyNumberFormat="1" applyFont="1" applyFill="1" applyBorder="1" applyAlignment="1">
      <alignment horizontal="right" vertical="center"/>
    </xf>
    <xf numFmtId="41" fontId="7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left" vertical="center" shrinkToFit="1"/>
    </xf>
    <xf numFmtId="0" fontId="10" fillId="0" borderId="0" xfId="2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center" wrapText="1"/>
    </xf>
    <xf numFmtId="0" fontId="8" fillId="0" borderId="2" xfId="2" applyNumberFormat="1" applyFont="1" applyFill="1" applyBorder="1" applyAlignment="1">
      <alignment vertical="top" wrapText="1"/>
    </xf>
    <xf numFmtId="0" fontId="8" fillId="0" borderId="3" xfId="2" applyNumberFormat="1" applyFont="1" applyFill="1" applyBorder="1" applyAlignment="1">
      <alignment vertical="center"/>
    </xf>
    <xf numFmtId="176" fontId="8" fillId="0" borderId="3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vertical="top"/>
    </xf>
    <xf numFmtId="0" fontId="8" fillId="0" borderId="2" xfId="2" applyNumberFormat="1" applyFont="1" applyFill="1" applyBorder="1" applyAlignment="1">
      <alignment horizontal="center" vertical="top" wrapText="1"/>
    </xf>
    <xf numFmtId="0" fontId="8" fillId="0" borderId="2" xfId="2" applyNumberFormat="1" applyFont="1" applyFill="1" applyBorder="1" applyAlignment="1">
      <alignment horizontal="center" vertical="top"/>
    </xf>
    <xf numFmtId="0" fontId="8" fillId="0" borderId="2" xfId="2" applyNumberFormat="1" applyFont="1" applyFill="1" applyBorder="1" applyAlignment="1">
      <alignment horizontal="left" vertical="top" wrapText="1"/>
    </xf>
    <xf numFmtId="0" fontId="8" fillId="0" borderId="2" xfId="5" applyNumberFormat="1" applyFont="1" applyFill="1" applyBorder="1" applyAlignment="1">
      <alignment horizontal="left" vertical="center" wrapText="1"/>
    </xf>
    <xf numFmtId="0" fontId="8" fillId="0" borderId="2" xfId="5" applyNumberFormat="1" applyFont="1" applyFill="1" applyBorder="1" applyAlignment="1">
      <alignment horizontal="left" vertical="center"/>
    </xf>
    <xf numFmtId="176" fontId="8" fillId="0" borderId="2" xfId="4" applyNumberFormat="1" applyFont="1" applyFill="1" applyBorder="1" applyAlignment="1">
      <alignment horizontal="right" vertical="center"/>
    </xf>
    <xf numFmtId="0" fontId="8" fillId="0" borderId="2" xfId="5" applyNumberFormat="1" applyFont="1" applyFill="1" applyBorder="1" applyAlignment="1">
      <alignment vertical="center" wrapText="1"/>
    </xf>
    <xf numFmtId="0" fontId="8" fillId="0" borderId="2" xfId="5" applyNumberFormat="1" applyFont="1" applyFill="1" applyBorder="1" applyAlignment="1">
      <alignment vertical="top" wrapText="1"/>
    </xf>
    <xf numFmtId="0" fontId="8" fillId="0" borderId="2" xfId="5" applyNumberFormat="1" applyFont="1" applyFill="1" applyBorder="1" applyAlignment="1">
      <alignment vertical="top"/>
    </xf>
    <xf numFmtId="0" fontId="11" fillId="0" borderId="2" xfId="2" applyNumberFormat="1" applyFont="1" applyFill="1" applyBorder="1" applyAlignment="1">
      <alignment vertical="center"/>
    </xf>
    <xf numFmtId="0" fontId="10" fillId="0" borderId="2" xfId="2" applyNumberFormat="1" applyFont="1" applyFill="1" applyBorder="1" applyAlignment="1">
      <alignment vertical="top"/>
    </xf>
    <xf numFmtId="177" fontId="7" fillId="0" borderId="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horizontal="center" vertical="center"/>
    </xf>
    <xf numFmtId="0" fontId="7" fillId="2" borderId="0" xfId="2" applyNumberFormat="1" applyFont="1" applyFill="1" applyBorder="1" applyAlignment="1">
      <alignment horizontal="center" vertical="center"/>
    </xf>
    <xf numFmtId="41" fontId="7" fillId="2" borderId="0" xfId="2" applyNumberFormat="1" applyFont="1" applyFill="1" applyBorder="1" applyAlignment="1">
      <alignment horizontal="center" vertical="center"/>
    </xf>
    <xf numFmtId="41" fontId="7" fillId="0" borderId="0" xfId="4" applyNumberFormat="1" applyFont="1" applyFill="1" applyBorder="1" applyAlignment="1">
      <alignment vertical="center"/>
    </xf>
    <xf numFmtId="41" fontId="8" fillId="0" borderId="0" xfId="3" applyNumberFormat="1" applyFont="1" applyBorder="1" applyAlignment="1">
      <alignment vertical="center"/>
    </xf>
    <xf numFmtId="41" fontId="7" fillId="0" borderId="0" xfId="2" applyNumberFormat="1" applyFont="1" applyFill="1" applyBorder="1" applyAlignment="1">
      <alignment horizontal="center" vertical="center"/>
    </xf>
    <xf numFmtId="178" fontId="7" fillId="0" borderId="0" xfId="2" applyNumberFormat="1" applyFont="1" applyFill="1" applyBorder="1" applyAlignment="1">
      <alignment horizontal="center" vertical="center" shrinkToFit="1"/>
    </xf>
    <xf numFmtId="178" fontId="7" fillId="0" borderId="0" xfId="2" applyNumberFormat="1" applyFont="1" applyFill="1" applyBorder="1" applyAlignment="1">
      <alignment vertical="center"/>
    </xf>
    <xf numFmtId="41" fontId="7" fillId="0" borderId="0" xfId="2" applyNumberFormat="1" applyFont="1" applyFill="1" applyBorder="1" applyAlignment="1">
      <alignment horizontal="right" vertical="center" shrinkToFit="1"/>
    </xf>
    <xf numFmtId="178" fontId="7" fillId="0" borderId="0" xfId="2" applyNumberFormat="1" applyFont="1" applyFill="1" applyBorder="1" applyAlignment="1">
      <alignment horizontal="center" vertical="center"/>
    </xf>
    <xf numFmtId="176" fontId="8" fillId="0" borderId="7" xfId="3" applyNumberFormat="1" applyFont="1" applyFill="1" applyBorder="1" applyAlignment="1">
      <alignment horizontal="right" vertical="center"/>
    </xf>
    <xf numFmtId="176" fontId="9" fillId="0" borderId="7" xfId="3" applyNumberFormat="1" applyFont="1" applyFill="1" applyBorder="1" applyAlignment="1">
      <alignment horizontal="right" vertical="center"/>
    </xf>
    <xf numFmtId="0" fontId="8" fillId="0" borderId="7" xfId="2" applyNumberFormat="1" applyFont="1" applyFill="1" applyBorder="1" applyAlignment="1">
      <alignment vertical="center"/>
    </xf>
    <xf numFmtId="0" fontId="8" fillId="0" borderId="3" xfId="2" applyNumberFormat="1" applyFont="1" applyFill="1" applyBorder="1" applyAlignment="1">
      <alignment vertical="top"/>
    </xf>
    <xf numFmtId="0" fontId="8" fillId="0" borderId="3" xfId="5" applyNumberFormat="1" applyFont="1" applyFill="1" applyBorder="1" applyAlignment="1">
      <alignment horizontal="left" vertical="center"/>
    </xf>
    <xf numFmtId="0" fontId="8" fillId="0" borderId="8" xfId="2" applyNumberFormat="1" applyFont="1" applyFill="1" applyBorder="1" applyAlignment="1">
      <alignment vertical="center"/>
    </xf>
    <xf numFmtId="0" fontId="9" fillId="0" borderId="7" xfId="2" applyNumberFormat="1" applyFont="1" applyFill="1" applyBorder="1" applyAlignment="1">
      <alignment vertical="center"/>
    </xf>
    <xf numFmtId="176" fontId="8" fillId="0" borderId="8" xfId="3" applyNumberFormat="1" applyFont="1" applyFill="1" applyBorder="1" applyAlignment="1">
      <alignment horizontal="right" vertical="center"/>
    </xf>
    <xf numFmtId="176" fontId="8" fillId="0" borderId="7" xfId="4" applyNumberFormat="1" applyFont="1" applyFill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/>
    </xf>
    <xf numFmtId="177" fontId="7" fillId="0" borderId="0" xfId="1" applyNumberFormat="1" applyFont="1" applyFill="1" applyBorder="1" applyAlignment="1">
      <alignment horizontal="center" vertical="center" shrinkToFi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left" vertical="center"/>
    </xf>
    <xf numFmtId="0" fontId="8" fillId="0" borderId="17" xfId="2" applyNumberFormat="1" applyFont="1" applyFill="1" applyBorder="1" applyAlignment="1">
      <alignment vertical="center"/>
    </xf>
    <xf numFmtId="0" fontId="8" fillId="0" borderId="17" xfId="2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vertical="center"/>
    </xf>
    <xf numFmtId="0" fontId="8" fillId="0" borderId="20" xfId="2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center" vertical="center"/>
    </xf>
    <xf numFmtId="0" fontId="8" fillId="0" borderId="0" xfId="2" applyNumberFormat="1" applyFont="1" applyAlignment="1">
      <alignment horizontal="center" vertical="center"/>
    </xf>
    <xf numFmtId="0" fontId="8" fillId="2" borderId="0" xfId="3" applyNumberFormat="1" applyFont="1" applyFill="1" applyBorder="1" applyAlignment="1">
      <alignment horizontal="center" vertical="center"/>
    </xf>
    <xf numFmtId="177" fontId="8" fillId="2" borderId="0" xfId="1" applyNumberFormat="1" applyFont="1" applyFill="1" applyBorder="1" applyAlignment="1">
      <alignment horizontal="center" vertical="center"/>
    </xf>
    <xf numFmtId="0" fontId="8" fillId="2" borderId="0" xfId="2" applyNumberFormat="1" applyFont="1" applyFill="1" applyAlignment="1">
      <alignment horizontal="center" vertical="center"/>
    </xf>
    <xf numFmtId="41" fontId="8" fillId="2" borderId="0" xfId="2" applyNumberFormat="1" applyFont="1" applyFill="1" applyAlignment="1">
      <alignment horizontal="center" vertical="center"/>
    </xf>
    <xf numFmtId="41" fontId="8" fillId="0" borderId="0" xfId="2" applyNumberFormat="1" applyFont="1" applyAlignment="1">
      <alignment horizontal="right" vertical="center"/>
    </xf>
    <xf numFmtId="9" fontId="8" fillId="0" borderId="0" xfId="2" applyNumberFormat="1" applyFont="1" applyAlignment="1">
      <alignment horizontal="center" vertical="center"/>
    </xf>
    <xf numFmtId="41" fontId="8" fillId="0" borderId="0" xfId="3" applyNumberFormat="1" applyFont="1" applyFill="1" applyBorder="1" applyAlignment="1">
      <alignment horizontal="right" vertical="center"/>
    </xf>
    <xf numFmtId="41" fontId="9" fillId="0" borderId="0" xfId="2" applyNumberFormat="1" applyFont="1" applyAlignment="1">
      <alignment horizontal="center" vertical="center"/>
    </xf>
    <xf numFmtId="0" fontId="8" fillId="2" borderId="0" xfId="3" applyNumberFormat="1" applyFont="1" applyFill="1" applyBorder="1" applyAlignment="1">
      <alignment horizontal="left" vertical="center" shrinkToFit="1"/>
    </xf>
    <xf numFmtId="41" fontId="9" fillId="0" borderId="0" xfId="2" applyNumberFormat="1" applyFont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 shrinkToFit="1"/>
    </xf>
    <xf numFmtId="177" fontId="8" fillId="0" borderId="0" xfId="1" applyNumberFormat="1" applyFont="1" applyFill="1" applyBorder="1" applyAlignment="1">
      <alignment horizontal="center"/>
    </xf>
    <xf numFmtId="0" fontId="8" fillId="0" borderId="0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left" vertical="center" shrinkToFit="1"/>
    </xf>
    <xf numFmtId="0" fontId="7" fillId="0" borderId="0" xfId="3" applyNumberFormat="1" applyFont="1" applyFill="1" applyBorder="1" applyAlignment="1">
      <alignment horizontal="left" vertical="center"/>
    </xf>
    <xf numFmtId="0" fontId="7" fillId="0" borderId="0" xfId="2" applyNumberFormat="1" applyFont="1" applyFill="1" applyBorder="1" applyAlignment="1">
      <alignment horizontal="left" vertical="center"/>
    </xf>
    <xf numFmtId="0" fontId="7" fillId="2" borderId="0" xfId="3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center" shrinkToFit="1"/>
    </xf>
    <xf numFmtId="0" fontId="7" fillId="0" borderId="0" xfId="4" applyNumberFormat="1" applyFont="1" applyFill="1" applyBorder="1" applyAlignment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0" fontId="8" fillId="0" borderId="0" xfId="2" applyNumberFormat="1" applyFont="1" applyFill="1" applyAlignment="1">
      <alignment horizontal="center" vertical="center"/>
    </xf>
    <xf numFmtId="0" fontId="18" fillId="0" borderId="0" xfId="9" applyFont="1"/>
    <xf numFmtId="0" fontId="17" fillId="0" borderId="40" xfId="9" applyFont="1" applyBorder="1" applyAlignment="1">
      <alignment horizontal="right" vertical="center"/>
    </xf>
    <xf numFmtId="0" fontId="17" fillId="0" borderId="0" xfId="9" applyFont="1" applyAlignment="1">
      <alignment horizontal="center" vertical="center"/>
    </xf>
    <xf numFmtId="0" fontId="19" fillId="0" borderId="0" xfId="9" applyFont="1" applyAlignment="1">
      <alignment horizontal="center" vertical="center"/>
    </xf>
    <xf numFmtId="0" fontId="20" fillId="0" borderId="0" xfId="9" applyFont="1" applyAlignment="1">
      <alignment horizontal="right"/>
    </xf>
    <xf numFmtId="0" fontId="22" fillId="0" borderId="0" xfId="9" applyFont="1"/>
    <xf numFmtId="0" fontId="16" fillId="0" borderId="0" xfId="9"/>
    <xf numFmtId="0" fontId="16" fillId="0" borderId="0" xfId="9" applyAlignment="1">
      <alignment vertical="center"/>
    </xf>
    <xf numFmtId="0" fontId="27" fillId="0" borderId="0" xfId="9" applyFont="1" applyAlignment="1">
      <alignment vertical="center"/>
    </xf>
    <xf numFmtId="0" fontId="27" fillId="0" borderId="0" xfId="9" applyFont="1" applyAlignment="1">
      <alignment horizontal="right" vertical="center"/>
    </xf>
    <xf numFmtId="0" fontId="28" fillId="0" borderId="0" xfId="9" applyFont="1" applyAlignment="1">
      <alignment horizontal="left" vertical="center"/>
    </xf>
    <xf numFmtId="0" fontId="28" fillId="0" borderId="0" xfId="9" applyFont="1" applyAlignment="1">
      <alignment vertical="center"/>
    </xf>
    <xf numFmtId="0" fontId="29" fillId="0" borderId="0" xfId="9" applyFont="1"/>
    <xf numFmtId="0" fontId="27" fillId="0" borderId="0" xfId="9" applyFont="1" applyAlignment="1">
      <alignment horizontal="left" vertical="center"/>
    </xf>
    <xf numFmtId="0" fontId="18" fillId="0" borderId="0" xfId="9" applyFont="1" applyAlignment="1">
      <alignment vertical="center"/>
    </xf>
    <xf numFmtId="0" fontId="31" fillId="0" borderId="0" xfId="9" applyFont="1"/>
    <xf numFmtId="0" fontId="33" fillId="0" borderId="0" xfId="9" applyFont="1" applyAlignment="1">
      <alignment vertical="center"/>
    </xf>
    <xf numFmtId="178" fontId="35" fillId="3" borderId="42" xfId="9" applyNumberFormat="1" applyFont="1" applyFill="1" applyBorder="1" applyAlignment="1">
      <alignment horizontal="center" vertical="center"/>
    </xf>
    <xf numFmtId="0" fontId="35" fillId="3" borderId="42" xfId="9" applyFont="1" applyFill="1" applyBorder="1" applyAlignment="1">
      <alignment horizontal="center" vertical="center"/>
    </xf>
    <xf numFmtId="0" fontId="35" fillId="3" borderId="42" xfId="9" applyFont="1" applyFill="1" applyBorder="1" applyAlignment="1">
      <alignment horizontal="center" vertical="center" wrapText="1"/>
    </xf>
    <xf numFmtId="0" fontId="35" fillId="3" borderId="43" xfId="9" applyFont="1" applyFill="1" applyBorder="1" applyAlignment="1">
      <alignment horizontal="center" vertical="center"/>
    </xf>
    <xf numFmtId="0" fontId="35" fillId="0" borderId="0" xfId="9" applyFont="1" applyAlignment="1">
      <alignment horizontal="center" vertical="center"/>
    </xf>
    <xf numFmtId="41" fontId="33" fillId="0" borderId="45" xfId="10" applyFont="1" applyBorder="1" applyAlignment="1">
      <alignment vertical="center"/>
    </xf>
    <xf numFmtId="178" fontId="33" fillId="0" borderId="45" xfId="9" applyNumberFormat="1" applyFont="1" applyBorder="1" applyAlignment="1">
      <alignment horizontal="center" vertical="center"/>
    </xf>
    <xf numFmtId="0" fontId="33" fillId="0" borderId="45" xfId="9" applyFont="1" applyBorder="1" applyAlignment="1">
      <alignment horizontal="center" vertical="center"/>
    </xf>
    <xf numFmtId="41" fontId="33" fillId="0" borderId="45" xfId="9" applyNumberFormat="1" applyFont="1" applyBorder="1" applyAlignment="1">
      <alignment horizontal="center" vertical="center"/>
    </xf>
    <xf numFmtId="179" fontId="33" fillId="0" borderId="46" xfId="9" applyNumberFormat="1" applyFont="1" applyBorder="1" applyAlignment="1">
      <alignment horizontal="right" vertical="center"/>
    </xf>
    <xf numFmtId="0" fontId="34" fillId="0" borderId="0" xfId="9" applyFont="1" applyAlignment="1">
      <alignment vertical="center"/>
    </xf>
    <xf numFmtId="41" fontId="33" fillId="0" borderId="49" xfId="10" applyFont="1" applyBorder="1" applyAlignment="1">
      <alignment vertical="center"/>
    </xf>
    <xf numFmtId="0" fontId="33" fillId="0" borderId="49" xfId="9" applyFont="1" applyBorder="1" applyAlignment="1">
      <alignment horizontal="center" vertical="center"/>
    </xf>
    <xf numFmtId="41" fontId="33" fillId="0" borderId="49" xfId="9" applyNumberFormat="1" applyFont="1" applyBorder="1" applyAlignment="1">
      <alignment horizontal="center" vertical="center"/>
    </xf>
    <xf numFmtId="179" fontId="33" fillId="0" borderId="49" xfId="9" applyNumberFormat="1" applyFont="1" applyBorder="1" applyAlignment="1">
      <alignment horizontal="right" vertical="center"/>
    </xf>
    <xf numFmtId="0" fontId="33" fillId="0" borderId="50" xfId="9" applyFont="1" applyBorder="1" applyAlignment="1">
      <alignment vertical="center"/>
    </xf>
    <xf numFmtId="41" fontId="33" fillId="0" borderId="49" xfId="10" applyFont="1" applyBorder="1" applyAlignment="1" applyProtection="1">
      <alignment vertical="center"/>
    </xf>
    <xf numFmtId="178" fontId="33" fillId="0" borderId="49" xfId="9" applyNumberFormat="1" applyFont="1" applyBorder="1" applyAlignment="1">
      <alignment horizontal="center" vertical="center"/>
    </xf>
    <xf numFmtId="41" fontId="33" fillId="0" borderId="51" xfId="10" applyFont="1" applyBorder="1" applyAlignment="1">
      <alignment vertical="center"/>
    </xf>
    <xf numFmtId="0" fontId="33" fillId="0" borderId="51" xfId="9" applyFont="1" applyBorder="1" applyAlignment="1">
      <alignment horizontal="center" vertical="center"/>
    </xf>
    <xf numFmtId="179" fontId="33" fillId="0" borderId="52" xfId="9" applyNumberFormat="1" applyFont="1" applyBorder="1" applyAlignment="1">
      <alignment horizontal="right" vertical="center"/>
    </xf>
    <xf numFmtId="179" fontId="33" fillId="0" borderId="45" xfId="9" applyNumberFormat="1" applyFont="1" applyBorder="1" applyAlignment="1">
      <alignment horizontal="right" vertical="center"/>
    </xf>
    <xf numFmtId="0" fontId="33" fillId="0" borderId="47" xfId="9" applyFont="1" applyBorder="1" applyAlignment="1">
      <alignment vertical="center"/>
    </xf>
    <xf numFmtId="41" fontId="33" fillId="0" borderId="49" xfId="9" applyNumberFormat="1" applyFont="1" applyBorder="1" applyAlignment="1">
      <alignment horizontal="right" vertical="center"/>
    </xf>
    <xf numFmtId="176" fontId="33" fillId="0" borderId="49" xfId="9" applyNumberFormat="1" applyFont="1" applyBorder="1" applyAlignment="1">
      <alignment horizontal="right" vertical="center"/>
    </xf>
    <xf numFmtId="0" fontId="33" fillId="0" borderId="50" xfId="9" quotePrefix="1" applyFont="1" applyBorder="1" applyAlignment="1">
      <alignment horizontal="center" vertical="center" wrapText="1"/>
    </xf>
    <xf numFmtId="0" fontId="36" fillId="0" borderId="50" xfId="9" applyFont="1" applyBorder="1" applyAlignment="1">
      <alignment horizontal="center" vertical="center"/>
    </xf>
    <xf numFmtId="0" fontId="33" fillId="0" borderId="50" xfId="9" applyFont="1" applyBorder="1" applyAlignment="1">
      <alignment horizontal="center" vertical="center"/>
    </xf>
    <xf numFmtId="178" fontId="33" fillId="0" borderId="51" xfId="9" applyNumberFormat="1" applyFont="1" applyBorder="1" applyAlignment="1">
      <alignment horizontal="center" vertical="center"/>
    </xf>
    <xf numFmtId="41" fontId="33" fillId="0" borderId="51" xfId="9" applyNumberFormat="1" applyFont="1" applyBorder="1" applyAlignment="1">
      <alignment horizontal="right" vertical="center"/>
    </xf>
    <xf numFmtId="182" fontId="33" fillId="0" borderId="51" xfId="9" applyNumberFormat="1" applyFont="1" applyBorder="1" applyAlignment="1">
      <alignment horizontal="right" vertical="center"/>
    </xf>
    <xf numFmtId="0" fontId="33" fillId="0" borderId="54" xfId="9" applyFont="1" applyBorder="1" applyAlignment="1">
      <alignment horizontal="center" vertical="center"/>
    </xf>
    <xf numFmtId="179" fontId="33" fillId="0" borderId="45" xfId="9" applyNumberFormat="1" applyFont="1" applyBorder="1" applyAlignment="1">
      <alignment vertical="center"/>
    </xf>
    <xf numFmtId="181" fontId="33" fillId="0" borderId="49" xfId="9" applyNumberFormat="1" applyFont="1" applyBorder="1" applyAlignment="1">
      <alignment vertical="center"/>
    </xf>
    <xf numFmtId="177" fontId="33" fillId="0" borderId="50" xfId="9" applyNumberFormat="1" applyFont="1" applyBorder="1" applyAlignment="1">
      <alignment vertical="center"/>
    </xf>
    <xf numFmtId="177" fontId="33" fillId="0" borderId="54" xfId="9" applyNumberFormat="1" applyFont="1" applyBorder="1" applyAlignment="1">
      <alignment vertical="center"/>
    </xf>
    <xf numFmtId="181" fontId="33" fillId="0" borderId="51" xfId="9" applyNumberFormat="1" applyFont="1" applyBorder="1" applyAlignment="1">
      <alignment vertical="center"/>
    </xf>
    <xf numFmtId="41" fontId="33" fillId="0" borderId="58" xfId="10" applyFont="1" applyBorder="1" applyAlignment="1">
      <alignment vertical="center"/>
    </xf>
    <xf numFmtId="178" fontId="33" fillId="0" borderId="58" xfId="9" applyNumberFormat="1" applyFont="1" applyBorder="1" applyAlignment="1">
      <alignment horizontal="center" vertical="center"/>
    </xf>
    <xf numFmtId="181" fontId="33" fillId="0" borderId="58" xfId="9" applyNumberFormat="1" applyFont="1" applyBorder="1" applyAlignment="1">
      <alignment vertical="center"/>
    </xf>
    <xf numFmtId="177" fontId="33" fillId="0" borderId="59" xfId="9" applyNumberFormat="1" applyFont="1" applyBorder="1" applyAlignment="1">
      <alignment vertical="center"/>
    </xf>
    <xf numFmtId="178" fontId="33" fillId="0" borderId="45" xfId="9" applyNumberFormat="1" applyFont="1" applyBorder="1" applyAlignment="1">
      <alignment horizontal="right" vertical="center"/>
    </xf>
    <xf numFmtId="183" fontId="33" fillId="0" borderId="47" xfId="9" applyNumberFormat="1" applyFont="1" applyBorder="1" applyAlignment="1">
      <alignment horizontal="center" vertical="center"/>
    </xf>
    <xf numFmtId="41" fontId="33" fillId="0" borderId="49" xfId="10" applyFont="1" applyFill="1" applyBorder="1" applyAlignment="1">
      <alignment vertical="center" wrapText="1"/>
    </xf>
    <xf numFmtId="178" fontId="33" fillId="0" borderId="49" xfId="9" applyNumberFormat="1" applyFont="1" applyBorder="1" applyAlignment="1">
      <alignment horizontal="right" vertical="center"/>
    </xf>
    <xf numFmtId="179" fontId="33" fillId="0" borderId="49" xfId="9" applyNumberFormat="1" applyFont="1" applyBorder="1" applyAlignment="1">
      <alignment vertical="center"/>
    </xf>
    <xf numFmtId="183" fontId="33" fillId="0" borderId="50" xfId="9" applyNumberFormat="1" applyFont="1" applyBorder="1" applyAlignment="1">
      <alignment horizontal="center" vertical="center"/>
    </xf>
    <xf numFmtId="0" fontId="33" fillId="0" borderId="0" xfId="9" applyFont="1"/>
    <xf numFmtId="41" fontId="33" fillId="0" borderId="58" xfId="10" applyFont="1" applyFill="1" applyBorder="1" applyAlignment="1">
      <alignment vertical="center" wrapText="1"/>
    </xf>
    <xf numFmtId="179" fontId="33" fillId="0" borderId="58" xfId="9" applyNumberFormat="1" applyFont="1" applyBorder="1" applyAlignment="1">
      <alignment vertical="center"/>
    </xf>
    <xf numFmtId="0" fontId="33" fillId="0" borderId="59" xfId="9" applyFont="1" applyBorder="1" applyAlignment="1">
      <alignment horizontal="center" vertical="center"/>
    </xf>
    <xf numFmtId="0" fontId="33" fillId="0" borderId="60" xfId="9" applyFont="1" applyBorder="1" applyAlignment="1">
      <alignment vertical="center"/>
    </xf>
    <xf numFmtId="178" fontId="33" fillId="0" borderId="60" xfId="9" applyNumberFormat="1" applyFont="1" applyBorder="1" applyAlignment="1">
      <alignment horizontal="center" vertical="center"/>
    </xf>
    <xf numFmtId="0" fontId="33" fillId="0" borderId="61" xfId="9" applyFont="1" applyBorder="1" applyAlignment="1">
      <alignment vertical="center"/>
    </xf>
    <xf numFmtId="178" fontId="33" fillId="0" borderId="0" xfId="9" applyNumberFormat="1" applyFont="1" applyAlignment="1">
      <alignment horizontal="center"/>
    </xf>
    <xf numFmtId="0" fontId="33" fillId="0" borderId="0" xfId="9" applyFont="1" applyAlignment="1">
      <alignment horizontal="center"/>
    </xf>
    <xf numFmtId="0" fontId="30" fillId="0" borderId="0" xfId="9" applyFont="1"/>
    <xf numFmtId="0" fontId="37" fillId="0" borderId="0" xfId="9" applyFont="1"/>
    <xf numFmtId="41" fontId="33" fillId="0" borderId="0" xfId="10" applyFont="1"/>
    <xf numFmtId="41" fontId="33" fillId="0" borderId="0" xfId="10" applyFont="1" applyAlignment="1">
      <alignment vertical="center"/>
    </xf>
    <xf numFmtId="0" fontId="33" fillId="0" borderId="0" xfId="10" applyNumberFormat="1" applyFont="1" applyAlignment="1">
      <alignment horizontal="right"/>
    </xf>
    <xf numFmtId="0" fontId="33" fillId="3" borderId="66" xfId="9" applyFont="1" applyFill="1" applyBorder="1" applyAlignment="1">
      <alignment horizontal="center" vertical="center"/>
    </xf>
    <xf numFmtId="41" fontId="33" fillId="3" borderId="67" xfId="10" applyFont="1" applyFill="1" applyBorder="1" applyAlignment="1">
      <alignment horizontal="center" vertical="center"/>
    </xf>
    <xf numFmtId="0" fontId="33" fillId="3" borderId="9" xfId="9" applyFont="1" applyFill="1" applyBorder="1" applyAlignment="1">
      <alignment horizontal="center" vertical="center"/>
    </xf>
    <xf numFmtId="41" fontId="33" fillId="3" borderId="11" xfId="10" applyFont="1" applyFill="1" applyBorder="1" applyAlignment="1">
      <alignment horizontal="center" vertical="center"/>
    </xf>
    <xf numFmtId="0" fontId="35" fillId="0" borderId="66" xfId="9" applyFont="1" applyBorder="1" applyAlignment="1">
      <alignment horizontal="center" vertical="center"/>
    </xf>
    <xf numFmtId="41" fontId="35" fillId="0" borderId="67" xfId="10" applyFont="1" applyBorder="1" applyAlignment="1">
      <alignment horizontal="right" vertical="center" indent="2"/>
    </xf>
    <xf numFmtId="0" fontId="35" fillId="0" borderId="9" xfId="9" applyFont="1" applyBorder="1" applyAlignment="1">
      <alignment horizontal="center" vertical="center"/>
    </xf>
    <xf numFmtId="182" fontId="35" fillId="0" borderId="11" xfId="10" applyNumberFormat="1" applyFont="1" applyBorder="1" applyAlignment="1">
      <alignment horizontal="right" vertical="center" indent="2"/>
    </xf>
    <xf numFmtId="41" fontId="33" fillId="0" borderId="0" xfId="9" applyNumberFormat="1" applyFont="1"/>
    <xf numFmtId="0" fontId="33" fillId="0" borderId="68" xfId="9" applyFont="1" applyBorder="1" applyAlignment="1">
      <alignment horizontal="center" vertical="center"/>
    </xf>
    <xf numFmtId="41" fontId="33" fillId="0" borderId="69" xfId="10" applyFont="1" applyBorder="1" applyAlignment="1">
      <alignment horizontal="right" vertical="center" indent="2"/>
    </xf>
    <xf numFmtId="0" fontId="33" fillId="0" borderId="70" xfId="9" applyFont="1" applyBorder="1" applyAlignment="1">
      <alignment horizontal="center" vertical="center"/>
    </xf>
    <xf numFmtId="182" fontId="33" fillId="0" borderId="71" xfId="10" applyNumberFormat="1" applyFont="1" applyBorder="1" applyAlignment="1">
      <alignment horizontal="right" vertical="center" indent="2"/>
    </xf>
    <xf numFmtId="0" fontId="33" fillId="0" borderId="17" xfId="9" applyFont="1" applyBorder="1" applyAlignment="1">
      <alignment vertical="center"/>
    </xf>
    <xf numFmtId="41" fontId="33" fillId="0" borderId="72" xfId="10" applyFont="1" applyBorder="1" applyAlignment="1">
      <alignment horizontal="right" vertical="center" indent="2"/>
    </xf>
    <xf numFmtId="0" fontId="33" fillId="0" borderId="29" xfId="9" applyFont="1" applyBorder="1" applyAlignment="1">
      <alignment vertical="center"/>
    </xf>
    <xf numFmtId="182" fontId="33" fillId="0" borderId="10" xfId="10" applyNumberFormat="1" applyFont="1" applyBorder="1" applyAlignment="1">
      <alignment horizontal="right" vertical="center" indent="2"/>
    </xf>
    <xf numFmtId="0" fontId="33" fillId="0" borderId="19" xfId="9" applyFont="1" applyBorder="1" applyAlignment="1">
      <alignment vertical="center"/>
    </xf>
    <xf numFmtId="41" fontId="33" fillId="0" borderId="73" xfId="10" applyFont="1" applyBorder="1" applyAlignment="1">
      <alignment horizontal="right" vertical="center" indent="2"/>
    </xf>
    <xf numFmtId="0" fontId="33" fillId="0" borderId="74" xfId="9" applyFont="1" applyBorder="1" applyAlignment="1">
      <alignment vertical="center"/>
    </xf>
    <xf numFmtId="182" fontId="33" fillId="0" borderId="31" xfId="10" applyNumberFormat="1" applyFont="1" applyBorder="1" applyAlignment="1">
      <alignment horizontal="right" vertical="center" indent="2"/>
    </xf>
    <xf numFmtId="0" fontId="33" fillId="0" borderId="75" xfId="9" applyFont="1" applyBorder="1" applyAlignment="1">
      <alignment horizontal="center" vertical="center"/>
    </xf>
    <xf numFmtId="41" fontId="33" fillId="0" borderId="76" xfId="10" applyFont="1" applyBorder="1" applyAlignment="1">
      <alignment vertical="center"/>
    </xf>
    <xf numFmtId="0" fontId="33" fillId="0" borderId="77" xfId="9" applyFont="1" applyBorder="1" applyAlignment="1">
      <alignment horizontal="center" vertical="center"/>
    </xf>
    <xf numFmtId="41" fontId="33" fillId="0" borderId="78" xfId="10" applyFont="1" applyBorder="1" applyAlignment="1">
      <alignment horizontal="right" vertical="center" indent="2"/>
    </xf>
    <xf numFmtId="41" fontId="33" fillId="0" borderId="72" xfId="10" applyFont="1" applyBorder="1" applyAlignment="1">
      <alignment vertical="center"/>
    </xf>
    <xf numFmtId="41" fontId="33" fillId="0" borderId="10" xfId="10" applyFont="1" applyBorder="1" applyAlignment="1">
      <alignment horizontal="right" vertical="center" indent="2"/>
    </xf>
    <xf numFmtId="0" fontId="33" fillId="0" borderId="79" xfId="9" applyFont="1" applyBorder="1" applyAlignment="1">
      <alignment vertical="center"/>
    </xf>
    <xf numFmtId="41" fontId="33" fillId="0" borderId="31" xfId="10" applyFont="1" applyBorder="1" applyAlignment="1">
      <alignment horizontal="right" vertical="center" indent="2"/>
    </xf>
    <xf numFmtId="0" fontId="40" fillId="0" borderId="80" xfId="9" applyFont="1" applyBorder="1" applyAlignment="1">
      <alignment horizontal="center" vertical="center"/>
    </xf>
    <xf numFmtId="41" fontId="33" fillId="0" borderId="0" xfId="10" applyFont="1" applyBorder="1" applyAlignment="1">
      <alignment horizontal="right" vertical="center" indent="2"/>
    </xf>
    <xf numFmtId="0" fontId="33" fillId="0" borderId="0" xfId="9" applyFont="1" applyAlignment="1">
      <alignment horizontal="left"/>
    </xf>
    <xf numFmtId="0" fontId="41" fillId="0" borderId="0" xfId="9" applyFont="1"/>
    <xf numFmtId="41" fontId="41" fillId="0" borderId="0" xfId="10" applyFont="1"/>
    <xf numFmtId="41" fontId="33" fillId="0" borderId="0" xfId="10" applyFont="1" applyAlignment="1"/>
    <xf numFmtId="0" fontId="38" fillId="0" borderId="0" xfId="9" applyFont="1"/>
    <xf numFmtId="0" fontId="33" fillId="0" borderId="21" xfId="9" applyFont="1" applyBorder="1"/>
    <xf numFmtId="41" fontId="33" fillId="0" borderId="21" xfId="10" applyFont="1" applyBorder="1" applyAlignment="1"/>
    <xf numFmtId="0" fontId="33" fillId="0" borderId="82" xfId="9" applyFont="1" applyFill="1" applyBorder="1" applyAlignment="1">
      <alignment horizontal="center" vertical="center"/>
    </xf>
    <xf numFmtId="0" fontId="33" fillId="0" borderId="27" xfId="9" applyFont="1" applyBorder="1" applyAlignment="1">
      <alignment horizontal="center" vertical="center"/>
    </xf>
    <xf numFmtId="181" fontId="33" fillId="0" borderId="91" xfId="9" applyNumberFormat="1" applyFont="1" applyBorder="1" applyAlignment="1">
      <alignment vertical="center"/>
    </xf>
    <xf numFmtId="181" fontId="33" fillId="0" borderId="0" xfId="9" applyNumberFormat="1" applyFont="1" applyAlignment="1">
      <alignment vertical="center"/>
    </xf>
    <xf numFmtId="0" fontId="38" fillId="0" borderId="0" xfId="9" applyFont="1" applyAlignment="1">
      <alignment vertical="center"/>
    </xf>
    <xf numFmtId="41" fontId="40" fillId="0" borderId="0" xfId="10" applyFont="1" applyAlignment="1">
      <alignment vertical="center"/>
    </xf>
    <xf numFmtId="0" fontId="40" fillId="0" borderId="0" xfId="9" applyFont="1" applyAlignment="1">
      <alignment vertical="center"/>
    </xf>
    <xf numFmtId="0" fontId="33" fillId="0" borderId="0" xfId="10" applyNumberFormat="1" applyFont="1" applyAlignment="1">
      <alignment horizontal="right" vertical="center"/>
    </xf>
    <xf numFmtId="41" fontId="39" fillId="0" borderId="93" xfId="10" applyFont="1" applyBorder="1" applyAlignment="1">
      <alignment horizontal="center" vertical="center"/>
    </xf>
    <xf numFmtId="41" fontId="39" fillId="0" borderId="85" xfId="10" applyFont="1" applyBorder="1" applyAlignment="1">
      <alignment horizontal="center" vertical="center"/>
    </xf>
    <xf numFmtId="41" fontId="46" fillId="0" borderId="96" xfId="10" applyFont="1" applyBorder="1" applyAlignment="1">
      <alignment horizontal="right" vertical="center"/>
    </xf>
    <xf numFmtId="41" fontId="46" fillId="0" borderId="98" xfId="10" applyFont="1" applyBorder="1" applyAlignment="1">
      <alignment vertical="center"/>
    </xf>
    <xf numFmtId="184" fontId="39" fillId="0" borderId="99" xfId="9" applyNumberFormat="1" applyFont="1" applyBorder="1" applyAlignment="1">
      <alignment horizontal="distributed" vertical="center"/>
    </xf>
    <xf numFmtId="184" fontId="47" fillId="0" borderId="100" xfId="9" applyNumberFormat="1" applyFont="1" applyBorder="1" applyAlignment="1">
      <alignment horizontal="center" vertical="center"/>
    </xf>
    <xf numFmtId="41" fontId="47" fillId="0" borderId="101" xfId="10" applyFont="1" applyBorder="1" applyAlignment="1">
      <alignment vertical="center"/>
    </xf>
    <xf numFmtId="184" fontId="39" fillId="0" borderId="102" xfId="9" applyNumberFormat="1" applyFont="1" applyBorder="1" applyAlignment="1">
      <alignment horizontal="distributed" vertical="center"/>
    </xf>
    <xf numFmtId="184" fontId="40" fillId="0" borderId="100" xfId="9" applyNumberFormat="1" applyFont="1" applyBorder="1" applyAlignment="1">
      <alignment horizontal="center" vertical="center"/>
    </xf>
    <xf numFmtId="41" fontId="40" fillId="0" borderId="103" xfId="10" applyFont="1" applyBorder="1" applyAlignment="1">
      <alignment vertical="center"/>
    </xf>
    <xf numFmtId="184" fontId="40" fillId="0" borderId="17" xfId="9" applyNumberFormat="1" applyFont="1" applyBorder="1" applyAlignment="1">
      <alignment horizontal="distributed" vertical="center"/>
    </xf>
    <xf numFmtId="184" fontId="40" fillId="0" borderId="104" xfId="9" applyNumberFormat="1" applyFont="1" applyBorder="1" applyAlignment="1">
      <alignment horizontal="distributed" vertical="center"/>
    </xf>
    <xf numFmtId="41" fontId="40" fillId="0" borderId="105" xfId="10" applyFont="1" applyBorder="1" applyAlignment="1">
      <alignment vertical="center"/>
    </xf>
    <xf numFmtId="184" fontId="40" fillId="0" borderId="106" xfId="9" applyNumberFormat="1" applyFont="1" applyBorder="1" applyAlignment="1">
      <alignment horizontal="distributed" vertical="center"/>
    </xf>
    <xf numFmtId="41" fontId="40" fillId="0" borderId="104" xfId="10" applyFont="1" applyBorder="1" applyAlignment="1">
      <alignment horizontal="distributed" vertical="center" justifyLastLine="1"/>
    </xf>
    <xf numFmtId="41" fontId="40" fillId="0" borderId="50" xfId="10" applyFont="1" applyBorder="1" applyAlignment="1">
      <alignment vertical="center"/>
    </xf>
    <xf numFmtId="184" fontId="40" fillId="0" borderId="107" xfId="9" applyNumberFormat="1" applyFont="1" applyBorder="1" applyAlignment="1">
      <alignment horizontal="distributed" vertical="center"/>
    </xf>
    <xf numFmtId="41" fontId="33" fillId="0" borderId="0" xfId="9" applyNumberFormat="1" applyFont="1" applyAlignment="1">
      <alignment vertical="center"/>
    </xf>
    <xf numFmtId="41" fontId="40" fillId="0" borderId="108" xfId="10" applyFont="1" applyBorder="1" applyAlignment="1">
      <alignment vertical="center"/>
    </xf>
    <xf numFmtId="184" fontId="40" fillId="0" borderId="109" xfId="9" applyNumberFormat="1" applyFont="1" applyBorder="1" applyAlignment="1">
      <alignment horizontal="distributed" vertical="center"/>
    </xf>
    <xf numFmtId="184" fontId="40" fillId="0" borderId="107" xfId="9" applyNumberFormat="1" applyFont="1" applyBorder="1" applyAlignment="1">
      <alignment horizontal="center" vertical="center"/>
    </xf>
    <xf numFmtId="41" fontId="40" fillId="0" borderId="54" xfId="10" applyFont="1" applyBorder="1" applyAlignment="1">
      <alignment vertical="center"/>
    </xf>
    <xf numFmtId="184" fontId="40" fillId="0" borderId="66" xfId="9" applyNumberFormat="1" applyFont="1" applyBorder="1" applyAlignment="1">
      <alignment horizontal="distributed" vertical="center"/>
    </xf>
    <xf numFmtId="184" fontId="40" fillId="0" borderId="88" xfId="9" applyNumberFormat="1" applyFont="1" applyBorder="1" applyAlignment="1">
      <alignment horizontal="distributed" vertical="center"/>
    </xf>
    <xf numFmtId="41" fontId="40" fillId="0" borderId="110" xfId="10" applyFont="1" applyBorder="1" applyAlignment="1">
      <alignment vertical="center"/>
    </xf>
    <xf numFmtId="184" fontId="40" fillId="0" borderId="111" xfId="9" applyNumberFormat="1" applyFont="1" applyBorder="1" applyAlignment="1">
      <alignment horizontal="distributed" vertical="center"/>
    </xf>
    <xf numFmtId="41" fontId="40" fillId="0" borderId="87" xfId="10" applyFont="1" applyBorder="1" applyAlignment="1">
      <alignment vertical="center"/>
    </xf>
    <xf numFmtId="184" fontId="48" fillId="0" borderId="112" xfId="9" applyNumberFormat="1" applyFont="1" applyBorder="1" applyAlignment="1">
      <alignment horizontal="center" vertical="center"/>
    </xf>
    <xf numFmtId="41" fontId="48" fillId="0" borderId="113" xfId="10" applyFont="1" applyBorder="1" applyAlignment="1">
      <alignment vertical="center"/>
    </xf>
    <xf numFmtId="41" fontId="48" fillId="0" borderId="114" xfId="10" applyFont="1" applyBorder="1" applyAlignment="1">
      <alignment vertical="center"/>
    </xf>
    <xf numFmtId="184" fontId="40" fillId="0" borderId="106" xfId="9" applyNumberFormat="1" applyFont="1" applyBorder="1" applyAlignment="1">
      <alignment vertical="center"/>
    </xf>
    <xf numFmtId="41" fontId="40" fillId="0" borderId="54" xfId="10" applyFont="1" applyFill="1" applyBorder="1" applyAlignment="1">
      <alignment vertical="center"/>
    </xf>
    <xf numFmtId="184" fontId="40" fillId="0" borderId="112" xfId="9" applyNumberFormat="1" applyFont="1" applyBorder="1" applyAlignment="1">
      <alignment horizontal="center" vertical="center"/>
    </xf>
    <xf numFmtId="41" fontId="40" fillId="0" borderId="114" xfId="10" applyFont="1" applyBorder="1" applyAlignment="1">
      <alignment vertical="center"/>
    </xf>
    <xf numFmtId="184" fontId="48" fillId="0" borderId="104" xfId="9" applyNumberFormat="1" applyFont="1" applyBorder="1" applyAlignment="1">
      <alignment horizontal="distributed" vertical="center"/>
    </xf>
    <xf numFmtId="41" fontId="48" fillId="0" borderId="105" xfId="10" applyFont="1" applyBorder="1" applyAlignment="1">
      <alignment vertical="center"/>
    </xf>
    <xf numFmtId="41" fontId="40" fillId="0" borderId="112" xfId="10" applyFont="1" applyBorder="1" applyAlignment="1">
      <alignment horizontal="center" vertical="center"/>
    </xf>
    <xf numFmtId="184" fontId="40" fillId="0" borderId="66" xfId="9" applyNumberFormat="1" applyFont="1" applyBorder="1" applyAlignment="1">
      <alignment vertical="center"/>
    </xf>
    <xf numFmtId="184" fontId="40" fillId="0" borderId="115" xfId="9" applyNumberFormat="1" applyFont="1" applyBorder="1" applyAlignment="1">
      <alignment vertical="center"/>
    </xf>
    <xf numFmtId="41" fontId="40" fillId="0" borderId="116" xfId="10" applyFont="1" applyBorder="1" applyAlignment="1">
      <alignment vertical="center"/>
    </xf>
    <xf numFmtId="184" fontId="40" fillId="0" borderId="115" xfId="9" applyNumberFormat="1" applyFont="1" applyBorder="1" applyAlignment="1">
      <alignment horizontal="distributed" vertical="center"/>
    </xf>
    <xf numFmtId="41" fontId="40" fillId="0" borderId="117" xfId="10" applyFont="1" applyBorder="1" applyAlignment="1">
      <alignment vertical="center"/>
    </xf>
    <xf numFmtId="41" fontId="33" fillId="0" borderId="0" xfId="10" applyFont="1" applyBorder="1" applyAlignment="1">
      <alignment vertical="center"/>
    </xf>
    <xf numFmtId="0" fontId="39" fillId="0" borderId="0" xfId="9" applyFont="1" applyAlignment="1">
      <alignment horizontal="left" vertical="center"/>
    </xf>
    <xf numFmtId="41" fontId="40" fillId="0" borderId="0" xfId="10" applyFont="1" applyAlignment="1">
      <alignment horizontal="right" vertical="center"/>
    </xf>
    <xf numFmtId="0" fontId="40" fillId="0" borderId="0" xfId="9" applyFont="1"/>
    <xf numFmtId="41" fontId="33" fillId="3" borderId="16" xfId="10" applyFont="1" applyFill="1" applyBorder="1" applyAlignment="1">
      <alignment horizontal="center" vertical="center"/>
    </xf>
    <xf numFmtId="41" fontId="35" fillId="0" borderId="16" xfId="10" applyFont="1" applyBorder="1" applyAlignment="1">
      <alignment horizontal="right" vertical="center"/>
    </xf>
    <xf numFmtId="41" fontId="35" fillId="0" borderId="39" xfId="10" applyFont="1" applyBorder="1" applyAlignment="1">
      <alignment vertical="center"/>
    </xf>
    <xf numFmtId="184" fontId="33" fillId="0" borderId="99" xfId="9" applyNumberFormat="1" applyFont="1" applyBorder="1" applyAlignment="1">
      <alignment horizontal="distributed" vertical="center" justifyLastLine="1"/>
    </xf>
    <xf numFmtId="184" fontId="33" fillId="0" borderId="7" xfId="9" applyNumberFormat="1" applyFont="1" applyBorder="1" applyAlignment="1">
      <alignment horizontal="distributed" vertical="center" justifyLastLine="1"/>
    </xf>
    <xf numFmtId="41" fontId="33" fillId="0" borderId="16" xfId="10" applyFont="1" applyBorder="1" applyAlignment="1">
      <alignment horizontal="right" vertical="center"/>
    </xf>
    <xf numFmtId="184" fontId="33" fillId="0" borderId="17" xfId="9" applyNumberFormat="1" applyFont="1" applyBorder="1" applyAlignment="1">
      <alignment horizontal="distributed" vertical="center" justifyLastLine="1"/>
    </xf>
    <xf numFmtId="41" fontId="33" fillId="0" borderId="16" xfId="10" applyFont="1" applyBorder="1" applyAlignment="1">
      <alignment vertical="center"/>
    </xf>
    <xf numFmtId="184" fontId="33" fillId="0" borderId="3" xfId="9" applyNumberFormat="1" applyFont="1" applyBorder="1" applyAlignment="1">
      <alignment horizontal="distributed" vertical="center" justifyLastLine="1"/>
    </xf>
    <xf numFmtId="41" fontId="33" fillId="0" borderId="18" xfId="10" applyFont="1" applyBorder="1" applyAlignment="1">
      <alignment horizontal="right" vertical="center"/>
    </xf>
    <xf numFmtId="184" fontId="33" fillId="0" borderId="2" xfId="9" applyNumberFormat="1" applyFont="1" applyBorder="1" applyAlignment="1">
      <alignment horizontal="distributed" vertical="center" justifyLastLine="1"/>
    </xf>
    <xf numFmtId="41" fontId="33" fillId="0" borderId="10" xfId="10" applyFont="1" applyBorder="1" applyAlignment="1">
      <alignment vertical="center"/>
    </xf>
    <xf numFmtId="41" fontId="33" fillId="0" borderId="10" xfId="10" applyFont="1" applyBorder="1" applyAlignment="1">
      <alignment horizontal="right" vertical="center"/>
    </xf>
    <xf numFmtId="184" fontId="33" fillId="0" borderId="66" xfId="9" applyNumberFormat="1" applyFont="1" applyBorder="1" applyAlignment="1">
      <alignment horizontal="distributed" vertical="center" justifyLastLine="1"/>
    </xf>
    <xf numFmtId="184" fontId="33" fillId="0" borderId="8" xfId="9" applyNumberFormat="1" applyFont="1" applyBorder="1" applyAlignment="1">
      <alignment horizontal="distributed" vertical="center" justifyLastLine="1"/>
    </xf>
    <xf numFmtId="41" fontId="33" fillId="0" borderId="11" xfId="10" applyFont="1" applyBorder="1" applyAlignment="1">
      <alignment horizontal="right" vertical="center"/>
    </xf>
    <xf numFmtId="41" fontId="33" fillId="0" borderId="11" xfId="10" applyFont="1" applyBorder="1" applyAlignment="1">
      <alignment vertical="center"/>
    </xf>
    <xf numFmtId="184" fontId="49" fillId="0" borderId="99" xfId="9" applyNumberFormat="1" applyFont="1" applyBorder="1" applyAlignment="1">
      <alignment horizontal="distributed" vertical="center" justifyLastLine="1"/>
    </xf>
    <xf numFmtId="0" fontId="50" fillId="0" borderId="0" xfId="9" applyFont="1"/>
    <xf numFmtId="41" fontId="33" fillId="0" borderId="120" xfId="10" applyFont="1" applyBorder="1" applyAlignment="1">
      <alignment horizontal="right" vertical="center"/>
    </xf>
    <xf numFmtId="184" fontId="33" fillId="0" borderId="121" xfId="9" applyNumberFormat="1" applyFont="1" applyBorder="1" applyAlignment="1">
      <alignment horizontal="distributed" vertical="center" justifyLastLine="1"/>
    </xf>
    <xf numFmtId="184" fontId="33" fillId="0" borderId="121" xfId="9" applyNumberFormat="1" applyFont="1" applyBorder="1" applyAlignment="1">
      <alignment vertical="center"/>
    </xf>
    <xf numFmtId="0" fontId="33" fillId="0" borderId="66" xfId="9" applyFont="1" applyBorder="1" applyAlignment="1">
      <alignment vertical="center"/>
    </xf>
    <xf numFmtId="0" fontId="33" fillId="0" borderId="8" xfId="9" applyFont="1" applyBorder="1" applyAlignment="1">
      <alignment vertical="center"/>
    </xf>
    <xf numFmtId="41" fontId="33" fillId="0" borderId="122" xfId="10" applyFont="1" applyBorder="1" applyAlignment="1">
      <alignment vertical="center"/>
    </xf>
    <xf numFmtId="41" fontId="33" fillId="0" borderId="123" xfId="10" applyFont="1" applyBorder="1" applyAlignment="1">
      <alignment horizontal="right" vertical="center"/>
    </xf>
    <xf numFmtId="41" fontId="33" fillId="0" borderId="122" xfId="10" applyFont="1" applyBorder="1" applyAlignment="1">
      <alignment horizontal="right" vertical="center"/>
    </xf>
    <xf numFmtId="41" fontId="33" fillId="0" borderId="39" xfId="10" applyFont="1" applyBorder="1" applyAlignment="1">
      <alignment horizontal="right" vertical="center"/>
    </xf>
    <xf numFmtId="184" fontId="33" fillId="0" borderId="19" xfId="9" applyNumberFormat="1" applyFont="1" applyBorder="1" applyAlignment="1">
      <alignment horizontal="distributed" vertical="center" justifyLastLine="1"/>
    </xf>
    <xf numFmtId="184" fontId="33" fillId="0" borderId="20" xfId="9" applyNumberFormat="1" applyFont="1" applyBorder="1" applyAlignment="1">
      <alignment horizontal="distributed" vertical="center" justifyLastLine="1"/>
    </xf>
    <xf numFmtId="41" fontId="33" fillId="0" borderId="31" xfId="10" applyFont="1" applyBorder="1" applyAlignment="1">
      <alignment horizontal="right" vertical="center"/>
    </xf>
    <xf numFmtId="41" fontId="33" fillId="0" borderId="31" xfId="10" applyFont="1" applyBorder="1" applyAlignment="1">
      <alignment vertical="center"/>
    </xf>
    <xf numFmtId="181" fontId="33" fillId="0" borderId="31" xfId="10" applyNumberFormat="1" applyFont="1" applyBorder="1" applyAlignment="1">
      <alignment vertical="center"/>
    </xf>
    <xf numFmtId="177" fontId="34" fillId="0" borderId="0" xfId="11" applyNumberFormat="1" applyFont="1" applyAlignment="1">
      <alignment vertical="center"/>
    </xf>
    <xf numFmtId="0" fontId="34" fillId="0" borderId="17" xfId="11" applyFont="1" applyBorder="1" applyAlignment="1">
      <alignment vertical="center"/>
    </xf>
    <xf numFmtId="0" fontId="33" fillId="0" borderId="57" xfId="9" applyFont="1" applyBorder="1" applyAlignment="1">
      <alignment horizontal="left" vertical="center"/>
    </xf>
    <xf numFmtId="0" fontId="35" fillId="0" borderId="0" xfId="11" applyFont="1" applyAlignment="1">
      <alignment vertical="center"/>
    </xf>
    <xf numFmtId="0" fontId="49" fillId="0" borderId="0" xfId="11" applyFont="1" applyAlignment="1">
      <alignment vertical="center"/>
    </xf>
    <xf numFmtId="41" fontId="49" fillId="0" borderId="0" xfId="12" applyFont="1" applyAlignment="1">
      <alignment vertical="center"/>
    </xf>
    <xf numFmtId="41" fontId="33" fillId="0" borderId="0" xfId="12" applyFont="1" applyBorder="1" applyAlignment="1">
      <alignment vertical="center" shrinkToFit="1"/>
    </xf>
    <xf numFmtId="41" fontId="34" fillId="0" borderId="0" xfId="12" applyFont="1" applyBorder="1" applyAlignment="1">
      <alignment vertical="center" shrinkToFit="1"/>
    </xf>
    <xf numFmtId="0" fontId="34" fillId="0" borderId="0" xfId="12" applyNumberFormat="1" applyFont="1" applyFill="1" applyBorder="1" applyAlignment="1">
      <alignment horizontal="left" vertical="center"/>
    </xf>
    <xf numFmtId="0" fontId="34" fillId="0" borderId="0" xfId="12" applyNumberFormat="1" applyFont="1" applyFill="1" applyBorder="1" applyAlignment="1">
      <alignment horizontal="center" vertical="center"/>
    </xf>
    <xf numFmtId="0" fontId="34" fillId="0" borderId="12" xfId="11" applyFont="1" applyFill="1" applyBorder="1" applyAlignment="1">
      <alignment vertical="center"/>
    </xf>
    <xf numFmtId="176" fontId="34" fillId="0" borderId="3" xfId="12" applyNumberFormat="1" applyFont="1" applyFill="1" applyBorder="1" applyAlignment="1">
      <alignment horizontal="right" vertical="center"/>
    </xf>
    <xf numFmtId="176" fontId="34" fillId="0" borderId="2" xfId="12" applyNumberFormat="1" applyFont="1" applyFill="1" applyBorder="1" applyAlignment="1">
      <alignment horizontal="right" vertical="center"/>
    </xf>
    <xf numFmtId="0" fontId="34" fillId="0" borderId="12" xfId="12" applyNumberFormat="1" applyFont="1" applyFill="1" applyBorder="1" applyAlignment="1">
      <alignment vertical="center"/>
    </xf>
    <xf numFmtId="0" fontId="34" fillId="0" borderId="12" xfId="12" applyNumberFormat="1" applyFont="1" applyFill="1" applyBorder="1" applyAlignment="1">
      <alignment horizontal="left" vertical="center"/>
    </xf>
    <xf numFmtId="176" fontId="34" fillId="5" borderId="7" xfId="12" applyNumberFormat="1" applyFont="1" applyFill="1" applyBorder="1" applyAlignment="1">
      <alignment vertical="center"/>
    </xf>
    <xf numFmtId="176" fontId="34" fillId="0" borderId="3" xfId="12" applyNumberFormat="1" applyFont="1" applyFill="1" applyBorder="1" applyAlignment="1">
      <alignment vertical="center"/>
    </xf>
    <xf numFmtId="176" fontId="51" fillId="0" borderId="3" xfId="12" applyNumberFormat="1" applyFont="1" applyFill="1" applyBorder="1" applyAlignment="1">
      <alignment vertical="center"/>
    </xf>
    <xf numFmtId="176" fontId="34" fillId="5" borderId="2" xfId="12" applyNumberFormat="1" applyFont="1" applyFill="1" applyBorder="1" applyAlignment="1">
      <alignment vertical="center"/>
    </xf>
    <xf numFmtId="41" fontId="34" fillId="0" borderId="0" xfId="12" applyNumberFormat="1" applyFont="1" applyFill="1" applyBorder="1" applyAlignment="1">
      <alignment horizontal="left" vertical="center" shrinkToFit="1"/>
    </xf>
    <xf numFmtId="0" fontId="34" fillId="5" borderId="12" xfId="11" applyFont="1" applyFill="1" applyBorder="1" applyAlignment="1">
      <alignment vertical="center"/>
    </xf>
    <xf numFmtId="176" fontId="34" fillId="5" borderId="3" xfId="12" applyNumberFormat="1" applyFont="1" applyFill="1" applyBorder="1" applyAlignment="1">
      <alignment vertical="center"/>
    </xf>
    <xf numFmtId="0" fontId="16" fillId="0" borderId="0" xfId="11" applyAlignment="1">
      <alignment vertical="center"/>
    </xf>
    <xf numFmtId="41" fontId="34" fillId="0" borderId="10" xfId="12" applyFont="1" applyFill="1" applyBorder="1" applyAlignment="1">
      <alignment horizontal="right" vertical="center"/>
    </xf>
    <xf numFmtId="0" fontId="34" fillId="5" borderId="2" xfId="11" applyFont="1" applyFill="1" applyBorder="1" applyAlignment="1">
      <alignment vertical="center"/>
    </xf>
    <xf numFmtId="0" fontId="34" fillId="0" borderId="2" xfId="11" applyFont="1" applyFill="1" applyBorder="1" applyAlignment="1">
      <alignment vertical="center"/>
    </xf>
    <xf numFmtId="41" fontId="55" fillId="0" borderId="10" xfId="12" applyFont="1" applyBorder="1" applyAlignment="1">
      <alignment vertical="center"/>
    </xf>
    <xf numFmtId="41" fontId="33" fillId="0" borderId="0" xfId="12" applyFont="1" applyAlignment="1">
      <alignment vertical="center"/>
    </xf>
    <xf numFmtId="41" fontId="55" fillId="0" borderId="10" xfId="12" applyFont="1" applyFill="1" applyBorder="1" applyAlignment="1">
      <alignment horizontal="right" vertical="center"/>
    </xf>
    <xf numFmtId="0" fontId="55" fillId="0" borderId="12" xfId="12" applyNumberFormat="1" applyFont="1" applyFill="1" applyBorder="1" applyAlignment="1">
      <alignment vertical="center"/>
    </xf>
    <xf numFmtId="0" fontId="55" fillId="0" borderId="0" xfId="12" applyNumberFormat="1" applyFont="1" applyFill="1" applyBorder="1" applyAlignment="1">
      <alignment horizontal="center" vertical="center"/>
    </xf>
    <xf numFmtId="178" fontId="63" fillId="0" borderId="0" xfId="11" applyNumberFormat="1" applyFont="1" applyFill="1" applyBorder="1" applyAlignment="1">
      <alignment vertical="center"/>
    </xf>
    <xf numFmtId="177" fontId="59" fillId="0" borderId="0" xfId="11" applyNumberFormat="1" applyFont="1" applyFill="1" applyBorder="1" applyAlignment="1">
      <alignment vertical="center" shrinkToFit="1"/>
    </xf>
    <xf numFmtId="190" fontId="62" fillId="0" borderId="0" xfId="12" applyNumberFormat="1" applyFont="1" applyFill="1" applyBorder="1" applyAlignment="1">
      <alignment vertical="center" shrinkToFit="1"/>
    </xf>
    <xf numFmtId="178" fontId="62" fillId="0" borderId="0" xfId="11" applyNumberFormat="1" applyFont="1" applyFill="1" applyBorder="1" applyAlignment="1">
      <alignment vertical="center" shrinkToFit="1"/>
    </xf>
    <xf numFmtId="0" fontId="62" fillId="0" borderId="1" xfId="12" applyNumberFormat="1" applyFont="1" applyFill="1" applyBorder="1" applyAlignment="1">
      <alignment horizontal="center" vertical="center"/>
    </xf>
    <xf numFmtId="0" fontId="62" fillId="0" borderId="0" xfId="12" applyNumberFormat="1" applyFont="1" applyFill="1" applyBorder="1" applyAlignment="1">
      <alignment horizontal="center" vertical="center"/>
    </xf>
    <xf numFmtId="41" fontId="62" fillId="0" borderId="10" xfId="12" applyNumberFormat="1" applyFont="1" applyFill="1" applyBorder="1" applyAlignment="1">
      <alignment vertical="center" shrinkToFit="1"/>
    </xf>
    <xf numFmtId="0" fontId="34" fillId="0" borderId="0" xfId="12" quotePrefix="1" applyNumberFormat="1" applyFont="1" applyFill="1" applyBorder="1" applyAlignment="1">
      <alignment horizontal="center" vertical="center"/>
    </xf>
    <xf numFmtId="41" fontId="34" fillId="0" borderId="16" xfId="12" applyNumberFormat="1" applyFont="1" applyFill="1" applyBorder="1" applyAlignment="1">
      <alignment horizontal="left" vertical="center" shrinkToFit="1"/>
    </xf>
    <xf numFmtId="41" fontId="62" fillId="0" borderId="0" xfId="12" applyNumberFormat="1" applyFont="1" applyFill="1" applyBorder="1" applyAlignment="1">
      <alignment horizontal="right" vertical="center" shrinkToFit="1"/>
    </xf>
    <xf numFmtId="41" fontId="66" fillId="0" borderId="0" xfId="12" applyNumberFormat="1" applyFont="1" applyFill="1" applyAlignment="1">
      <alignment vertical="center"/>
    </xf>
    <xf numFmtId="176" fontId="66" fillId="0" borderId="0" xfId="12" applyNumberFormat="1" applyFont="1" applyFill="1" applyAlignment="1">
      <alignment vertical="center"/>
    </xf>
    <xf numFmtId="41" fontId="66" fillId="0" borderId="0" xfId="12" applyNumberFormat="1" applyFont="1" applyFill="1" applyAlignment="1">
      <alignment horizontal="center" vertical="center"/>
    </xf>
    <xf numFmtId="0" fontId="62" fillId="0" borderId="5" xfId="11" applyNumberFormat="1" applyFont="1" applyFill="1" applyBorder="1" applyAlignment="1">
      <alignment vertical="center"/>
    </xf>
    <xf numFmtId="41" fontId="34" fillId="0" borderId="10" xfId="12" applyNumberFormat="1" applyFont="1" applyFill="1" applyBorder="1" applyAlignment="1">
      <alignment vertical="center"/>
    </xf>
    <xf numFmtId="0" fontId="55" fillId="0" borderId="0" xfId="11" applyFont="1" applyFill="1" applyBorder="1" applyAlignment="1">
      <alignment horizontal="center" vertical="center" shrinkToFit="1"/>
    </xf>
    <xf numFmtId="181" fontId="34" fillId="0" borderId="3" xfId="12" applyNumberFormat="1" applyFont="1" applyFill="1" applyBorder="1" applyAlignment="1">
      <alignment horizontal="right" vertical="center"/>
    </xf>
    <xf numFmtId="41" fontId="55" fillId="5" borderId="10" xfId="12" applyFont="1" applyFill="1" applyBorder="1" applyAlignment="1">
      <alignment horizontal="right" vertical="center"/>
    </xf>
    <xf numFmtId="0" fontId="34" fillId="5" borderId="20" xfId="11" applyFont="1" applyFill="1" applyBorder="1" applyAlignment="1">
      <alignment vertical="center"/>
    </xf>
    <xf numFmtId="178" fontId="34" fillId="0" borderId="0" xfId="11" applyNumberFormat="1" applyFont="1" applyAlignment="1">
      <alignment vertical="center"/>
    </xf>
    <xf numFmtId="41" fontId="55" fillId="0" borderId="0" xfId="12" applyFont="1" applyAlignment="1">
      <alignment vertical="center"/>
    </xf>
    <xf numFmtId="0" fontId="76" fillId="0" borderId="0" xfId="11" applyFont="1" applyAlignment="1">
      <alignment vertical="center"/>
    </xf>
    <xf numFmtId="41" fontId="76" fillId="0" borderId="0" xfId="12" applyFont="1" applyAlignment="1">
      <alignment vertical="center"/>
    </xf>
    <xf numFmtId="177" fontId="39" fillId="0" borderId="0" xfId="11" applyNumberFormat="1" applyFont="1" applyAlignment="1">
      <alignment vertical="center"/>
    </xf>
    <xf numFmtId="190" fontId="33" fillId="0" borderId="0" xfId="12" applyNumberFormat="1" applyFont="1" applyBorder="1" applyAlignment="1">
      <alignment vertical="center" shrinkToFit="1"/>
    </xf>
    <xf numFmtId="190" fontId="34" fillId="0" borderId="0" xfId="12" applyNumberFormat="1" applyFont="1" applyBorder="1" applyAlignment="1">
      <alignment vertical="center" shrinkToFit="1"/>
    </xf>
    <xf numFmtId="41" fontId="34" fillId="5" borderId="37" xfId="12" applyFont="1" applyFill="1" applyBorder="1" applyAlignment="1">
      <alignment vertical="center"/>
    </xf>
    <xf numFmtId="41" fontId="34" fillId="5" borderId="22" xfId="12" applyFont="1" applyFill="1" applyBorder="1" applyAlignment="1">
      <alignment horizontal="center" vertical="center"/>
    </xf>
    <xf numFmtId="41" fontId="34" fillId="5" borderId="10" xfId="12" applyFont="1" applyFill="1" applyBorder="1" applyAlignment="1">
      <alignment horizontal="right" vertical="center"/>
    </xf>
    <xf numFmtId="0" fontId="34" fillId="5" borderId="2" xfId="11" applyFont="1" applyFill="1" applyBorder="1" applyAlignment="1">
      <alignment vertical="center" wrapText="1"/>
    </xf>
    <xf numFmtId="41" fontId="34" fillId="5" borderId="10" xfId="12" applyFont="1" applyFill="1" applyBorder="1" applyAlignment="1">
      <alignment vertical="center"/>
    </xf>
    <xf numFmtId="178" fontId="34" fillId="5" borderId="10" xfId="12" applyNumberFormat="1" applyFont="1" applyFill="1" applyBorder="1" applyAlignment="1">
      <alignment horizontal="right" vertical="center"/>
    </xf>
    <xf numFmtId="41" fontId="59" fillId="5" borderId="10" xfId="12" applyFont="1" applyFill="1" applyBorder="1" applyAlignment="1">
      <alignment vertical="center"/>
    </xf>
    <xf numFmtId="0" fontId="34" fillId="0" borderId="0" xfId="11" applyFont="1" applyAlignment="1">
      <alignment horizontal="center" vertical="center"/>
    </xf>
    <xf numFmtId="41" fontId="34" fillId="5" borderId="11" xfId="12" applyFont="1" applyFill="1" applyBorder="1" applyAlignment="1">
      <alignment vertical="center"/>
    </xf>
    <xf numFmtId="178" fontId="34" fillId="5" borderId="10" xfId="12" applyNumberFormat="1" applyFont="1" applyFill="1" applyBorder="1" applyAlignment="1">
      <alignment horizontal="left" vertical="center"/>
    </xf>
    <xf numFmtId="0" fontId="34" fillId="5" borderId="12" xfId="11" applyFont="1" applyFill="1" applyBorder="1" applyAlignment="1">
      <alignment vertical="center" wrapText="1"/>
    </xf>
    <xf numFmtId="41" fontId="34" fillId="5" borderId="0" xfId="12" applyFont="1" applyFill="1" applyBorder="1" applyAlignment="1">
      <alignment vertical="center"/>
    </xf>
    <xf numFmtId="41" fontId="34" fillId="5" borderId="10" xfId="12" applyFont="1" applyFill="1" applyBorder="1" applyAlignment="1">
      <alignment horizontal="left" vertical="center"/>
    </xf>
    <xf numFmtId="178" fontId="34" fillId="0" borderId="0" xfId="11" applyNumberFormat="1" applyFont="1" applyAlignment="1">
      <alignment vertical="center" shrinkToFit="1"/>
    </xf>
    <xf numFmtId="177" fontId="34" fillId="0" borderId="0" xfId="11" applyNumberFormat="1" applyFont="1" applyAlignment="1">
      <alignment vertical="center" shrinkToFit="1"/>
    </xf>
    <xf numFmtId="188" fontId="34" fillId="0" borderId="0" xfId="11" applyNumberFormat="1" applyFont="1" applyAlignment="1">
      <alignment vertical="center"/>
    </xf>
    <xf numFmtId="178" fontId="34" fillId="5" borderId="10" xfId="12" applyNumberFormat="1" applyFont="1" applyFill="1" applyBorder="1" applyAlignment="1">
      <alignment vertical="center"/>
    </xf>
    <xf numFmtId="178" fontId="54" fillId="0" borderId="0" xfId="11" applyNumberFormat="1" applyFont="1" applyAlignment="1">
      <alignment vertical="center"/>
    </xf>
    <xf numFmtId="178" fontId="55" fillId="0" borderId="0" xfId="11" applyNumberFormat="1" applyFont="1" applyAlignment="1">
      <alignment vertical="center"/>
    </xf>
    <xf numFmtId="0" fontId="55" fillId="5" borderId="12" xfId="11" applyFont="1" applyFill="1" applyBorder="1" applyAlignment="1">
      <alignment vertical="center" shrinkToFit="1"/>
    </xf>
    <xf numFmtId="0" fontId="34" fillId="5" borderId="6" xfId="11" applyFont="1" applyFill="1" applyBorder="1" applyAlignment="1">
      <alignment vertical="center" shrinkToFit="1"/>
    </xf>
    <xf numFmtId="0" fontId="34" fillId="5" borderId="1" xfId="11" applyFont="1" applyFill="1" applyBorder="1" applyAlignment="1">
      <alignment vertical="center" shrinkToFit="1"/>
    </xf>
    <xf numFmtId="178" fontId="34" fillId="5" borderId="0" xfId="11" applyNumberFormat="1" applyFont="1" applyFill="1" applyAlignment="1">
      <alignment vertical="center"/>
    </xf>
    <xf numFmtId="178" fontId="34" fillId="5" borderId="0" xfId="11" applyNumberFormat="1" applyFont="1" applyFill="1" applyAlignment="1">
      <alignment vertical="center" shrinkToFit="1"/>
    </xf>
    <xf numFmtId="190" fontId="34" fillId="5" borderId="0" xfId="12" applyNumberFormat="1" applyFont="1" applyFill="1" applyBorder="1" applyAlignment="1">
      <alignment vertical="center" shrinkToFit="1"/>
    </xf>
    <xf numFmtId="41" fontId="51" fillId="5" borderId="10" xfId="12" applyFont="1" applyFill="1" applyBorder="1" applyAlignment="1">
      <alignment horizontal="right" vertical="center"/>
    </xf>
    <xf numFmtId="0" fontId="34" fillId="5" borderId="3" xfId="11" applyFont="1" applyFill="1" applyBorder="1" applyAlignment="1">
      <alignment vertical="center"/>
    </xf>
    <xf numFmtId="177" fontId="34" fillId="5" borderId="0" xfId="11" applyNumberFormat="1" applyFont="1" applyFill="1" applyBorder="1" applyAlignment="1">
      <alignment vertical="center"/>
    </xf>
    <xf numFmtId="177" fontId="34" fillId="5" borderId="10" xfId="12" applyNumberFormat="1" applyFont="1" applyFill="1" applyBorder="1" applyAlignment="1">
      <alignment vertical="center"/>
    </xf>
    <xf numFmtId="0" fontId="34" fillId="5" borderId="121" xfId="11" applyFont="1" applyFill="1" applyBorder="1" applyAlignment="1">
      <alignment vertical="center"/>
    </xf>
    <xf numFmtId="177" fontId="39" fillId="0" borderId="0" xfId="0" applyNumberFormat="1" applyFont="1" applyAlignment="1">
      <alignment vertical="center"/>
    </xf>
    <xf numFmtId="177" fontId="40" fillId="0" borderId="0" xfId="0" applyNumberFormat="1" applyFont="1" applyAlignment="1">
      <alignment vertical="center"/>
    </xf>
    <xf numFmtId="177" fontId="40" fillId="0" borderId="0" xfId="12" applyNumberFormat="1" applyFont="1" applyAlignment="1">
      <alignment vertical="center"/>
    </xf>
    <xf numFmtId="177" fontId="40" fillId="0" borderId="0" xfId="12" applyNumberFormat="1" applyFont="1" applyAlignment="1">
      <alignment horizontal="center" vertical="center"/>
    </xf>
    <xf numFmtId="177" fontId="40" fillId="0" borderId="0" xfId="0" applyNumberFormat="1" applyFont="1" applyAlignment="1">
      <alignment horizontal="right" vertical="center"/>
    </xf>
    <xf numFmtId="177" fontId="33" fillId="0" borderId="21" xfId="0" applyNumberFormat="1" applyFont="1" applyBorder="1" applyAlignment="1">
      <alignment vertical="center"/>
    </xf>
    <xf numFmtId="177" fontId="33" fillId="0" borderId="0" xfId="0" applyNumberFormat="1" applyFont="1" applyAlignment="1">
      <alignment horizontal="center" vertical="center"/>
    </xf>
    <xf numFmtId="177" fontId="33" fillId="0" borderId="0" xfId="12" applyNumberFormat="1" applyFont="1" applyAlignment="1">
      <alignment horizontal="right" vertical="center"/>
    </xf>
    <xf numFmtId="177" fontId="34" fillId="5" borderId="0" xfId="0" quotePrefix="1" applyNumberFormat="1" applyFont="1" applyFill="1" applyBorder="1" applyAlignment="1">
      <alignment horizontal="center" vertical="center"/>
    </xf>
    <xf numFmtId="177" fontId="51" fillId="5" borderId="10" xfId="12" applyNumberFormat="1" applyFont="1" applyFill="1" applyBorder="1" applyAlignment="1">
      <alignment vertical="center"/>
    </xf>
    <xf numFmtId="177" fontId="34" fillId="6" borderId="125" xfId="0" applyNumberFormat="1" applyFont="1" applyFill="1" applyBorder="1" applyAlignment="1">
      <alignment horizontal="center" vertical="center"/>
    </xf>
    <xf numFmtId="41" fontId="51" fillId="6" borderId="130" xfId="12" applyFont="1" applyFill="1" applyBorder="1" applyAlignment="1">
      <alignment horizontal="right" vertical="center" wrapText="1"/>
    </xf>
    <xf numFmtId="176" fontId="51" fillId="6" borderId="130" xfId="12" applyNumberFormat="1" applyFont="1" applyFill="1" applyBorder="1" applyAlignment="1">
      <alignment horizontal="right" vertical="center" wrapText="1"/>
    </xf>
    <xf numFmtId="177" fontId="34" fillId="6" borderId="136" xfId="0" applyNumberFormat="1" applyFont="1" applyFill="1" applyBorder="1" applyAlignment="1">
      <alignment horizontal="center" vertical="center"/>
    </xf>
    <xf numFmtId="177" fontId="34" fillId="6" borderId="64" xfId="0" applyNumberFormat="1" applyFont="1" applyFill="1" applyBorder="1" applyAlignment="1">
      <alignment horizontal="center" vertical="center"/>
    </xf>
    <xf numFmtId="177" fontId="34" fillId="6" borderId="65" xfId="0" applyNumberFormat="1" applyFont="1" applyFill="1" applyBorder="1" applyAlignment="1">
      <alignment horizontal="center" vertical="center"/>
    </xf>
    <xf numFmtId="177" fontId="34" fillId="5" borderId="126" xfId="0" applyNumberFormat="1" applyFont="1" applyFill="1" applyBorder="1" applyAlignment="1">
      <alignment vertical="center" wrapText="1"/>
    </xf>
    <xf numFmtId="177" fontId="34" fillId="5" borderId="121" xfId="0" applyNumberFormat="1" applyFont="1" applyFill="1" applyBorder="1" applyAlignment="1">
      <alignment vertical="center" wrapText="1"/>
    </xf>
    <xf numFmtId="177" fontId="34" fillId="5" borderId="12" xfId="0" applyNumberFormat="1" applyFont="1" applyFill="1" applyBorder="1" applyAlignment="1">
      <alignment horizontal="left" vertical="center" wrapText="1"/>
    </xf>
    <xf numFmtId="177" fontId="34" fillId="5" borderId="12" xfId="0" applyNumberFormat="1" applyFont="1" applyFill="1" applyBorder="1" applyAlignment="1">
      <alignment vertical="center"/>
    </xf>
    <xf numFmtId="177" fontId="34" fillId="5" borderId="12" xfId="0" applyNumberFormat="1" applyFont="1" applyFill="1" applyBorder="1" applyAlignment="1">
      <alignment horizontal="center" vertical="center" wrapText="1"/>
    </xf>
    <xf numFmtId="177" fontId="34" fillId="5" borderId="2" xfId="0" applyNumberFormat="1" applyFont="1" applyFill="1" applyBorder="1" applyAlignment="1">
      <alignment vertical="center"/>
    </xf>
    <xf numFmtId="177" fontId="34" fillId="5" borderId="3" xfId="0" applyNumberFormat="1" applyFont="1" applyFill="1" applyBorder="1" applyAlignment="1">
      <alignment vertical="center" wrapText="1"/>
    </xf>
    <xf numFmtId="177" fontId="34" fillId="5" borderId="2" xfId="0" applyNumberFormat="1" applyFont="1" applyFill="1" applyBorder="1" applyAlignment="1">
      <alignment vertical="center" wrapText="1"/>
    </xf>
    <xf numFmtId="177" fontId="34" fillId="5" borderId="2" xfId="0" applyNumberFormat="1" applyFont="1" applyFill="1" applyBorder="1" applyAlignment="1">
      <alignment horizontal="center" vertical="center" wrapText="1"/>
    </xf>
    <xf numFmtId="177" fontId="34" fillId="5" borderId="8" xfId="0" applyNumberFormat="1" applyFont="1" applyFill="1" applyBorder="1" applyAlignment="1">
      <alignment horizontal="center" vertical="center" wrapText="1"/>
    </xf>
    <xf numFmtId="177" fontId="51" fillId="5" borderId="30" xfId="0" applyNumberFormat="1" applyFont="1" applyFill="1" applyBorder="1" applyAlignment="1">
      <alignment vertical="center"/>
    </xf>
    <xf numFmtId="177" fontId="51" fillId="5" borderId="1" xfId="0" applyNumberFormat="1" applyFont="1" applyFill="1" applyBorder="1" applyAlignment="1">
      <alignment horizontal="center" vertical="center"/>
    </xf>
    <xf numFmtId="177" fontId="51" fillId="5" borderId="18" xfId="12" applyNumberFormat="1" applyFont="1" applyFill="1" applyBorder="1" applyAlignment="1">
      <alignment vertical="center"/>
    </xf>
    <xf numFmtId="185" fontId="34" fillId="5" borderId="2" xfId="12" applyNumberFormat="1" applyFont="1" applyFill="1" applyBorder="1" applyAlignment="1">
      <alignment vertical="center"/>
    </xf>
    <xf numFmtId="176" fontId="34" fillId="5" borderId="2" xfId="12" applyNumberFormat="1" applyFont="1" applyFill="1" applyBorder="1" applyAlignment="1">
      <alignment horizontal="right" vertical="center" shrinkToFit="1"/>
    </xf>
    <xf numFmtId="41" fontId="34" fillId="5" borderId="12" xfId="12" applyFont="1" applyFill="1" applyBorder="1" applyAlignment="1">
      <alignment vertical="center"/>
    </xf>
    <xf numFmtId="186" fontId="34" fillId="5" borderId="12" xfId="0" applyNumberFormat="1" applyFont="1" applyFill="1" applyBorder="1" applyAlignment="1">
      <alignment vertical="center"/>
    </xf>
    <xf numFmtId="176" fontId="34" fillId="5" borderId="8" xfId="12" applyNumberFormat="1" applyFont="1" applyFill="1" applyBorder="1" applyAlignment="1">
      <alignment vertical="center"/>
    </xf>
    <xf numFmtId="177" fontId="34" fillId="5" borderId="4" xfId="12" applyNumberFormat="1" applyFont="1" applyFill="1" applyBorder="1" applyAlignment="1">
      <alignment vertical="center"/>
    </xf>
    <xf numFmtId="177" fontId="34" fillId="5" borderId="5" xfId="12" applyNumberFormat="1" applyFont="1" applyFill="1" applyBorder="1" applyAlignment="1">
      <alignment horizontal="center" vertical="center"/>
    </xf>
    <xf numFmtId="177" fontId="34" fillId="5" borderId="16" xfId="0" applyNumberFormat="1" applyFont="1" applyFill="1" applyBorder="1" applyAlignment="1">
      <alignment vertical="center"/>
    </xf>
    <xf numFmtId="177" fontId="34" fillId="5" borderId="25" xfId="12" applyNumberFormat="1" applyFont="1" applyFill="1" applyBorder="1" applyAlignment="1">
      <alignment vertical="center"/>
    </xf>
    <xf numFmtId="177" fontId="34" fillId="5" borderId="6" xfId="12" applyNumberFormat="1" applyFont="1" applyFill="1" applyBorder="1" applyAlignment="1">
      <alignment horizontal="center" vertical="center"/>
    </xf>
    <xf numFmtId="181" fontId="34" fillId="5" borderId="3" xfId="12" applyNumberFormat="1" applyFont="1" applyFill="1" applyBorder="1" applyAlignment="1">
      <alignment vertical="center"/>
    </xf>
    <xf numFmtId="181" fontId="34" fillId="5" borderId="2" xfId="12" applyNumberFormat="1" applyFont="1" applyFill="1" applyBorder="1" applyAlignment="1">
      <alignment vertical="center"/>
    </xf>
    <xf numFmtId="177" fontId="34" fillId="5" borderId="0" xfId="0" applyNumberFormat="1" applyFont="1" applyFill="1" applyBorder="1" applyAlignment="1">
      <alignment horizontal="center" vertical="center"/>
    </xf>
    <xf numFmtId="181" fontId="34" fillId="5" borderId="7" xfId="12" applyNumberFormat="1" applyFont="1" applyFill="1" applyBorder="1" applyAlignment="1">
      <alignment vertical="center"/>
    </xf>
    <xf numFmtId="177" fontId="34" fillId="5" borderId="16" xfId="0" applyNumberFormat="1" applyFont="1" applyFill="1" applyBorder="1" applyAlignment="1">
      <alignment horizontal="right" vertical="center"/>
    </xf>
    <xf numFmtId="177" fontId="34" fillId="5" borderId="29" xfId="0" applyNumberFormat="1" applyFont="1" applyFill="1" applyBorder="1" applyAlignment="1">
      <alignment vertical="center"/>
    </xf>
    <xf numFmtId="181" fontId="34" fillId="5" borderId="8" xfId="12" applyNumberFormat="1" applyFont="1" applyFill="1" applyBorder="1" applyAlignment="1">
      <alignment vertical="center"/>
    </xf>
    <xf numFmtId="177" fontId="34" fillId="5" borderId="11" xfId="0" applyNumberFormat="1" applyFont="1" applyFill="1" applyBorder="1" applyAlignment="1">
      <alignment horizontal="right" vertical="center"/>
    </xf>
    <xf numFmtId="176" fontId="34" fillId="5" borderId="30" xfId="12" applyNumberFormat="1" applyFont="1" applyFill="1" applyBorder="1" applyAlignment="1">
      <alignment vertical="center"/>
    </xf>
    <xf numFmtId="177" fontId="51" fillId="5" borderId="30" xfId="12" applyNumberFormat="1" applyFont="1" applyFill="1" applyBorder="1" applyAlignment="1">
      <alignment vertical="center"/>
    </xf>
    <xf numFmtId="177" fontId="34" fillId="5" borderId="1" xfId="12" applyNumberFormat="1" applyFont="1" applyFill="1" applyBorder="1" applyAlignment="1">
      <alignment horizontal="center" vertical="center"/>
    </xf>
    <xf numFmtId="177" fontId="51" fillId="5" borderId="18" xfId="0" applyNumberFormat="1" applyFont="1" applyFill="1" applyBorder="1" applyAlignment="1">
      <alignment horizontal="right" vertical="center"/>
    </xf>
    <xf numFmtId="0" fontId="34" fillId="5" borderId="1" xfId="11" applyFont="1" applyFill="1" applyBorder="1" applyAlignment="1">
      <alignment horizontal="center" vertical="center" shrinkToFit="1"/>
    </xf>
    <xf numFmtId="182" fontId="34" fillId="5" borderId="18" xfId="11" applyNumberFormat="1" applyFont="1" applyFill="1" applyBorder="1" applyAlignment="1">
      <alignment vertical="center" shrinkToFit="1"/>
    </xf>
    <xf numFmtId="0" fontId="34" fillId="5" borderId="25" xfId="11" applyFont="1" applyFill="1" applyBorder="1" applyAlignment="1">
      <alignment vertical="center" shrinkToFit="1"/>
    </xf>
    <xf numFmtId="0" fontId="34" fillId="5" borderId="6" xfId="11" applyFont="1" applyFill="1" applyBorder="1" applyAlignment="1">
      <alignment horizontal="center" vertical="center" shrinkToFit="1"/>
    </xf>
    <xf numFmtId="182" fontId="34" fillId="5" borderId="16" xfId="11" applyNumberFormat="1" applyFont="1" applyFill="1" applyBorder="1" applyAlignment="1">
      <alignment vertical="center" shrinkToFit="1"/>
    </xf>
    <xf numFmtId="0" fontId="52" fillId="5" borderId="2" xfId="11" applyFont="1" applyFill="1" applyBorder="1" applyAlignment="1">
      <alignment vertical="center" wrapText="1"/>
    </xf>
    <xf numFmtId="182" fontId="34" fillId="5" borderId="2" xfId="12" applyNumberFormat="1" applyFont="1" applyFill="1" applyBorder="1" applyAlignment="1">
      <alignment vertical="center"/>
    </xf>
    <xf numFmtId="0" fontId="51" fillId="5" borderId="12" xfId="11" applyFont="1" applyFill="1" applyBorder="1" applyAlignment="1">
      <alignment vertical="center" shrinkToFit="1"/>
    </xf>
    <xf numFmtId="177" fontId="51" fillId="5" borderId="18" xfId="11" applyNumberFormat="1" applyFont="1" applyFill="1" applyBorder="1" applyAlignment="1">
      <alignment vertical="center" shrinkToFit="1"/>
    </xf>
    <xf numFmtId="177" fontId="51" fillId="5" borderId="10" xfId="11" applyNumberFormat="1" applyFont="1" applyFill="1" applyBorder="1" applyAlignment="1">
      <alignment vertical="center" shrinkToFit="1"/>
    </xf>
    <xf numFmtId="0" fontId="52" fillId="5" borderId="29" xfId="11" applyFont="1" applyFill="1" applyBorder="1" applyAlignment="1">
      <alignment vertical="center" wrapText="1"/>
    </xf>
    <xf numFmtId="177" fontId="34" fillId="5" borderId="16" xfId="11" applyNumberFormat="1" applyFont="1" applyFill="1" applyBorder="1" applyAlignment="1">
      <alignment vertical="center" shrinkToFit="1"/>
    </xf>
    <xf numFmtId="0" fontId="49" fillId="5" borderId="2" xfId="11" applyFont="1" applyFill="1" applyBorder="1" applyAlignment="1">
      <alignment vertical="center" wrapText="1"/>
    </xf>
    <xf numFmtId="0" fontId="34" fillId="5" borderId="27" xfId="11" applyFont="1" applyFill="1" applyBorder="1" applyAlignment="1">
      <alignment vertical="center"/>
    </xf>
    <xf numFmtId="0" fontId="34" fillId="5" borderId="28" xfId="11" applyFont="1" applyFill="1" applyBorder="1" applyAlignment="1">
      <alignment vertical="center" wrapText="1"/>
    </xf>
    <xf numFmtId="0" fontId="34" fillId="5" borderId="20" xfId="11" applyFont="1" applyFill="1" applyBorder="1" applyAlignment="1">
      <alignment vertical="center" wrapText="1"/>
    </xf>
    <xf numFmtId="182" fontId="34" fillId="5" borderId="20" xfId="12" applyNumberFormat="1" applyFont="1" applyFill="1" applyBorder="1" applyAlignment="1">
      <alignment vertical="center"/>
    </xf>
    <xf numFmtId="176" fontId="34" fillId="5" borderId="20" xfId="12" applyNumberFormat="1" applyFont="1" applyFill="1" applyBorder="1" applyAlignment="1">
      <alignment vertical="center"/>
    </xf>
    <xf numFmtId="0" fontId="34" fillId="5" borderId="21" xfId="11" applyFont="1" applyFill="1" applyBorder="1" applyAlignment="1">
      <alignment vertical="center" shrinkToFit="1"/>
    </xf>
    <xf numFmtId="0" fontId="34" fillId="5" borderId="21" xfId="11" applyFont="1" applyFill="1" applyBorder="1" applyAlignment="1">
      <alignment horizontal="center" vertical="center" shrinkToFit="1"/>
    </xf>
    <xf numFmtId="177" fontId="34" fillId="5" borderId="31" xfId="11" applyNumberFormat="1" applyFont="1" applyFill="1" applyBorder="1" applyAlignment="1">
      <alignment vertical="center" shrinkToFit="1"/>
    </xf>
    <xf numFmtId="177" fontId="34" fillId="5" borderId="34" xfId="0" applyNumberFormat="1" applyFont="1" applyFill="1" applyBorder="1" applyAlignment="1">
      <alignment vertical="center"/>
    </xf>
    <xf numFmtId="177" fontId="34" fillId="5" borderId="37" xfId="12" applyNumberFormat="1" applyFont="1" applyFill="1" applyBorder="1" applyAlignment="1">
      <alignment vertical="center"/>
    </xf>
    <xf numFmtId="177" fontId="34" fillId="5" borderId="22" xfId="12" applyNumberFormat="1" applyFont="1" applyFill="1" applyBorder="1" applyAlignment="1">
      <alignment horizontal="center" vertical="center"/>
    </xf>
    <xf numFmtId="177" fontId="34" fillId="5" borderId="24" xfId="0" applyNumberFormat="1" applyFont="1" applyFill="1" applyBorder="1" applyAlignment="1">
      <alignment vertical="center"/>
    </xf>
    <xf numFmtId="186" fontId="34" fillId="5" borderId="0" xfId="0" applyNumberFormat="1" applyFont="1" applyFill="1" applyBorder="1" applyAlignment="1">
      <alignment vertical="center"/>
    </xf>
    <xf numFmtId="0" fontId="51" fillId="5" borderId="0" xfId="11" applyFont="1" applyFill="1" applyBorder="1" applyAlignment="1">
      <alignment horizontal="center" vertical="center" shrinkToFit="1"/>
    </xf>
    <xf numFmtId="0" fontId="51" fillId="5" borderId="0" xfId="11" applyNumberFormat="1" applyFont="1" applyFill="1" applyBorder="1" applyAlignment="1">
      <alignment horizontal="center" vertical="center" shrinkToFit="1"/>
    </xf>
    <xf numFmtId="0" fontId="34" fillId="5" borderId="34" xfId="11" applyFont="1" applyFill="1" applyBorder="1" applyAlignment="1">
      <alignment vertical="center"/>
    </xf>
    <xf numFmtId="182" fontId="34" fillId="5" borderId="24" xfId="11" applyNumberFormat="1" applyFont="1" applyFill="1" applyBorder="1" applyAlignment="1">
      <alignment vertical="center"/>
    </xf>
    <xf numFmtId="177" fontId="34" fillId="5" borderId="74" xfId="0" applyNumberFormat="1" applyFont="1" applyFill="1" applyBorder="1" applyAlignment="1">
      <alignment vertical="center"/>
    </xf>
    <xf numFmtId="177" fontId="34" fillId="5" borderId="20" xfId="0" applyNumberFormat="1" applyFont="1" applyFill="1" applyBorder="1" applyAlignment="1">
      <alignment vertical="center"/>
    </xf>
    <xf numFmtId="177" fontId="34" fillId="5" borderId="20" xfId="0" applyNumberFormat="1" applyFont="1" applyFill="1" applyBorder="1" applyAlignment="1">
      <alignment vertical="center" wrapText="1"/>
    </xf>
    <xf numFmtId="181" fontId="34" fillId="5" borderId="20" xfId="12" applyNumberFormat="1" applyFont="1" applyFill="1" applyBorder="1" applyAlignment="1">
      <alignment vertical="center"/>
    </xf>
    <xf numFmtId="177" fontId="34" fillId="5" borderId="21" xfId="0" applyNumberFormat="1" applyFont="1" applyFill="1" applyBorder="1" applyAlignment="1">
      <alignment vertical="center" shrinkToFit="1"/>
    </xf>
    <xf numFmtId="177" fontId="34" fillId="5" borderId="21" xfId="0" applyNumberFormat="1" applyFont="1" applyFill="1" applyBorder="1" applyAlignment="1">
      <alignment horizontal="center" vertical="center"/>
    </xf>
    <xf numFmtId="177" fontId="34" fillId="5" borderId="31" xfId="0" applyNumberFormat="1" applyFont="1" applyFill="1" applyBorder="1" applyAlignment="1">
      <alignment horizontal="right" vertical="center"/>
    </xf>
    <xf numFmtId="0" fontId="8" fillId="0" borderId="0" xfId="0" applyNumberFormat="1" applyFont="1">
      <alignment vertical="center"/>
    </xf>
    <xf numFmtId="41" fontId="7" fillId="5" borderId="10" xfId="1" applyFont="1" applyFill="1" applyBorder="1">
      <alignment vertical="center"/>
    </xf>
    <xf numFmtId="3" fontId="8" fillId="0" borderId="0" xfId="2" applyNumberFormat="1" applyFont="1" applyAlignment="1">
      <alignment horizontal="center" vertical="center"/>
    </xf>
    <xf numFmtId="176" fontId="34" fillId="0" borderId="8" xfId="3" applyNumberFormat="1" applyFont="1" applyFill="1" applyBorder="1" applyAlignment="1">
      <alignment horizontal="right" vertical="center"/>
    </xf>
    <xf numFmtId="0" fontId="12" fillId="0" borderId="0" xfId="3" applyNumberFormat="1" applyFont="1" applyFill="1" applyBorder="1" applyAlignment="1">
      <alignment vertical="center"/>
    </xf>
    <xf numFmtId="176" fontId="34" fillId="0" borderId="2" xfId="3" applyNumberFormat="1" applyFont="1" applyFill="1" applyBorder="1" applyAlignment="1">
      <alignment horizontal="right" vertical="center"/>
    </xf>
    <xf numFmtId="41" fontId="54" fillId="0" borderId="10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/>
    </xf>
    <xf numFmtId="176" fontId="34" fillId="0" borderId="7" xfId="3" applyNumberFormat="1" applyFont="1" applyFill="1" applyBorder="1" applyAlignment="1">
      <alignment horizontal="right" vertical="center"/>
    </xf>
    <xf numFmtId="0" fontId="51" fillId="0" borderId="7" xfId="2" applyNumberFormat="1" applyFont="1" applyFill="1" applyBorder="1" applyAlignment="1">
      <alignment vertical="center"/>
    </xf>
    <xf numFmtId="0" fontId="34" fillId="0" borderId="7" xfId="2" applyNumberFormat="1" applyFont="1" applyFill="1" applyBorder="1" applyAlignment="1">
      <alignment vertical="top"/>
    </xf>
    <xf numFmtId="176" fontId="51" fillId="0" borderId="23" xfId="3" applyNumberFormat="1" applyFont="1" applyFill="1" applyBorder="1" applyAlignment="1">
      <alignment horizontal="right" vertical="center"/>
    </xf>
    <xf numFmtId="0" fontId="62" fillId="0" borderId="0" xfId="11" applyFont="1" applyAlignment="1">
      <alignment vertical="center"/>
    </xf>
    <xf numFmtId="0" fontId="34" fillId="5" borderId="2" xfId="11" applyFont="1" applyFill="1" applyBorder="1" applyAlignment="1">
      <alignment vertical="center"/>
    </xf>
    <xf numFmtId="0" fontId="34" fillId="0" borderId="0" xfId="11" applyFont="1" applyFill="1" applyBorder="1" applyAlignment="1">
      <alignment horizontal="center" vertical="center"/>
    </xf>
    <xf numFmtId="0" fontId="54" fillId="0" borderId="1" xfId="11" applyFont="1" applyFill="1" applyBorder="1" applyAlignment="1">
      <alignment vertical="center" shrinkToFit="1"/>
    </xf>
    <xf numFmtId="0" fontId="62" fillId="0" borderId="121" xfId="11" applyNumberFormat="1" applyFont="1" applyFill="1" applyBorder="1" applyAlignment="1">
      <alignment vertical="center"/>
    </xf>
    <xf numFmtId="0" fontId="74" fillId="0" borderId="29" xfId="11" applyNumberFormat="1" applyFont="1" applyFill="1" applyBorder="1" applyAlignment="1">
      <alignment vertical="center" wrapText="1"/>
    </xf>
    <xf numFmtId="0" fontId="34" fillId="5" borderId="20" xfId="11" applyFont="1" applyFill="1" applyBorder="1" applyAlignment="1">
      <alignment vertical="center"/>
    </xf>
    <xf numFmtId="0" fontId="55" fillId="5" borderId="29" xfId="11" applyFont="1" applyFill="1" applyBorder="1" applyAlignment="1">
      <alignment vertical="center"/>
    </xf>
    <xf numFmtId="0" fontId="55" fillId="0" borderId="2" xfId="11" applyFont="1" applyBorder="1" applyAlignment="1">
      <alignment vertical="center"/>
    </xf>
    <xf numFmtId="0" fontId="55" fillId="5" borderId="2" xfId="11" applyFont="1" applyFill="1" applyBorder="1" applyAlignment="1">
      <alignment vertical="center"/>
    </xf>
    <xf numFmtId="0" fontId="55" fillId="0" borderId="2" xfId="11" applyFont="1" applyFill="1" applyBorder="1" applyAlignment="1">
      <alignment vertical="center"/>
    </xf>
    <xf numFmtId="0" fontId="16" fillId="0" borderId="0" xfId="11"/>
    <xf numFmtId="0" fontId="33" fillId="0" borderId="0" xfId="11" applyFont="1" applyBorder="1" applyAlignment="1">
      <alignment vertical="center"/>
    </xf>
    <xf numFmtId="0" fontId="33" fillId="0" borderId="0" xfId="11" applyFont="1" applyAlignment="1">
      <alignment vertical="center"/>
    </xf>
    <xf numFmtId="0" fontId="34" fillId="0" borderId="0" xfId="11" applyFont="1" applyAlignment="1">
      <alignment vertical="center"/>
    </xf>
    <xf numFmtId="0" fontId="34" fillId="0" borderId="0" xfId="11" applyFont="1" applyBorder="1" applyAlignment="1">
      <alignment vertical="center"/>
    </xf>
    <xf numFmtId="0" fontId="62" fillId="0" borderId="0" xfId="11" applyNumberFormat="1" applyFont="1" applyFill="1" applyAlignment="1">
      <alignment vertical="center"/>
    </xf>
    <xf numFmtId="0" fontId="62" fillId="0" borderId="2" xfId="11" applyNumberFormat="1" applyFont="1" applyFill="1" applyBorder="1" applyAlignment="1">
      <alignment vertical="top" wrapText="1"/>
    </xf>
    <xf numFmtId="0" fontId="62" fillId="0" borderId="2" xfId="11" applyNumberFormat="1" applyFont="1" applyFill="1" applyBorder="1" applyAlignment="1">
      <alignment vertical="center" wrapText="1"/>
    </xf>
    <xf numFmtId="0" fontId="62" fillId="0" borderId="0" xfId="11" applyNumberFormat="1" applyFont="1" applyFill="1" applyBorder="1" applyAlignment="1">
      <alignment vertical="center"/>
    </xf>
    <xf numFmtId="0" fontId="62" fillId="0" borderId="17" xfId="11" applyNumberFormat="1" applyFont="1" applyFill="1" applyBorder="1" applyAlignment="1">
      <alignment vertical="center"/>
    </xf>
    <xf numFmtId="0" fontId="62" fillId="0" borderId="3" xfId="11" applyNumberFormat="1" applyFont="1" applyFill="1" applyBorder="1" applyAlignment="1">
      <alignment vertical="center"/>
    </xf>
    <xf numFmtId="0" fontId="62" fillId="0" borderId="2" xfId="11" applyNumberFormat="1" applyFont="1" applyFill="1" applyBorder="1" applyAlignment="1">
      <alignment vertical="center"/>
    </xf>
    <xf numFmtId="0" fontId="62" fillId="0" borderId="8" xfId="11" applyNumberFormat="1" applyFont="1" applyFill="1" applyBorder="1" applyAlignment="1">
      <alignment vertical="center"/>
    </xf>
    <xf numFmtId="0" fontId="62" fillId="0" borderId="29" xfId="11" applyNumberFormat="1" applyFont="1" applyFill="1" applyBorder="1" applyAlignment="1">
      <alignment vertical="center"/>
    </xf>
    <xf numFmtId="0" fontId="62" fillId="0" borderId="20" xfId="11" applyNumberFormat="1" applyFont="1" applyFill="1" applyBorder="1" applyAlignment="1">
      <alignment vertical="center"/>
    </xf>
    <xf numFmtId="176" fontId="62" fillId="0" borderId="3" xfId="80" applyNumberFormat="1" applyFont="1" applyFill="1" applyBorder="1" applyAlignment="1">
      <alignment vertical="center"/>
    </xf>
    <xf numFmtId="176" fontId="62" fillId="0" borderId="2" xfId="80" applyNumberFormat="1" applyFont="1" applyFill="1" applyBorder="1" applyAlignment="1">
      <alignment vertical="center"/>
    </xf>
    <xf numFmtId="176" fontId="62" fillId="0" borderId="7" xfId="80" applyNumberFormat="1" applyFont="1" applyFill="1" applyBorder="1" applyAlignment="1">
      <alignment vertical="center"/>
    </xf>
    <xf numFmtId="190" fontId="62" fillId="0" borderId="0" xfId="80" applyNumberFormat="1" applyFont="1" applyFill="1" applyBorder="1" applyAlignment="1">
      <alignment vertical="center" shrinkToFit="1"/>
    </xf>
    <xf numFmtId="190" fontId="64" fillId="0" borderId="0" xfId="80" applyNumberFormat="1" applyFont="1" applyFill="1" applyBorder="1" applyAlignment="1">
      <alignment vertical="center" shrinkToFit="1"/>
    </xf>
    <xf numFmtId="0" fontId="62" fillId="0" borderId="25" xfId="80" applyNumberFormat="1" applyFont="1" applyFill="1" applyBorder="1" applyAlignment="1">
      <alignment horizontal="left" vertical="center"/>
    </xf>
    <xf numFmtId="0" fontId="62" fillId="0" borderId="6" xfId="80" applyNumberFormat="1" applyFont="1" applyFill="1" applyBorder="1" applyAlignment="1">
      <alignment horizontal="center" vertical="center"/>
    </xf>
    <xf numFmtId="41" fontId="62" fillId="0" borderId="16" xfId="80" applyNumberFormat="1" applyFont="1" applyFill="1" applyBorder="1" applyAlignment="1">
      <alignment vertical="center"/>
    </xf>
    <xf numFmtId="176" fontId="62" fillId="0" borderId="2" xfId="80" applyNumberFormat="1" applyFont="1" applyFill="1" applyBorder="1" applyAlignment="1">
      <alignment horizontal="right" vertical="center"/>
    </xf>
    <xf numFmtId="176" fontId="62" fillId="0" borderId="7" xfId="80" applyNumberFormat="1" applyFont="1" applyFill="1" applyBorder="1" applyAlignment="1">
      <alignment horizontal="right" vertical="center"/>
    </xf>
    <xf numFmtId="0" fontId="66" fillId="0" borderId="0" xfId="11" applyNumberFormat="1" applyFont="1" applyFill="1" applyAlignment="1">
      <alignment vertical="center"/>
    </xf>
    <xf numFmtId="38" fontId="62" fillId="0" borderId="2" xfId="11" applyNumberFormat="1" applyFont="1" applyFill="1" applyBorder="1" applyAlignment="1">
      <alignment vertical="center"/>
    </xf>
    <xf numFmtId="176" fontId="62" fillId="0" borderId="8" xfId="80" applyNumberFormat="1" applyFont="1" applyFill="1" applyBorder="1" applyAlignment="1">
      <alignment horizontal="right" vertical="center"/>
    </xf>
    <xf numFmtId="176" fontId="62" fillId="0" borderId="3" xfId="80" applyNumberFormat="1" applyFont="1" applyFill="1" applyBorder="1" applyAlignment="1">
      <alignment horizontal="right" vertical="center"/>
    </xf>
    <xf numFmtId="0" fontId="62" fillId="0" borderId="2" xfId="11" applyNumberFormat="1" applyFont="1" applyFill="1" applyBorder="1" applyAlignment="1">
      <alignment vertical="center" shrinkToFit="1"/>
    </xf>
    <xf numFmtId="0" fontId="62" fillId="0" borderId="3" xfId="11" applyNumberFormat="1" applyFont="1" applyFill="1" applyBorder="1" applyAlignment="1">
      <alignment vertical="center" shrinkToFit="1"/>
    </xf>
    <xf numFmtId="0" fontId="34" fillId="0" borderId="0" xfId="11" applyNumberFormat="1" applyFont="1" applyFill="1" applyBorder="1" applyAlignment="1">
      <alignment vertical="center"/>
    </xf>
    <xf numFmtId="0" fontId="34" fillId="0" borderId="0" xfId="80" applyNumberFormat="1" applyFont="1" applyFill="1" applyBorder="1" applyAlignment="1">
      <alignment vertical="center"/>
    </xf>
    <xf numFmtId="0" fontId="34" fillId="0" borderId="3" xfId="11" applyNumberFormat="1" applyFont="1" applyFill="1" applyBorder="1" applyAlignment="1">
      <alignment vertical="center"/>
    </xf>
    <xf numFmtId="41" fontId="34" fillId="0" borderId="10" xfId="80" applyNumberFormat="1" applyFont="1" applyFill="1" applyBorder="1" applyAlignment="1">
      <alignment vertical="center" shrinkToFit="1"/>
    </xf>
    <xf numFmtId="41" fontId="34" fillId="0" borderId="16" xfId="80" applyNumberFormat="1" applyFont="1" applyFill="1" applyBorder="1" applyAlignment="1">
      <alignment vertical="center" shrinkToFit="1"/>
    </xf>
    <xf numFmtId="0" fontId="34" fillId="0" borderId="6" xfId="11" applyNumberFormat="1" applyFont="1" applyFill="1" applyBorder="1" applyAlignment="1">
      <alignment vertical="center"/>
    </xf>
    <xf numFmtId="0" fontId="34" fillId="0" borderId="6" xfId="11" applyNumberFormat="1" applyFont="1" applyFill="1" applyBorder="1" applyAlignment="1">
      <alignment horizontal="center" vertical="center"/>
    </xf>
    <xf numFmtId="41" fontId="34" fillId="0" borderId="16" xfId="80" applyNumberFormat="1" applyFont="1" applyFill="1" applyBorder="1" applyAlignment="1">
      <alignment horizontal="left" vertical="center" shrinkToFit="1"/>
    </xf>
    <xf numFmtId="0" fontId="34" fillId="0" borderId="6" xfId="11" quotePrefix="1" applyNumberFormat="1" applyFont="1" applyFill="1" applyBorder="1" applyAlignment="1">
      <alignment horizontal="center" vertical="center"/>
    </xf>
    <xf numFmtId="0" fontId="34" fillId="0" borderId="0" xfId="11" quotePrefix="1" applyNumberFormat="1" applyFont="1" applyFill="1" applyBorder="1" applyAlignment="1">
      <alignment horizontal="center" vertical="center"/>
    </xf>
    <xf numFmtId="0" fontId="34" fillId="0" borderId="1" xfId="11" quotePrefix="1" applyNumberFormat="1" applyFont="1" applyFill="1" applyBorder="1" applyAlignment="1">
      <alignment horizontal="center" vertical="center"/>
    </xf>
    <xf numFmtId="41" fontId="51" fillId="0" borderId="18" xfId="80" applyNumberFormat="1" applyFont="1" applyFill="1" applyBorder="1" applyAlignment="1">
      <alignment vertical="center" shrinkToFit="1"/>
    </xf>
    <xf numFmtId="38" fontId="34" fillId="0" borderId="1" xfId="11" applyNumberFormat="1" applyFont="1" applyFill="1" applyBorder="1" applyAlignment="1">
      <alignment horizontal="center" vertical="center"/>
    </xf>
    <xf numFmtId="0" fontId="34" fillId="0" borderId="25" xfId="11" applyNumberFormat="1" applyFont="1" applyFill="1" applyBorder="1" applyAlignment="1">
      <alignment vertical="center" shrinkToFit="1"/>
    </xf>
    <xf numFmtId="0" fontId="34" fillId="0" borderId="6" xfId="11" applyNumberFormat="1" applyFont="1" applyFill="1" applyBorder="1" applyAlignment="1">
      <alignment horizontal="center" vertical="center" shrinkToFit="1"/>
    </xf>
    <xf numFmtId="41" fontId="51" fillId="0" borderId="16" xfId="80" applyNumberFormat="1" applyFont="1" applyFill="1" applyBorder="1" applyAlignment="1">
      <alignment horizontal="right" vertical="center" shrinkToFit="1"/>
    </xf>
    <xf numFmtId="38" fontId="34" fillId="0" borderId="6" xfId="11" applyNumberFormat="1" applyFont="1" applyFill="1" applyBorder="1" applyAlignment="1">
      <alignment horizontal="center" vertical="center" shrinkToFit="1"/>
    </xf>
    <xf numFmtId="0" fontId="51" fillId="0" borderId="30" xfId="80" applyNumberFormat="1" applyFont="1" applyFill="1" applyBorder="1" applyAlignment="1">
      <alignment horizontal="left" vertical="center"/>
    </xf>
    <xf numFmtId="41" fontId="62" fillId="0" borderId="0" xfId="80" applyFont="1" applyFill="1" applyBorder="1" applyAlignment="1">
      <alignment vertical="center"/>
    </xf>
    <xf numFmtId="0" fontId="34" fillId="0" borderId="30" xfId="80" applyNumberFormat="1" applyFont="1" applyFill="1" applyBorder="1" applyAlignment="1">
      <alignment vertical="center"/>
    </xf>
    <xf numFmtId="0" fontId="34" fillId="0" borderId="1" xfId="11" applyNumberFormat="1" applyFont="1" applyFill="1" applyBorder="1" applyAlignment="1">
      <alignment vertical="center"/>
    </xf>
    <xf numFmtId="0" fontId="34" fillId="0" borderId="12" xfId="80" applyNumberFormat="1" applyFont="1" applyFill="1" applyBorder="1" applyAlignment="1">
      <alignment vertical="center"/>
    </xf>
    <xf numFmtId="0" fontId="34" fillId="0" borderId="0" xfId="85" quotePrefix="1" applyNumberFormat="1" applyFont="1" applyFill="1" applyBorder="1" applyAlignment="1">
      <alignment horizontal="center" vertical="center"/>
    </xf>
    <xf numFmtId="0" fontId="51" fillId="0" borderId="1" xfId="80" quotePrefix="1" applyNumberFormat="1" applyFont="1" applyFill="1" applyBorder="1" applyAlignment="1">
      <alignment horizontal="center" vertical="center"/>
    </xf>
    <xf numFmtId="0" fontId="62" fillId="0" borderId="1" xfId="11" applyNumberFormat="1" applyFont="1" applyFill="1" applyBorder="1" applyAlignment="1">
      <alignment vertical="center"/>
    </xf>
    <xf numFmtId="176" fontId="33" fillId="0" borderId="45" xfId="9" applyNumberFormat="1" applyFont="1" applyBorder="1" applyAlignment="1">
      <alignment vertical="center"/>
    </xf>
    <xf numFmtId="0" fontId="29" fillId="0" borderId="0" xfId="11" applyFont="1"/>
    <xf numFmtId="0" fontId="38" fillId="0" borderId="0" xfId="11" applyFont="1" applyAlignment="1">
      <alignment vertical="center"/>
    </xf>
    <xf numFmtId="41" fontId="95" fillId="0" borderId="1" xfId="12" applyFont="1" applyBorder="1"/>
    <xf numFmtId="0" fontId="95" fillId="0" borderId="0" xfId="11" applyFont="1"/>
    <xf numFmtId="0" fontId="39" fillId="0" borderId="21" xfId="11" applyFont="1" applyBorder="1" applyAlignment="1">
      <alignment vertical="center"/>
    </xf>
    <xf numFmtId="41" fontId="40" fillId="0" borderId="0" xfId="12" applyFont="1" applyAlignment="1">
      <alignment horizontal="center"/>
    </xf>
    <xf numFmtId="0" fontId="34" fillId="0" borderId="0" xfId="11" applyFont="1" applyAlignment="1">
      <alignment horizontal="right" vertical="center"/>
    </xf>
    <xf numFmtId="41" fontId="40" fillId="0" borderId="0" xfId="12" applyFont="1" applyBorder="1"/>
    <xf numFmtId="0" fontId="40" fillId="0" borderId="0" xfId="11" applyFont="1"/>
    <xf numFmtId="41" fontId="34" fillId="3" borderId="130" xfId="12" applyFont="1" applyFill="1" applyBorder="1" applyAlignment="1">
      <alignment horizontal="center" vertical="center" wrapText="1"/>
    </xf>
    <xf numFmtId="41" fontId="34" fillId="3" borderId="146" xfId="12" applyFont="1" applyFill="1" applyBorder="1" applyAlignment="1">
      <alignment horizontal="center" vertical="center" wrapText="1"/>
    </xf>
    <xf numFmtId="41" fontId="34" fillId="0" borderId="0" xfId="12" applyFont="1" applyBorder="1" applyAlignment="1">
      <alignment horizontal="center" vertical="center"/>
    </xf>
    <xf numFmtId="3" fontId="34" fillId="0" borderId="0" xfId="11" applyNumberFormat="1" applyFont="1" applyAlignment="1">
      <alignment horizontal="center" vertical="center"/>
    </xf>
    <xf numFmtId="0" fontId="96" fillId="0" borderId="0" xfId="11" applyFont="1" applyAlignment="1">
      <alignment horizontal="justify" vertical="center"/>
    </xf>
    <xf numFmtId="0" fontId="97" fillId="0" borderId="36" xfId="11" applyFont="1" applyBorder="1" applyAlignment="1">
      <alignment horizontal="center" vertical="center"/>
    </xf>
    <xf numFmtId="0" fontId="97" fillId="0" borderId="34" xfId="11" applyFont="1" applyBorder="1" applyAlignment="1">
      <alignment vertical="center"/>
    </xf>
    <xf numFmtId="182" fontId="97" fillId="0" borderId="8" xfId="12" applyNumberFormat="1" applyFont="1" applyBorder="1" applyAlignment="1">
      <alignment horizontal="right" vertical="center" indent="1"/>
    </xf>
    <xf numFmtId="41" fontId="34" fillId="0" borderId="122" xfId="12" applyFont="1" applyBorder="1" applyAlignment="1">
      <alignment vertical="center"/>
    </xf>
    <xf numFmtId="41" fontId="34" fillId="0" borderId="0" xfId="12" applyFont="1" applyAlignment="1">
      <alignment vertical="center"/>
    </xf>
    <xf numFmtId="0" fontId="96" fillId="0" borderId="0" xfId="11" applyFont="1" applyAlignment="1">
      <alignment horizontal="left" vertical="center"/>
    </xf>
    <xf numFmtId="0" fontId="58" fillId="0" borderId="32" xfId="11" applyFont="1" applyBorder="1" applyAlignment="1">
      <alignment horizontal="center" vertical="center"/>
    </xf>
    <xf numFmtId="182" fontId="55" fillId="0" borderId="7" xfId="12" applyNumberFormat="1" applyFont="1" applyBorder="1" applyAlignment="1">
      <alignment horizontal="right" vertical="center" indent="1"/>
    </xf>
    <xf numFmtId="182" fontId="34" fillId="0" borderId="7" xfId="12" applyNumberFormat="1" applyFont="1" applyBorder="1" applyAlignment="1">
      <alignment horizontal="right" vertical="center" indent="1"/>
    </xf>
    <xf numFmtId="41" fontId="34" fillId="0" borderId="39" xfId="12" applyFont="1" applyBorder="1" applyAlignment="1">
      <alignment vertical="center"/>
    </xf>
    <xf numFmtId="0" fontId="34" fillId="0" borderId="70" xfId="11" applyFont="1" applyBorder="1" applyAlignment="1">
      <alignment horizontal="center" vertical="center"/>
    </xf>
    <xf numFmtId="182" fontId="34" fillId="0" borderId="147" xfId="12" applyNumberFormat="1" applyFont="1" applyBorder="1" applyAlignment="1">
      <alignment horizontal="right" vertical="center" indent="1"/>
    </xf>
    <xf numFmtId="182" fontId="34" fillId="0" borderId="3" xfId="12" applyNumberFormat="1" applyFont="1" applyBorder="1" applyAlignment="1">
      <alignment horizontal="right" vertical="center" indent="1"/>
    </xf>
    <xf numFmtId="41" fontId="34" fillId="0" borderId="148" xfId="12" applyFont="1" applyBorder="1" applyAlignment="1">
      <alignment vertical="center"/>
    </xf>
    <xf numFmtId="0" fontId="34" fillId="0" borderId="149" xfId="11" applyFont="1" applyBorder="1" applyAlignment="1">
      <alignment horizontal="center" vertical="center"/>
    </xf>
    <xf numFmtId="182" fontId="34" fillId="0" borderId="150" xfId="12" applyNumberFormat="1" applyFont="1" applyBorder="1" applyAlignment="1">
      <alignment horizontal="right" vertical="center" indent="1"/>
    </xf>
    <xf numFmtId="41" fontId="34" fillId="0" borderId="151" xfId="12" applyFont="1" applyBorder="1" applyAlignment="1">
      <alignment vertical="center"/>
    </xf>
    <xf numFmtId="182" fontId="34" fillId="0" borderId="0" xfId="11" applyNumberFormat="1" applyFont="1" applyAlignment="1">
      <alignment vertical="center"/>
    </xf>
    <xf numFmtId="0" fontId="34" fillId="0" borderId="152" xfId="11" applyFont="1" applyBorder="1" applyAlignment="1">
      <alignment horizontal="center" vertical="center"/>
    </xf>
    <xf numFmtId="182" fontId="34" fillId="0" borderId="153" xfId="12" applyNumberFormat="1" applyFont="1" applyBorder="1" applyAlignment="1">
      <alignment horizontal="right" vertical="center" indent="1"/>
    </xf>
    <xf numFmtId="182" fontId="34" fillId="0" borderId="8" xfId="12" applyNumberFormat="1" applyFont="1" applyBorder="1" applyAlignment="1">
      <alignment horizontal="right" vertical="center" indent="1"/>
    </xf>
    <xf numFmtId="41" fontId="34" fillId="0" borderId="154" xfId="12" applyFont="1" applyBorder="1" applyAlignment="1">
      <alignment vertical="center"/>
    </xf>
    <xf numFmtId="0" fontId="58" fillId="0" borderId="35" xfId="11" applyFont="1" applyBorder="1" applyAlignment="1">
      <alignment horizontal="center" vertical="center"/>
    </xf>
    <xf numFmtId="182" fontId="55" fillId="0" borderId="3" xfId="12" applyNumberFormat="1" applyFont="1" applyBorder="1" applyAlignment="1">
      <alignment horizontal="right" vertical="center" indent="1"/>
    </xf>
    <xf numFmtId="41" fontId="34" fillId="0" borderId="120" xfId="12" applyFont="1" applyBorder="1" applyAlignment="1">
      <alignment vertical="center"/>
    </xf>
    <xf numFmtId="0" fontId="34" fillId="0" borderId="150" xfId="11" applyFont="1" applyBorder="1" applyAlignment="1">
      <alignment horizontal="center" vertical="center"/>
    </xf>
    <xf numFmtId="3" fontId="34" fillId="0" borderId="0" xfId="11" applyNumberFormat="1" applyFont="1" applyAlignment="1">
      <alignment vertical="center"/>
    </xf>
    <xf numFmtId="0" fontId="34" fillId="0" borderId="153" xfId="11" applyFont="1" applyBorder="1" applyAlignment="1">
      <alignment horizontal="center" vertical="center"/>
    </xf>
    <xf numFmtId="0" fontId="58" fillId="0" borderId="147" xfId="11" applyFont="1" applyBorder="1" applyAlignment="1">
      <alignment horizontal="center" vertical="center"/>
    </xf>
    <xf numFmtId="182" fontId="55" fillId="0" borderId="147" xfId="12" applyNumberFormat="1" applyFont="1" applyBorder="1" applyAlignment="1">
      <alignment horizontal="right" vertical="center" indent="1"/>
    </xf>
    <xf numFmtId="41" fontId="58" fillId="0" borderId="148" xfId="12" applyFont="1" applyBorder="1" applyAlignment="1">
      <alignment vertical="center"/>
    </xf>
    <xf numFmtId="0" fontId="34" fillId="0" borderId="155" xfId="11" applyFont="1" applyBorder="1" applyAlignment="1">
      <alignment horizontal="center" vertical="center"/>
    </xf>
    <xf numFmtId="182" fontId="34" fillId="0" borderId="156" xfId="12" applyNumberFormat="1" applyFont="1" applyBorder="1" applyAlignment="1">
      <alignment horizontal="right" vertical="center" indent="1"/>
    </xf>
    <xf numFmtId="41" fontId="34" fillId="0" borderId="157" xfId="12" applyFont="1" applyBorder="1" applyAlignment="1">
      <alignment vertical="center"/>
    </xf>
    <xf numFmtId="182" fontId="34" fillId="0" borderId="2" xfId="12" applyNumberFormat="1" applyFont="1" applyBorder="1" applyAlignment="1">
      <alignment horizontal="right" vertical="center" indent="1"/>
    </xf>
    <xf numFmtId="41" fontId="34" fillId="0" borderId="123" xfId="12" applyFont="1" applyBorder="1" applyAlignment="1">
      <alignment vertical="center"/>
    </xf>
    <xf numFmtId="0" fontId="34" fillId="0" borderId="156" xfId="11" applyFont="1" applyBorder="1" applyAlignment="1">
      <alignment horizontal="center" vertical="center"/>
    </xf>
    <xf numFmtId="0" fontId="34" fillId="0" borderId="159" xfId="11" applyFont="1" applyBorder="1" applyAlignment="1">
      <alignment horizontal="center" vertical="center"/>
    </xf>
    <xf numFmtId="182" fontId="34" fillId="0" borderId="159" xfId="12" applyNumberFormat="1" applyFont="1" applyBorder="1" applyAlignment="1">
      <alignment horizontal="right" vertical="center" indent="1"/>
    </xf>
    <xf numFmtId="41" fontId="34" fillId="0" borderId="160" xfId="12" applyFont="1" applyBorder="1" applyAlignment="1">
      <alignment vertical="center"/>
    </xf>
    <xf numFmtId="0" fontId="58" fillId="0" borderId="161" xfId="11" applyFont="1" applyBorder="1" applyAlignment="1">
      <alignment horizontal="center" vertical="center"/>
    </xf>
    <xf numFmtId="182" fontId="55" fillId="0" borderId="161" xfId="12" applyNumberFormat="1" applyFont="1" applyFill="1" applyBorder="1" applyAlignment="1">
      <alignment horizontal="right" vertical="center" indent="1"/>
    </xf>
    <xf numFmtId="182" fontId="55" fillId="0" borderId="161" xfId="12" applyNumberFormat="1" applyFont="1" applyBorder="1" applyAlignment="1">
      <alignment horizontal="right" vertical="center" indent="1"/>
    </xf>
    <xf numFmtId="182" fontId="34" fillId="0" borderId="161" xfId="12" applyNumberFormat="1" applyFont="1" applyBorder="1" applyAlignment="1">
      <alignment horizontal="right" vertical="center" indent="1"/>
    </xf>
    <xf numFmtId="41" fontId="58" fillId="0" borderId="78" xfId="12" applyFont="1" applyBorder="1" applyAlignment="1">
      <alignment vertical="center"/>
    </xf>
    <xf numFmtId="0" fontId="34" fillId="0" borderId="74" xfId="11" applyFont="1" applyBorder="1" applyAlignment="1">
      <alignment horizontal="center" vertical="center"/>
    </xf>
    <xf numFmtId="182" fontId="34" fillId="0" borderId="20" xfId="12" applyNumberFormat="1" applyFont="1" applyFill="1" applyBorder="1" applyAlignment="1">
      <alignment horizontal="right" vertical="center" indent="1"/>
    </xf>
    <xf numFmtId="182" fontId="55" fillId="0" borderId="20" xfId="12" applyNumberFormat="1" applyFont="1" applyBorder="1" applyAlignment="1">
      <alignment horizontal="right" vertical="center" indent="1"/>
    </xf>
    <xf numFmtId="0" fontId="40" fillId="0" borderId="31" xfId="11" applyFont="1" applyBorder="1" applyAlignment="1">
      <alignment horizontal="center"/>
    </xf>
    <xf numFmtId="0" fontId="33" fillId="0" borderId="0" xfId="11" applyFont="1"/>
    <xf numFmtId="41" fontId="33" fillId="0" borderId="0" xfId="12" applyFont="1"/>
    <xf numFmtId="0" fontId="98" fillId="0" borderId="0" xfId="11" applyFont="1"/>
    <xf numFmtId="178" fontId="100" fillId="0" borderId="0" xfId="11" applyNumberFormat="1" applyFont="1" applyAlignment="1">
      <alignment horizontal="center"/>
    </xf>
    <xf numFmtId="41" fontId="100" fillId="0" borderId="0" xfId="12" applyFont="1" applyAlignment="1">
      <alignment horizontal="center"/>
    </xf>
    <xf numFmtId="181" fontId="100" fillId="0" borderId="0" xfId="12" applyNumberFormat="1" applyFont="1" applyAlignment="1">
      <alignment horizontal="center"/>
    </xf>
    <xf numFmtId="0" fontId="101" fillId="0" borderId="0" xfId="11" applyFont="1" applyAlignment="1">
      <alignment horizontal="right" vertical="center"/>
    </xf>
    <xf numFmtId="41" fontId="100" fillId="0" borderId="0" xfId="12" applyFont="1" applyBorder="1"/>
    <xf numFmtId="0" fontId="100" fillId="0" borderId="0" xfId="11" applyFont="1"/>
    <xf numFmtId="182" fontId="51" fillId="0" borderId="124" xfId="12" applyNumberFormat="1" applyFont="1" applyBorder="1" applyAlignment="1">
      <alignment horizontal="right" vertical="center"/>
    </xf>
    <xf numFmtId="41" fontId="34" fillId="0" borderId="162" xfId="12" applyFont="1" applyBorder="1" applyAlignment="1">
      <alignment vertical="center"/>
    </xf>
    <xf numFmtId="41" fontId="34" fillId="0" borderId="38" xfId="12" applyFont="1" applyBorder="1" applyAlignment="1">
      <alignment vertical="center"/>
    </xf>
    <xf numFmtId="182" fontId="34" fillId="0" borderId="7" xfId="12" applyNumberFormat="1" applyFont="1" applyBorder="1" applyAlignment="1">
      <alignment horizontal="right" vertical="center"/>
    </xf>
    <xf numFmtId="182" fontId="34" fillId="0" borderId="147" xfId="12" applyNumberFormat="1" applyFont="1" applyBorder="1" applyAlignment="1">
      <alignment horizontal="right" vertical="center"/>
    </xf>
    <xf numFmtId="182" fontId="34" fillId="0" borderId="153" xfId="12" applyNumberFormat="1" applyFont="1" applyBorder="1" applyAlignment="1">
      <alignment horizontal="right" vertical="center"/>
    </xf>
    <xf numFmtId="182" fontId="51" fillId="0" borderId="8" xfId="12" applyNumberFormat="1" applyFont="1" applyBorder="1" applyAlignment="1">
      <alignment horizontal="right" vertical="center"/>
    </xf>
    <xf numFmtId="41" fontId="51" fillId="0" borderId="39" xfId="12" applyFont="1" applyBorder="1" applyAlignment="1">
      <alignment vertical="center"/>
    </xf>
    <xf numFmtId="182" fontId="51" fillId="0" borderId="7" xfId="12" applyNumberFormat="1" applyFont="1" applyBorder="1" applyAlignment="1">
      <alignment horizontal="right" vertical="center"/>
    </xf>
    <xf numFmtId="0" fontId="34" fillId="0" borderId="19" xfId="11" applyFont="1" applyBorder="1" applyAlignment="1">
      <alignment vertical="center"/>
    </xf>
    <xf numFmtId="182" fontId="34" fillId="0" borderId="125" xfId="12" applyNumberFormat="1" applyFont="1" applyBorder="1" applyAlignment="1">
      <alignment horizontal="right" vertical="center"/>
    </xf>
    <xf numFmtId="41" fontId="34" fillId="0" borderId="81" xfId="12" applyFont="1" applyBorder="1" applyAlignment="1">
      <alignment vertical="center"/>
    </xf>
    <xf numFmtId="178" fontId="98" fillId="0" borderId="0" xfId="11" applyNumberFormat="1" applyFont="1"/>
    <xf numFmtId="41" fontId="98" fillId="0" borderId="0" xfId="12" applyFont="1"/>
    <xf numFmtId="181" fontId="98" fillId="0" borderId="0" xfId="12" applyNumberFormat="1" applyFont="1"/>
    <xf numFmtId="0" fontId="64" fillId="0" borderId="30" xfId="12" applyNumberFormat="1" applyFont="1" applyFill="1" applyBorder="1" applyAlignment="1">
      <alignment horizontal="left" vertical="center"/>
    </xf>
    <xf numFmtId="41" fontId="64" fillId="0" borderId="18" xfId="12" applyNumberFormat="1" applyFont="1" applyFill="1" applyBorder="1" applyAlignment="1">
      <alignment vertical="center" shrinkToFit="1"/>
    </xf>
    <xf numFmtId="41" fontId="34" fillId="0" borderId="10" xfId="12" applyNumberFormat="1" applyFont="1" applyFill="1" applyBorder="1" applyAlignment="1">
      <alignment vertical="center" shrinkToFit="1"/>
    </xf>
    <xf numFmtId="41" fontId="102" fillId="0" borderId="0" xfId="12" applyNumberFormat="1" applyFont="1" applyFill="1" applyAlignment="1">
      <alignment vertical="center"/>
    </xf>
    <xf numFmtId="0" fontId="55" fillId="5" borderId="25" xfId="12" applyNumberFormat="1" applyFont="1" applyFill="1" applyBorder="1" applyAlignment="1">
      <alignment horizontal="left" vertical="center"/>
    </xf>
    <xf numFmtId="41" fontId="55" fillId="5" borderId="16" xfId="12" applyFont="1" applyFill="1" applyBorder="1" applyAlignment="1">
      <alignment vertical="center"/>
    </xf>
    <xf numFmtId="0" fontId="54" fillId="5" borderId="1" xfId="11" applyFont="1" applyFill="1" applyBorder="1" applyAlignment="1">
      <alignment vertical="center" shrinkToFit="1"/>
    </xf>
    <xf numFmtId="41" fontId="55" fillId="5" borderId="10" xfId="12" applyFont="1" applyFill="1" applyBorder="1" applyAlignment="1">
      <alignment vertical="center"/>
    </xf>
    <xf numFmtId="41" fontId="55" fillId="5" borderId="11" xfId="12" applyFont="1" applyFill="1" applyBorder="1" applyAlignment="1">
      <alignment vertical="center"/>
    </xf>
    <xf numFmtId="0" fontId="55" fillId="5" borderId="8" xfId="11" applyFont="1" applyFill="1" applyBorder="1" applyAlignment="1">
      <alignment vertical="center"/>
    </xf>
    <xf numFmtId="0" fontId="55" fillId="5" borderId="3" xfId="11" applyFont="1" applyFill="1" applyBorder="1" applyAlignment="1">
      <alignment vertical="center"/>
    </xf>
    <xf numFmtId="0" fontId="55" fillId="5" borderId="5" xfId="11" applyFont="1" applyFill="1" applyBorder="1" applyAlignment="1">
      <alignment vertical="center" shrinkToFit="1"/>
    </xf>
    <xf numFmtId="178" fontId="55" fillId="5" borderId="12" xfId="12" applyNumberFormat="1" applyFont="1" applyFill="1" applyBorder="1" applyAlignment="1">
      <alignment vertical="center"/>
    </xf>
    <xf numFmtId="0" fontId="55" fillId="5" borderId="4" xfId="11" applyFont="1" applyFill="1" applyBorder="1" applyAlignment="1">
      <alignment vertical="center" shrinkToFit="1"/>
    </xf>
    <xf numFmtId="178" fontId="55" fillId="5" borderId="0" xfId="12" applyNumberFormat="1" applyFont="1" applyFill="1" applyBorder="1" applyAlignment="1">
      <alignment vertical="center" shrinkToFit="1"/>
    </xf>
    <xf numFmtId="178" fontId="55" fillId="5" borderId="0" xfId="12" applyNumberFormat="1" applyFont="1" applyFill="1" applyBorder="1" applyAlignment="1">
      <alignment vertical="center"/>
    </xf>
    <xf numFmtId="49" fontId="55" fillId="5" borderId="0" xfId="12" applyNumberFormat="1" applyFont="1" applyFill="1" applyBorder="1" applyAlignment="1">
      <alignment vertical="center"/>
    </xf>
    <xf numFmtId="178" fontId="55" fillId="5" borderId="4" xfId="11" applyNumberFormat="1" applyFont="1" applyFill="1" applyBorder="1" applyAlignment="1">
      <alignment vertical="center" shrinkToFit="1"/>
    </xf>
    <xf numFmtId="0" fontId="55" fillId="5" borderId="6" xfId="11" applyFont="1" applyFill="1" applyBorder="1" applyAlignment="1">
      <alignment vertical="center" shrinkToFit="1"/>
    </xf>
    <xf numFmtId="0" fontId="55" fillId="5" borderId="1" xfId="11" applyFont="1" applyFill="1" applyBorder="1" applyAlignment="1">
      <alignment vertical="center" shrinkToFit="1"/>
    </xf>
    <xf numFmtId="178" fontId="55" fillId="5" borderId="12" xfId="11" applyNumberFormat="1" applyFont="1" applyFill="1" applyBorder="1" applyAlignment="1">
      <alignment vertical="center" shrinkToFit="1"/>
    </xf>
    <xf numFmtId="178" fontId="55" fillId="5" borderId="5" xfId="11" applyNumberFormat="1" applyFont="1" applyFill="1" applyBorder="1" applyAlignment="1">
      <alignment vertical="center" shrinkToFit="1"/>
    </xf>
    <xf numFmtId="178" fontId="55" fillId="5" borderId="5" xfId="12" applyNumberFormat="1" applyFont="1" applyFill="1" applyBorder="1" applyAlignment="1">
      <alignment vertical="center" shrinkToFit="1"/>
    </xf>
    <xf numFmtId="41" fontId="55" fillId="5" borderId="16" xfId="12" applyFont="1" applyFill="1" applyBorder="1" applyAlignment="1">
      <alignment horizontal="right" vertical="center"/>
    </xf>
    <xf numFmtId="178" fontId="55" fillId="5" borderId="10" xfId="12" applyNumberFormat="1" applyFont="1" applyFill="1" applyBorder="1" applyAlignment="1">
      <alignment horizontal="right" vertical="center"/>
    </xf>
    <xf numFmtId="41" fontId="54" fillId="5" borderId="16" xfId="12" applyFont="1" applyFill="1" applyBorder="1" applyAlignment="1">
      <alignment horizontal="right" vertical="center"/>
    </xf>
    <xf numFmtId="178" fontId="54" fillId="5" borderId="10" xfId="12" applyNumberFormat="1" applyFont="1" applyFill="1" applyBorder="1" applyAlignment="1">
      <alignment horizontal="right" vertical="center"/>
    </xf>
    <xf numFmtId="178" fontId="55" fillId="5" borderId="10" xfId="12" applyNumberFormat="1" applyFont="1" applyFill="1" applyBorder="1" applyAlignment="1">
      <alignment vertical="center"/>
    </xf>
    <xf numFmtId="178" fontId="55" fillId="5" borderId="11" xfId="12" applyNumberFormat="1" applyFont="1" applyFill="1" applyBorder="1" applyAlignment="1">
      <alignment horizontal="right" vertical="center"/>
    </xf>
    <xf numFmtId="178" fontId="54" fillId="5" borderId="18" xfId="12" applyNumberFormat="1" applyFont="1" applyFill="1" applyBorder="1" applyAlignment="1">
      <alignment horizontal="right" vertical="center"/>
    </xf>
    <xf numFmtId="177" fontId="55" fillId="5" borderId="10" xfId="12" applyNumberFormat="1" applyFont="1" applyFill="1" applyBorder="1" applyAlignment="1">
      <alignment vertical="center"/>
    </xf>
    <xf numFmtId="0" fontId="55" fillId="5" borderId="5" xfId="11" quotePrefix="1" applyFont="1" applyFill="1" applyBorder="1" applyAlignment="1">
      <alignment horizontal="center" vertical="center"/>
    </xf>
    <xf numFmtId="0" fontId="55" fillId="5" borderId="6" xfId="11" quotePrefix="1" applyFont="1" applyFill="1" applyBorder="1" applyAlignment="1">
      <alignment horizontal="center" vertical="center"/>
    </xf>
    <xf numFmtId="178" fontId="55" fillId="5" borderId="5" xfId="11" applyNumberFormat="1" applyFont="1" applyFill="1" applyBorder="1" applyAlignment="1">
      <alignment horizontal="center" vertical="center"/>
    </xf>
    <xf numFmtId="0" fontId="55" fillId="5" borderId="1" xfId="11" quotePrefix="1" applyFont="1" applyFill="1" applyBorder="1" applyAlignment="1">
      <alignment horizontal="center" vertical="center"/>
    </xf>
    <xf numFmtId="178" fontId="55" fillId="5" borderId="1" xfId="11" applyNumberFormat="1" applyFont="1" applyFill="1" applyBorder="1" applyAlignment="1">
      <alignment horizontal="center" vertical="center"/>
    </xf>
    <xf numFmtId="178" fontId="55" fillId="5" borderId="5" xfId="11" applyNumberFormat="1" applyFont="1" applyFill="1" applyBorder="1" applyAlignment="1">
      <alignment horizontal="center" vertical="center" shrinkToFit="1"/>
    </xf>
    <xf numFmtId="41" fontId="71" fillId="0" borderId="0" xfId="3" applyNumberFormat="1" applyFont="1" applyFill="1" applyBorder="1" applyAlignment="1">
      <alignment vertical="center"/>
    </xf>
    <xf numFmtId="41" fontId="76" fillId="0" borderId="0" xfId="3" applyNumberFormat="1" applyFont="1" applyFill="1" applyBorder="1" applyAlignment="1">
      <alignment vertical="center"/>
    </xf>
    <xf numFmtId="0" fontId="55" fillId="6" borderId="64" xfId="2" applyNumberFormat="1" applyFont="1" applyFill="1" applyBorder="1" applyAlignment="1">
      <alignment horizontal="left" vertical="center"/>
    </xf>
    <xf numFmtId="0" fontId="55" fillId="6" borderId="64" xfId="2" applyNumberFormat="1" applyFont="1" applyFill="1" applyBorder="1" applyAlignment="1">
      <alignment horizontal="center" vertical="center"/>
    </xf>
    <xf numFmtId="0" fontId="55" fillId="6" borderId="65" xfId="2" applyNumberFormat="1" applyFont="1" applyFill="1" applyBorder="1" applyAlignment="1">
      <alignment horizontal="center" vertical="center"/>
    </xf>
    <xf numFmtId="41" fontId="55" fillId="0" borderId="5" xfId="3" applyNumberFormat="1" applyFont="1" applyFill="1" applyBorder="1" applyAlignment="1">
      <alignment horizontal="left" vertical="center"/>
    </xf>
    <xf numFmtId="41" fontId="55" fillId="0" borderId="5" xfId="3" applyNumberFormat="1" applyFont="1" applyFill="1" applyBorder="1" applyAlignment="1">
      <alignment horizontal="center" vertical="center"/>
    </xf>
    <xf numFmtId="41" fontId="55" fillId="0" borderId="11" xfId="3" applyNumberFormat="1" applyFont="1" applyFill="1" applyBorder="1" applyAlignment="1">
      <alignment horizontal="right" vertical="center"/>
    </xf>
    <xf numFmtId="0" fontId="54" fillId="0" borderId="5" xfId="3" applyNumberFormat="1" applyFont="1" applyFill="1" applyBorder="1" applyAlignment="1">
      <alignment horizontal="left" vertical="center"/>
    </xf>
    <xf numFmtId="0" fontId="55" fillId="0" borderId="5" xfId="3" applyNumberFormat="1" applyFont="1" applyFill="1" applyBorder="1" applyAlignment="1">
      <alignment horizontal="center" vertical="center"/>
    </xf>
    <xf numFmtId="41" fontId="54" fillId="0" borderId="11" xfId="3" applyNumberFormat="1" applyFont="1" applyFill="1" applyBorder="1" applyAlignment="1">
      <alignment vertical="center"/>
    </xf>
    <xf numFmtId="0" fontId="55" fillId="0" borderId="0" xfId="3" applyNumberFormat="1" applyFont="1" applyFill="1" applyBorder="1" applyAlignment="1">
      <alignment horizontal="left" vertical="center"/>
    </xf>
    <xf numFmtId="41" fontId="55" fillId="0" borderId="10" xfId="3" applyNumberFormat="1" applyFont="1" applyFill="1" applyBorder="1" applyAlignment="1">
      <alignment vertical="center"/>
    </xf>
    <xf numFmtId="0" fontId="55" fillId="0" borderId="0" xfId="2" applyNumberFormat="1" applyFont="1" applyBorder="1" applyAlignment="1">
      <alignment horizontal="center" vertical="center"/>
    </xf>
    <xf numFmtId="0" fontId="55" fillId="0" borderId="0" xfId="2" applyNumberFormat="1" applyFont="1" applyFill="1" applyBorder="1" applyAlignment="1">
      <alignment horizontal="left" vertical="center"/>
    </xf>
    <xf numFmtId="0" fontId="55" fillId="0" borderId="0" xfId="2" applyNumberFormat="1" applyFont="1" applyFill="1" applyBorder="1" applyAlignment="1">
      <alignment horizontal="left" vertical="center" shrinkToFit="1"/>
    </xf>
    <xf numFmtId="0" fontId="55" fillId="0" borderId="0" xfId="2" applyNumberFormat="1" applyFont="1" applyBorder="1" applyAlignment="1">
      <alignment horizontal="center" vertical="center" shrinkToFit="1"/>
    </xf>
    <xf numFmtId="0" fontId="54" fillId="0" borderId="1" xfId="2" applyNumberFormat="1" applyFont="1" applyFill="1" applyBorder="1" applyAlignment="1">
      <alignment horizontal="left" vertical="center"/>
    </xf>
    <xf numFmtId="41" fontId="54" fillId="0" borderId="18" xfId="3" applyNumberFormat="1" applyFont="1" applyFill="1" applyBorder="1" applyAlignment="1">
      <alignment vertical="center"/>
    </xf>
    <xf numFmtId="0" fontId="54" fillId="0" borderId="6" xfId="2" applyNumberFormat="1" applyFont="1" applyFill="1" applyBorder="1" applyAlignment="1">
      <alignment horizontal="left" vertical="center"/>
    </xf>
    <xf numFmtId="0" fontId="55" fillId="0" borderId="6" xfId="2" applyNumberFormat="1" applyFont="1" applyFill="1" applyBorder="1" applyAlignment="1">
      <alignment horizontal="center" vertical="center"/>
    </xf>
    <xf numFmtId="41" fontId="54" fillId="0" borderId="16" xfId="3" applyNumberFormat="1" applyFont="1" applyFill="1" applyBorder="1" applyAlignment="1">
      <alignment vertical="center"/>
    </xf>
    <xf numFmtId="0" fontId="55" fillId="0" borderId="5" xfId="2" applyNumberFormat="1" applyFont="1" applyFill="1" applyBorder="1" applyAlignment="1">
      <alignment horizontal="center" vertical="center"/>
    </xf>
    <xf numFmtId="0" fontId="55" fillId="0" borderId="6" xfId="2" applyNumberFormat="1" applyFont="1" applyFill="1" applyBorder="1" applyAlignment="1">
      <alignment horizontal="left" vertical="center" shrinkToFit="1"/>
    </xf>
    <xf numFmtId="41" fontId="55" fillId="0" borderId="16" xfId="3" applyNumberFormat="1" applyFont="1" applyFill="1" applyBorder="1" applyAlignment="1">
      <alignment vertical="center"/>
    </xf>
    <xf numFmtId="0" fontId="55" fillId="0" borderId="0" xfId="2" applyNumberFormat="1" applyFont="1" applyFill="1" applyBorder="1" applyAlignment="1">
      <alignment vertical="center" shrinkToFit="1"/>
    </xf>
    <xf numFmtId="0" fontId="55" fillId="0" borderId="0" xfId="2" applyNumberFormat="1" applyFont="1" applyFill="1" applyBorder="1" applyAlignment="1">
      <alignment horizontal="center" vertical="center"/>
    </xf>
    <xf numFmtId="41" fontId="55" fillId="0" borderId="10" xfId="3" applyNumberFormat="1" applyFont="1" applyFill="1" applyBorder="1" applyAlignment="1">
      <alignment horizontal="right" vertical="center"/>
    </xf>
    <xf numFmtId="0" fontId="54" fillId="0" borderId="0" xfId="2" applyNumberFormat="1" applyFont="1" applyFill="1" applyBorder="1" applyAlignment="1">
      <alignment horizontal="left" vertical="center" shrinkToFit="1"/>
    </xf>
    <xf numFmtId="0" fontId="55" fillId="0" borderId="5" xfId="7" applyNumberFormat="1" applyFont="1" applyFill="1" applyBorder="1" applyAlignment="1">
      <alignment horizontal="left" vertical="center" shrinkToFit="1"/>
    </xf>
    <xf numFmtId="0" fontId="54" fillId="0" borderId="0" xfId="2" applyNumberFormat="1" applyFont="1" applyBorder="1" applyAlignment="1">
      <alignment horizontal="left" vertical="center" shrinkToFit="1"/>
    </xf>
    <xf numFmtId="0" fontId="55" fillId="0" borderId="0" xfId="2" applyNumberFormat="1" applyFont="1" applyFill="1" applyBorder="1" applyAlignment="1">
      <alignment horizontal="center" vertical="center" shrinkToFit="1"/>
    </xf>
    <xf numFmtId="41" fontId="54" fillId="0" borderId="10" xfId="3" applyNumberFormat="1" applyFont="1" applyFill="1" applyBorder="1" applyAlignment="1">
      <alignment horizontal="left" vertical="center"/>
    </xf>
    <xf numFmtId="0" fontId="55" fillId="0" borderId="0" xfId="5" applyNumberFormat="1" applyFont="1" applyFill="1" applyBorder="1" applyAlignment="1">
      <alignment horizontal="left" vertical="center" shrinkToFit="1"/>
    </xf>
    <xf numFmtId="0" fontId="55" fillId="0" borderId="0" xfId="2" quotePrefix="1" applyNumberFormat="1" applyFont="1" applyFill="1" applyBorder="1" applyAlignment="1">
      <alignment horizontal="center" vertical="center" shrinkToFit="1"/>
    </xf>
    <xf numFmtId="41" fontId="54" fillId="0" borderId="10" xfId="3" applyNumberFormat="1" applyFont="1" applyFill="1" applyBorder="1" applyAlignment="1">
      <alignment horizontal="right" vertical="center"/>
    </xf>
    <xf numFmtId="0" fontId="55" fillId="0" borderId="12" xfId="2" applyNumberFormat="1" applyFont="1" applyFill="1" applyBorder="1" applyAlignment="1">
      <alignment vertical="center" shrinkToFit="1"/>
    </xf>
    <xf numFmtId="0" fontId="55" fillId="0" borderId="0" xfId="5" applyNumberFormat="1" applyFont="1" applyFill="1" applyBorder="1" applyAlignment="1">
      <alignment vertical="center" shrinkToFit="1"/>
    </xf>
    <xf numFmtId="0" fontId="55" fillId="0" borderId="0" xfId="5" quotePrefix="1" applyNumberFormat="1" applyFont="1" applyFill="1" applyBorder="1" applyAlignment="1">
      <alignment horizontal="center" vertical="center" shrinkToFit="1"/>
    </xf>
    <xf numFmtId="41" fontId="54" fillId="0" borderId="10" xfId="4" applyNumberFormat="1" applyFont="1" applyFill="1" applyBorder="1" applyAlignment="1">
      <alignment horizontal="right" vertical="center"/>
    </xf>
    <xf numFmtId="0" fontId="55" fillId="0" borderId="1" xfId="2" quotePrefix="1" applyNumberFormat="1" applyFont="1" applyFill="1" applyBorder="1" applyAlignment="1">
      <alignment horizontal="center" vertical="center" shrinkToFit="1"/>
    </xf>
    <xf numFmtId="0" fontId="55" fillId="0" borderId="1" xfId="2" applyNumberFormat="1" applyFont="1" applyFill="1" applyBorder="1" applyAlignment="1">
      <alignment horizontal="center" vertical="center"/>
    </xf>
    <xf numFmtId="0" fontId="54" fillId="0" borderId="1" xfId="2" applyNumberFormat="1" applyFont="1" applyFill="1" applyBorder="1" applyAlignment="1">
      <alignment horizontal="left" vertical="center" shrinkToFit="1"/>
    </xf>
    <xf numFmtId="0" fontId="55" fillId="0" borderId="12" xfId="2" applyNumberFormat="1" applyFont="1" applyFill="1" applyBorder="1" applyAlignment="1">
      <alignment horizontal="left" vertical="center" shrinkToFit="1"/>
    </xf>
    <xf numFmtId="0" fontId="55" fillId="0" borderId="1" xfId="2" applyNumberFormat="1" applyFont="1" applyFill="1" applyBorder="1" applyAlignment="1">
      <alignment horizontal="center" vertical="center" shrinkToFit="1"/>
    </xf>
    <xf numFmtId="0" fontId="55" fillId="0" borderId="0" xfId="2" applyNumberFormat="1" applyFont="1" applyFill="1" applyBorder="1" applyAlignment="1">
      <alignment vertical="center"/>
    </xf>
    <xf numFmtId="41" fontId="54" fillId="0" borderId="10" xfId="2" applyNumberFormat="1" applyFont="1" applyFill="1" applyBorder="1" applyAlignment="1">
      <alignment horizontal="right" vertical="center" shrinkToFit="1"/>
    </xf>
    <xf numFmtId="41" fontId="55" fillId="0" borderId="10" xfId="2" applyNumberFormat="1" applyFont="1" applyFill="1" applyBorder="1" applyAlignment="1">
      <alignment horizontal="right" vertical="center" shrinkToFit="1"/>
    </xf>
    <xf numFmtId="0" fontId="55" fillId="0" borderId="0" xfId="5" applyNumberFormat="1" applyFont="1" applyFill="1" applyBorder="1" applyAlignment="1">
      <alignment horizontal="center" vertical="center" shrinkToFit="1"/>
    </xf>
    <xf numFmtId="0" fontId="54" fillId="0" borderId="12" xfId="2" applyNumberFormat="1" applyFont="1" applyFill="1" applyBorder="1" applyAlignment="1">
      <alignment horizontal="left" vertical="center" wrapText="1" shrinkToFit="1"/>
    </xf>
    <xf numFmtId="0" fontId="55" fillId="0" borderId="0" xfId="2" applyNumberFormat="1" applyFont="1" applyFill="1" applyBorder="1" applyAlignment="1">
      <alignment horizontal="center" vertical="top" wrapText="1"/>
    </xf>
    <xf numFmtId="0" fontId="55" fillId="0" borderId="6" xfId="3" applyNumberFormat="1" applyFont="1" applyFill="1" applyBorder="1" applyAlignment="1">
      <alignment horizontal="left" vertical="center" shrinkToFit="1"/>
    </xf>
    <xf numFmtId="0" fontId="55" fillId="0" borderId="6" xfId="3" applyNumberFormat="1" applyFont="1" applyFill="1" applyBorder="1" applyAlignment="1">
      <alignment horizontal="center" vertical="center" shrinkToFit="1"/>
    </xf>
    <xf numFmtId="0" fontId="54" fillId="0" borderId="0" xfId="3" applyNumberFormat="1" applyFont="1" applyFill="1" applyBorder="1" applyAlignment="1">
      <alignment horizontal="left" vertical="center" shrinkToFit="1"/>
    </xf>
    <xf numFmtId="0" fontId="55" fillId="0" borderId="0" xfId="3" applyNumberFormat="1" applyFont="1" applyFill="1" applyBorder="1" applyAlignment="1">
      <alignment horizontal="center" vertical="center" shrinkToFit="1"/>
    </xf>
    <xf numFmtId="0" fontId="54" fillId="0" borderId="6" xfId="2" applyNumberFormat="1" applyFont="1" applyFill="1" applyBorder="1" applyAlignment="1">
      <alignment horizontal="left" vertical="center" shrinkToFit="1"/>
    </xf>
    <xf numFmtId="0" fontId="55" fillId="0" borderId="6" xfId="2" applyNumberFormat="1" applyFont="1" applyFill="1" applyBorder="1" applyAlignment="1">
      <alignment horizontal="center" vertical="center" shrinkToFit="1"/>
    </xf>
    <xf numFmtId="0" fontId="55" fillId="0" borderId="5" xfId="2" applyNumberFormat="1" applyFont="1" applyFill="1" applyBorder="1" applyAlignment="1">
      <alignment horizontal="left" vertical="center" shrinkToFit="1"/>
    </xf>
    <xf numFmtId="41" fontId="54" fillId="0" borderId="18" xfId="3" applyNumberFormat="1" applyFont="1" applyFill="1" applyBorder="1" applyAlignment="1">
      <alignment horizontal="right" vertical="center"/>
    </xf>
    <xf numFmtId="0" fontId="55" fillId="0" borderId="12" xfId="5" applyNumberFormat="1" applyFont="1" applyFill="1" applyBorder="1" applyAlignment="1">
      <alignment vertical="center" shrinkToFit="1"/>
    </xf>
    <xf numFmtId="0" fontId="55" fillId="0" borderId="12" xfId="5" applyNumberFormat="1" applyFont="1" applyFill="1" applyBorder="1" applyAlignment="1">
      <alignment vertical="center" wrapText="1" shrinkToFit="1"/>
    </xf>
    <xf numFmtId="0" fontId="55" fillId="0" borderId="6" xfId="7" applyNumberFormat="1" applyFont="1" applyFill="1" applyBorder="1" applyAlignment="1">
      <alignment horizontal="left" vertical="center" shrinkToFit="1"/>
    </xf>
    <xf numFmtId="0" fontId="55" fillId="0" borderId="6" xfId="5" applyNumberFormat="1" applyFont="1" applyFill="1" applyBorder="1" applyAlignment="1">
      <alignment horizontal="center" vertical="center"/>
    </xf>
    <xf numFmtId="0" fontId="54" fillId="0" borderId="0" xfId="5" applyNumberFormat="1" applyFont="1" applyFill="1" applyBorder="1" applyAlignment="1">
      <alignment horizontal="left" vertical="center" shrinkToFit="1"/>
    </xf>
    <xf numFmtId="0" fontId="55" fillId="0" borderId="0" xfId="5" applyNumberFormat="1" applyFont="1" applyFill="1" applyBorder="1">
      <alignment vertical="center"/>
    </xf>
    <xf numFmtId="41" fontId="55" fillId="0" borderId="10" xfId="4" applyNumberFormat="1" applyFont="1" applyFill="1" applyBorder="1" applyAlignment="1">
      <alignment horizontal="right" vertical="center"/>
    </xf>
    <xf numFmtId="0" fontId="54" fillId="0" borderId="0" xfId="2" applyNumberFormat="1" applyFont="1" applyFill="1" applyBorder="1" applyAlignment="1">
      <alignment horizontal="center" vertical="center"/>
    </xf>
    <xf numFmtId="0" fontId="54" fillId="0" borderId="30" xfId="2" applyNumberFormat="1" applyFont="1" applyFill="1" applyBorder="1" applyAlignment="1">
      <alignment vertical="center" shrinkToFit="1"/>
    </xf>
    <xf numFmtId="49" fontId="55" fillId="0" borderId="12" xfId="2" applyNumberFormat="1" applyFont="1" applyFill="1" applyBorder="1" applyAlignment="1">
      <alignment vertical="center" shrinkToFit="1"/>
    </xf>
    <xf numFmtId="178" fontId="55" fillId="0" borderId="6" xfId="2" applyNumberFormat="1" applyFont="1" applyFill="1" applyBorder="1" applyAlignment="1">
      <alignment horizontal="center" vertical="center"/>
    </xf>
    <xf numFmtId="41" fontId="54" fillId="0" borderId="31" xfId="3" applyNumberFormat="1" applyFont="1" applyFill="1" applyBorder="1" applyAlignment="1">
      <alignment vertical="center"/>
    </xf>
    <xf numFmtId="41" fontId="71" fillId="0" borderId="0" xfId="3" applyNumberFormat="1" applyFont="1" applyFill="1" applyBorder="1" applyAlignment="1">
      <alignment horizontal="center" vertical="center"/>
    </xf>
    <xf numFmtId="176" fontId="54" fillId="6" borderId="130" xfId="3" applyNumberFormat="1" applyFont="1" applyFill="1" applyBorder="1" applyAlignment="1">
      <alignment horizontal="right" vertical="center" wrapText="1"/>
    </xf>
    <xf numFmtId="177" fontId="34" fillId="5" borderId="11" xfId="0" applyNumberFormat="1" applyFont="1" applyFill="1" applyBorder="1" applyAlignment="1">
      <alignment vertical="center"/>
    </xf>
    <xf numFmtId="177" fontId="34" fillId="6" borderId="80" xfId="0" applyNumberFormat="1" applyFont="1" applyFill="1" applyBorder="1" applyAlignment="1">
      <alignment horizontal="center" vertical="center"/>
    </xf>
    <xf numFmtId="177" fontId="34" fillId="5" borderId="121" xfId="0" applyNumberFormat="1" applyFont="1" applyFill="1" applyBorder="1" applyAlignment="1">
      <alignment vertical="center"/>
    </xf>
    <xf numFmtId="177" fontId="34" fillId="5" borderId="27" xfId="0" applyNumberFormat="1" applyFont="1" applyFill="1" applyBorder="1" applyAlignment="1">
      <alignment vertical="center" wrapText="1"/>
    </xf>
    <xf numFmtId="0" fontId="34" fillId="5" borderId="121" xfId="11" applyFont="1" applyFill="1" applyBorder="1" applyAlignment="1">
      <alignment vertical="center" wrapText="1"/>
    </xf>
    <xf numFmtId="41" fontId="34" fillId="5" borderId="0" xfId="12" applyFont="1" applyFill="1" applyBorder="1" applyAlignment="1">
      <alignment horizontal="center" vertical="center"/>
    </xf>
    <xf numFmtId="182" fontId="34" fillId="5" borderId="10" xfId="11" applyNumberFormat="1" applyFont="1" applyFill="1" applyBorder="1" applyAlignment="1">
      <alignment vertical="center"/>
    </xf>
    <xf numFmtId="176" fontId="34" fillId="5" borderId="125" xfId="12" applyNumberFormat="1" applyFont="1" applyFill="1" applyBorder="1" applyAlignment="1">
      <alignment vertical="center"/>
    </xf>
    <xf numFmtId="176" fontId="55" fillId="0" borderId="8" xfId="3" applyNumberFormat="1" applyFont="1" applyFill="1" applyBorder="1" applyAlignment="1">
      <alignment horizontal="right" vertical="center"/>
    </xf>
    <xf numFmtId="176" fontId="55" fillId="0" borderId="7" xfId="3" applyNumberFormat="1" applyFont="1" applyFill="1" applyBorder="1" applyAlignment="1">
      <alignment horizontal="right" vertical="center"/>
    </xf>
    <xf numFmtId="176" fontId="55" fillId="0" borderId="2" xfId="3" applyNumberFormat="1" applyFont="1" applyFill="1" applyBorder="1" applyAlignment="1">
      <alignment horizontal="right" vertical="center"/>
    </xf>
    <xf numFmtId="176" fontId="55" fillId="0" borderId="3" xfId="3" applyNumberFormat="1" applyFont="1" applyFill="1" applyBorder="1" applyAlignment="1">
      <alignment horizontal="right" vertical="center"/>
    </xf>
    <xf numFmtId="176" fontId="55" fillId="0" borderId="2" xfId="3" applyNumberFormat="1" applyFont="1" applyFill="1" applyBorder="1" applyAlignment="1">
      <alignment horizontal="right" vertical="top"/>
    </xf>
    <xf numFmtId="176" fontId="55" fillId="0" borderId="3" xfId="3" applyNumberFormat="1" applyFont="1" applyFill="1" applyBorder="1" applyAlignment="1">
      <alignment vertical="center"/>
    </xf>
    <xf numFmtId="176" fontId="55" fillId="0" borderId="2" xfId="3" applyNumberFormat="1" applyFont="1" applyFill="1" applyBorder="1" applyAlignment="1">
      <alignment vertical="center"/>
    </xf>
    <xf numFmtId="176" fontId="55" fillId="0" borderId="3" xfId="4" applyNumberFormat="1" applyFont="1" applyFill="1" applyBorder="1" applyAlignment="1">
      <alignment horizontal="right" vertical="center"/>
    </xf>
    <xf numFmtId="176" fontId="55" fillId="0" borderId="2" xfId="4" applyNumberFormat="1" applyFont="1" applyFill="1" applyBorder="1" applyAlignment="1">
      <alignment horizontal="right" vertical="center"/>
    </xf>
    <xf numFmtId="176" fontId="55" fillId="0" borderId="7" xfId="4" applyNumberFormat="1" applyFont="1" applyFill="1" applyBorder="1" applyAlignment="1">
      <alignment horizontal="right" vertical="center"/>
    </xf>
    <xf numFmtId="176" fontId="55" fillId="0" borderId="2" xfId="3" applyNumberFormat="1" applyFont="1" applyFill="1" applyBorder="1" applyAlignment="1">
      <alignment horizontal="right" vertical="center" wrapText="1"/>
    </xf>
    <xf numFmtId="0" fontId="73" fillId="0" borderId="0" xfId="11" applyNumberFormat="1" applyFont="1" applyFill="1" applyBorder="1" applyAlignment="1">
      <alignment vertical="center"/>
    </xf>
    <xf numFmtId="0" fontId="62" fillId="6" borderId="136" xfId="11" applyNumberFormat="1" applyFont="1" applyFill="1" applyBorder="1" applyAlignment="1">
      <alignment horizontal="center" vertical="center"/>
    </xf>
    <xf numFmtId="0" fontId="62" fillId="6" borderId="64" xfId="11" applyNumberFormat="1" applyFont="1" applyFill="1" applyBorder="1" applyAlignment="1">
      <alignment horizontal="center" vertical="center"/>
    </xf>
    <xf numFmtId="182" fontId="51" fillId="0" borderId="130" xfId="12" applyNumberFormat="1" applyFont="1" applyBorder="1" applyAlignment="1">
      <alignment horizontal="right" vertical="center"/>
    </xf>
    <xf numFmtId="41" fontId="33" fillId="0" borderId="8" xfId="10" applyFont="1" applyBorder="1" applyAlignment="1">
      <alignment vertical="center"/>
    </xf>
    <xf numFmtId="41" fontId="33" fillId="0" borderId="7" xfId="10" applyFont="1" applyFill="1" applyBorder="1" applyAlignment="1">
      <alignment horizontal="right" vertical="center"/>
    </xf>
    <xf numFmtId="41" fontId="33" fillId="0" borderId="7" xfId="10" applyFont="1" applyBorder="1" applyAlignment="1">
      <alignment horizontal="right" vertical="center"/>
    </xf>
    <xf numFmtId="41" fontId="33" fillId="0" borderId="7" xfId="10" applyFont="1" applyBorder="1" applyAlignment="1">
      <alignment vertical="center"/>
    </xf>
    <xf numFmtId="0" fontId="55" fillId="0" borderId="7" xfId="11" applyFont="1" applyBorder="1" applyAlignment="1">
      <alignment horizontal="left" vertical="center"/>
    </xf>
    <xf numFmtId="0" fontId="55" fillId="0" borderId="125" xfId="11" applyFont="1" applyBorder="1" applyAlignment="1">
      <alignment horizontal="left" vertical="center"/>
    </xf>
    <xf numFmtId="182" fontId="51" fillId="0" borderId="23" xfId="12" applyNumberFormat="1" applyFont="1" applyBorder="1" applyAlignment="1">
      <alignment horizontal="right" vertical="center"/>
    </xf>
    <xf numFmtId="0" fontId="51" fillId="0" borderId="17" xfId="11" applyFont="1" applyBorder="1" applyAlignment="1">
      <alignment vertical="center"/>
    </xf>
    <xf numFmtId="182" fontId="54" fillId="0" borderId="7" xfId="12" applyNumberFormat="1" applyFont="1" applyBorder="1" applyAlignment="1">
      <alignment horizontal="right" vertical="center"/>
    </xf>
    <xf numFmtId="182" fontId="97" fillId="0" borderId="7" xfId="12" applyNumberFormat="1" applyFont="1" applyBorder="1" applyAlignment="1">
      <alignment horizontal="right" vertical="center"/>
    </xf>
    <xf numFmtId="41" fontId="51" fillId="0" borderId="0" xfId="12" applyFont="1" applyAlignment="1">
      <alignment vertical="center"/>
    </xf>
    <xf numFmtId="0" fontId="51" fillId="0" borderId="0" xfId="11" applyFont="1" applyAlignment="1">
      <alignment vertical="center"/>
    </xf>
    <xf numFmtId="41" fontId="51" fillId="0" borderId="122" xfId="12" applyFont="1" applyBorder="1" applyAlignment="1">
      <alignment vertical="center"/>
    </xf>
    <xf numFmtId="0" fontId="13" fillId="0" borderId="17" xfId="2" applyNumberFormat="1" applyFont="1" applyFill="1" applyBorder="1" applyAlignment="1">
      <alignment vertical="center"/>
    </xf>
    <xf numFmtId="0" fontId="13" fillId="0" borderId="2" xfId="2" applyNumberFormat="1" applyFont="1" applyFill="1" applyBorder="1" applyAlignment="1">
      <alignment vertical="center" wrapText="1"/>
    </xf>
    <xf numFmtId="0" fontId="34" fillId="0" borderId="2" xfId="2" applyNumberFormat="1" applyFont="1" applyFill="1" applyBorder="1" applyAlignment="1">
      <alignment vertical="top" wrapText="1"/>
    </xf>
    <xf numFmtId="0" fontId="34" fillId="0" borderId="2" xfId="2" applyNumberFormat="1" applyFont="1" applyFill="1" applyBorder="1" applyAlignment="1">
      <alignment vertical="center"/>
    </xf>
    <xf numFmtId="0" fontId="51" fillId="0" borderId="0" xfId="3" applyNumberFormat="1" applyFont="1" applyFill="1" applyBorder="1" applyAlignment="1">
      <alignment horizontal="left" vertical="center"/>
    </xf>
    <xf numFmtId="0" fontId="34" fillId="0" borderId="0" xfId="3" applyNumberFormat="1" applyFont="1" applyFill="1" applyBorder="1" applyAlignment="1">
      <alignment horizontal="center" vertical="center"/>
    </xf>
    <xf numFmtId="41" fontId="51" fillId="0" borderId="10" xfId="3" applyNumberFormat="1" applyFont="1" applyFill="1" applyBorder="1" applyAlignment="1">
      <alignment vertical="center"/>
    </xf>
    <xf numFmtId="0" fontId="13" fillId="0" borderId="0" xfId="3" applyNumberFormat="1" applyFont="1" applyFill="1" applyBorder="1" applyAlignment="1">
      <alignment horizontal="center" vertical="center" shrinkToFit="1"/>
    </xf>
    <xf numFmtId="177" fontId="34" fillId="0" borderId="0" xfId="1" applyNumberFormat="1" applyFont="1" applyFill="1" applyBorder="1" applyAlignment="1">
      <alignment horizontal="center" vertical="center"/>
    </xf>
    <xf numFmtId="0" fontId="34" fillId="0" borderId="0" xfId="2" applyNumberFormat="1" applyFont="1" applyAlignment="1">
      <alignment horizontal="center" vertical="center"/>
    </xf>
    <xf numFmtId="0" fontId="77" fillId="0" borderId="0" xfId="2" applyNumberFormat="1" applyFont="1" applyFill="1" applyBorder="1" applyAlignment="1">
      <alignment vertical="center"/>
    </xf>
    <xf numFmtId="0" fontId="13" fillId="0" borderId="0" xfId="2" applyNumberFormat="1" applyFont="1" applyBorder="1" applyAlignment="1">
      <alignment horizontal="center" vertical="center"/>
    </xf>
    <xf numFmtId="0" fontId="13" fillId="0" borderId="0" xfId="2" applyNumberFormat="1" applyFont="1" applyBorder="1" applyAlignment="1">
      <alignment vertical="center"/>
    </xf>
    <xf numFmtId="0" fontId="34" fillId="0" borderId="2" xfId="2" applyNumberFormat="1" applyFont="1" applyFill="1" applyBorder="1" applyAlignment="1">
      <alignment vertical="top"/>
    </xf>
    <xf numFmtId="0" fontId="34" fillId="2" borderId="0" xfId="3" applyNumberFormat="1" applyFont="1" applyFill="1" applyBorder="1" applyAlignment="1">
      <alignment horizontal="center" vertical="center" shrinkToFit="1"/>
    </xf>
    <xf numFmtId="0" fontId="34" fillId="2" borderId="0" xfId="3" applyNumberFormat="1" applyFont="1" applyFill="1" applyBorder="1" applyAlignment="1">
      <alignment horizontal="center" vertical="center"/>
    </xf>
    <xf numFmtId="177" fontId="34" fillId="2" borderId="0" xfId="1" applyNumberFormat="1" applyFont="1" applyFill="1" applyBorder="1" applyAlignment="1">
      <alignment horizontal="center" vertical="center"/>
    </xf>
    <xf numFmtId="0" fontId="34" fillId="2" borderId="0" xfId="2" applyNumberFormat="1" applyFont="1" applyFill="1" applyAlignment="1">
      <alignment horizontal="center" vertical="center"/>
    </xf>
    <xf numFmtId="41" fontId="34" fillId="2" borderId="0" xfId="2" applyNumberFormat="1" applyFont="1" applyFill="1" applyAlignment="1">
      <alignment horizontal="center" vertical="center"/>
    </xf>
    <xf numFmtId="0" fontId="34" fillId="0" borderId="0" xfId="3" applyNumberFormat="1" applyFont="1" applyFill="1" applyBorder="1" applyAlignment="1">
      <alignment horizontal="left" vertical="center"/>
    </xf>
    <xf numFmtId="41" fontId="34" fillId="0" borderId="10" xfId="3" applyNumberFormat="1" applyFont="1" applyFill="1" applyBorder="1" applyAlignment="1">
      <alignment vertical="center"/>
    </xf>
    <xf numFmtId="0" fontId="13" fillId="0" borderId="2" xfId="2" applyNumberFormat="1" applyFont="1" applyFill="1" applyBorder="1" applyAlignment="1">
      <alignment vertical="center"/>
    </xf>
    <xf numFmtId="0" fontId="34" fillId="0" borderId="0" xfId="2" applyNumberFormat="1" applyFont="1" applyFill="1" applyBorder="1" applyAlignment="1">
      <alignment horizontal="center" vertical="center"/>
    </xf>
    <xf numFmtId="0" fontId="34" fillId="0" borderId="0" xfId="2" quotePrefix="1" applyNumberFormat="1" applyFont="1" applyFill="1" applyBorder="1" applyAlignment="1">
      <alignment horizontal="center" vertical="center"/>
    </xf>
    <xf numFmtId="0" fontId="34" fillId="0" borderId="0" xfId="2" applyNumberFormat="1" applyFont="1" applyFill="1" applyBorder="1" applyAlignment="1">
      <alignment horizontal="left" vertical="center" shrinkToFit="1"/>
    </xf>
    <xf numFmtId="0" fontId="34" fillId="0" borderId="0" xfId="2" applyNumberFormat="1" applyFont="1" applyFill="1" applyBorder="1" applyAlignment="1">
      <alignment horizontal="center" vertical="center" shrinkToFit="1"/>
    </xf>
    <xf numFmtId="41" fontId="13" fillId="0" borderId="0" xfId="3" applyNumberFormat="1" applyFont="1" applyBorder="1" applyAlignment="1">
      <alignment horizontal="center" vertical="center"/>
    </xf>
    <xf numFmtId="0" fontId="49" fillId="0" borderId="3" xfId="2" applyNumberFormat="1" applyFont="1" applyFill="1" applyBorder="1" applyAlignment="1">
      <alignment vertical="center"/>
    </xf>
    <xf numFmtId="0" fontId="34" fillId="0" borderId="1" xfId="2" applyNumberFormat="1" applyFont="1" applyFill="1" applyBorder="1" applyAlignment="1">
      <alignment horizontal="center" vertical="center"/>
    </xf>
    <xf numFmtId="0" fontId="33" fillId="0" borderId="0" xfId="3" applyNumberFormat="1" applyFont="1" applyFill="1" applyBorder="1" applyAlignment="1">
      <alignment horizontal="center" vertical="center"/>
    </xf>
    <xf numFmtId="177" fontId="33" fillId="0" borderId="0" xfId="1" applyNumberFormat="1" applyFont="1" applyFill="1" applyBorder="1" applyAlignment="1">
      <alignment horizontal="center" vertical="center"/>
    </xf>
    <xf numFmtId="0" fontId="33" fillId="0" borderId="0" xfId="2" applyNumberFormat="1" applyFont="1" applyFill="1" applyBorder="1" applyAlignment="1">
      <alignment horizontal="center" vertical="center"/>
    </xf>
    <xf numFmtId="41" fontId="33" fillId="0" borderId="0" xfId="4" applyNumberFormat="1" applyFont="1" applyFill="1" applyBorder="1" applyAlignment="1">
      <alignment horizontal="center" vertical="center"/>
    </xf>
    <xf numFmtId="0" fontId="34" fillId="0" borderId="4" xfId="2" applyNumberFormat="1" applyFont="1" applyFill="1" applyBorder="1" applyAlignment="1">
      <alignment vertical="center" wrapText="1"/>
    </xf>
    <xf numFmtId="0" fontId="34" fillId="0" borderId="9" xfId="2" applyNumberFormat="1" applyFont="1" applyFill="1" applyBorder="1" applyAlignment="1">
      <alignment vertical="center" wrapText="1"/>
    </xf>
    <xf numFmtId="0" fontId="34" fillId="0" borderId="5" xfId="2" applyNumberFormat="1" applyFont="1" applyFill="1" applyBorder="1" applyAlignment="1">
      <alignment horizontal="center" vertical="center"/>
    </xf>
    <xf numFmtId="41" fontId="34" fillId="0" borderId="11" xfId="3" applyNumberFormat="1" applyFont="1" applyFill="1" applyBorder="1" applyAlignment="1">
      <alignment vertical="center"/>
    </xf>
    <xf numFmtId="0" fontId="77" fillId="0" borderId="0" xfId="3" applyNumberFormat="1" applyFont="1" applyFill="1" applyBorder="1" applyAlignment="1">
      <alignment horizontal="center" vertical="center"/>
    </xf>
    <xf numFmtId="177" fontId="77" fillId="0" borderId="0" xfId="1" applyNumberFormat="1" applyFont="1" applyFill="1" applyBorder="1" applyAlignment="1">
      <alignment horizontal="center" vertical="center"/>
    </xf>
    <xf numFmtId="0" fontId="77" fillId="0" borderId="0" xfId="2" applyNumberFormat="1" applyFont="1" applyFill="1" applyBorder="1" applyAlignment="1">
      <alignment horizontal="center" vertical="center"/>
    </xf>
    <xf numFmtId="41" fontId="77" fillId="0" borderId="0" xfId="4" applyNumberFormat="1" applyFont="1" applyFill="1" applyBorder="1" applyAlignment="1">
      <alignment horizontal="center" vertical="center"/>
    </xf>
    <xf numFmtId="0" fontId="11" fillId="0" borderId="3" xfId="2" applyNumberFormat="1" applyFont="1" applyFill="1" applyBorder="1" applyAlignment="1">
      <alignment vertical="top"/>
    </xf>
    <xf numFmtId="41" fontId="55" fillId="0" borderId="18" xfId="3" applyNumberFormat="1" applyFont="1" applyFill="1" applyBorder="1" applyAlignment="1">
      <alignment vertical="center"/>
    </xf>
    <xf numFmtId="176" fontId="54" fillId="0" borderId="7" xfId="3" applyNumberFormat="1" applyFont="1" applyFill="1" applyBorder="1" applyAlignment="1">
      <alignment horizontal="right" vertical="center"/>
    </xf>
    <xf numFmtId="176" fontId="51" fillId="0" borderId="7" xfId="3" applyNumberFormat="1" applyFont="1" applyFill="1" applyBorder="1" applyAlignment="1">
      <alignment horizontal="right" vertical="center"/>
    </xf>
    <xf numFmtId="0" fontId="54" fillId="0" borderId="6" xfId="2" applyNumberFormat="1" applyFont="1" applyFill="1" applyBorder="1" applyAlignment="1">
      <alignment horizontal="center" vertical="center"/>
    </xf>
    <xf numFmtId="176" fontId="51" fillId="0" borderId="25" xfId="3" applyNumberFormat="1" applyFont="1" applyFill="1" applyBorder="1" applyAlignment="1">
      <alignment horizontal="right" vertical="center"/>
    </xf>
    <xf numFmtId="176" fontId="54" fillId="0" borderId="8" xfId="3" applyNumberFormat="1" applyFont="1" applyFill="1" applyBorder="1" applyAlignment="1">
      <alignment horizontal="right" vertical="center"/>
    </xf>
    <xf numFmtId="176" fontId="51" fillId="0" borderId="8" xfId="3" applyNumberFormat="1" applyFont="1" applyFill="1" applyBorder="1" applyAlignment="1">
      <alignment horizontal="right" vertical="center"/>
    </xf>
    <xf numFmtId="0" fontId="9" fillId="0" borderId="17" xfId="2" applyNumberFormat="1" applyFont="1" applyFill="1" applyBorder="1" applyAlignment="1">
      <alignment vertical="center"/>
    </xf>
    <xf numFmtId="0" fontId="9" fillId="0" borderId="2" xfId="2" applyNumberFormat="1" applyFont="1" applyFill="1" applyBorder="1" applyAlignment="1">
      <alignment vertical="center"/>
    </xf>
    <xf numFmtId="0" fontId="12" fillId="2" borderId="0" xfId="3" applyNumberFormat="1" applyFont="1" applyFill="1" applyBorder="1" applyAlignment="1">
      <alignment horizontal="left" vertical="center"/>
    </xf>
    <xf numFmtId="0" fontId="12" fillId="2" borderId="0" xfId="3" applyNumberFormat="1" applyFont="1" applyFill="1" applyBorder="1" applyAlignment="1">
      <alignment horizontal="center" vertical="center"/>
    </xf>
    <xf numFmtId="177" fontId="12" fillId="2" borderId="0" xfId="1" applyNumberFormat="1" applyFont="1" applyFill="1" applyBorder="1" applyAlignment="1">
      <alignment horizontal="center" vertical="center"/>
    </xf>
    <xf numFmtId="0" fontId="12" fillId="2" borderId="0" xfId="2" applyNumberFormat="1" applyFont="1" applyFill="1" applyBorder="1" applyAlignment="1">
      <alignment horizontal="center" vertical="center"/>
    </xf>
    <xf numFmtId="41" fontId="12" fillId="2" borderId="0" xfId="2" applyNumberFormat="1" applyFont="1" applyFill="1" applyBorder="1" applyAlignment="1">
      <alignment horizontal="center" vertical="center"/>
    </xf>
    <xf numFmtId="0" fontId="12" fillId="0" borderId="0" xfId="2" applyNumberFormat="1" applyFont="1" applyFill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12" fillId="0" borderId="0" xfId="2" applyNumberFormat="1" applyFont="1" applyBorder="1" applyAlignment="1">
      <alignment vertical="center"/>
    </xf>
    <xf numFmtId="0" fontId="34" fillId="0" borderId="0" xfId="2" quotePrefix="1" applyNumberFormat="1" applyFont="1" applyFill="1" applyBorder="1" applyAlignment="1">
      <alignment horizontal="center" vertical="center" shrinkToFit="1"/>
    </xf>
    <xf numFmtId="41" fontId="8" fillId="0" borderId="0" xfId="2" applyNumberFormat="1" applyFont="1" applyBorder="1" applyAlignment="1">
      <alignment horizontal="center" vertical="center"/>
    </xf>
    <xf numFmtId="49" fontId="34" fillId="0" borderId="0" xfId="2" applyNumberFormat="1" applyFont="1" applyFill="1" applyBorder="1" applyAlignment="1">
      <alignment vertical="center" shrinkToFit="1"/>
    </xf>
    <xf numFmtId="49" fontId="34" fillId="0" borderId="0" xfId="2" applyNumberFormat="1" applyFont="1" applyFill="1" applyBorder="1" applyAlignment="1">
      <alignment horizontal="center" vertical="center" shrinkToFit="1"/>
    </xf>
    <xf numFmtId="0" fontId="54" fillId="0" borderId="0" xfId="5" quotePrefix="1" applyNumberFormat="1" applyFont="1" applyFill="1" applyBorder="1" applyAlignment="1">
      <alignment horizontal="center" vertical="center" shrinkToFit="1"/>
    </xf>
    <xf numFmtId="0" fontId="9" fillId="0" borderId="0" xfId="3" applyNumberFormat="1" applyFont="1" applyFill="1" applyBorder="1" applyAlignment="1">
      <alignment horizontal="center" vertical="center" shrinkToFit="1"/>
    </xf>
    <xf numFmtId="0" fontId="7" fillId="0" borderId="0" xfId="2" applyNumberFormat="1" applyFont="1" applyBorder="1" applyAlignment="1">
      <alignment horizontal="center" vertical="center"/>
    </xf>
    <xf numFmtId="0" fontId="8" fillId="0" borderId="0" xfId="3" applyNumberFormat="1" applyFont="1" applyFill="1" applyBorder="1" applyAlignment="1">
      <alignment horizontal="center" vertical="center" shrinkToFit="1"/>
    </xf>
    <xf numFmtId="41" fontId="8" fillId="0" borderId="0" xfId="3" applyNumberFormat="1" applyFont="1" applyFill="1" applyBorder="1" applyAlignment="1">
      <alignment horizontal="center" vertical="center"/>
    </xf>
    <xf numFmtId="3" fontId="7" fillId="0" borderId="0" xfId="2" applyNumberFormat="1" applyFont="1" applyBorder="1" applyAlignment="1">
      <alignment horizontal="center" vertical="center"/>
    </xf>
    <xf numFmtId="0" fontId="34" fillId="0" borderId="0" xfId="3" quotePrefix="1" applyNumberFormat="1" applyFont="1" applyFill="1" applyBorder="1" applyAlignment="1">
      <alignment horizontal="left" vertical="center" shrinkToFit="1"/>
    </xf>
    <xf numFmtId="41" fontId="9" fillId="0" borderId="0" xfId="3" applyNumberFormat="1" applyFont="1" applyFill="1" applyBorder="1" applyAlignment="1">
      <alignment horizontal="center" vertical="center"/>
    </xf>
    <xf numFmtId="0" fontId="34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 shrinkToFit="1"/>
    </xf>
    <xf numFmtId="0" fontId="8" fillId="0" borderId="0" xfId="4" applyNumberFormat="1" applyFont="1" applyFill="1" applyBorder="1" applyAlignment="1">
      <alignment horizontal="center" vertical="center" shrinkToFit="1"/>
    </xf>
    <xf numFmtId="41" fontId="8" fillId="0" borderId="0" xfId="2" applyNumberFormat="1" applyFont="1" applyAlignment="1">
      <alignment horizontal="center" vertical="center"/>
    </xf>
    <xf numFmtId="0" fontId="104" fillId="0" borderId="0" xfId="2" applyNumberFormat="1" applyFont="1" applyFill="1" applyBorder="1" applyAlignment="1">
      <alignment vertical="center" shrinkToFit="1"/>
    </xf>
    <xf numFmtId="178" fontId="7" fillId="0" borderId="0" xfId="1" applyNumberFormat="1" applyFont="1" applyFill="1" applyBorder="1" applyAlignment="1">
      <alignment horizontal="center" vertical="center"/>
    </xf>
    <xf numFmtId="178" fontId="7" fillId="0" borderId="0" xfId="2" applyNumberFormat="1" applyFont="1" applyFill="1" applyAlignment="1">
      <alignment horizontal="center" vertical="center"/>
    </xf>
    <xf numFmtId="178" fontId="7" fillId="0" borderId="0" xfId="2" applyNumberFormat="1" applyFont="1" applyAlignment="1">
      <alignment horizontal="center" vertical="center"/>
    </xf>
    <xf numFmtId="0" fontId="12" fillId="0" borderId="0" xfId="3" applyNumberFormat="1" applyFont="1" applyFill="1" applyBorder="1" applyAlignment="1">
      <alignment horizontal="center" vertical="center"/>
    </xf>
    <xf numFmtId="177" fontId="55" fillId="0" borderId="0" xfId="2" applyNumberFormat="1" applyFont="1" applyFill="1" applyBorder="1" applyAlignment="1">
      <alignment horizontal="center" vertical="center"/>
    </xf>
    <xf numFmtId="0" fontId="54" fillId="0" borderId="163" xfId="5" applyNumberFormat="1" applyFont="1" applyFill="1" applyBorder="1" applyAlignment="1">
      <alignment vertical="center" shrinkToFit="1"/>
    </xf>
    <xf numFmtId="0" fontId="55" fillId="0" borderId="164" xfId="2" applyNumberFormat="1" applyFont="1" applyFill="1" applyBorder="1" applyAlignment="1">
      <alignment horizontal="center" vertical="center"/>
    </xf>
    <xf numFmtId="41" fontId="54" fillId="0" borderId="165" xfId="3" applyNumberFormat="1" applyFont="1" applyFill="1" applyBorder="1" applyAlignment="1">
      <alignment horizontal="right" vertical="center"/>
    </xf>
    <xf numFmtId="0" fontId="54" fillId="0" borderId="166" xfId="5" applyNumberFormat="1" applyFont="1" applyFill="1" applyBorder="1" applyAlignment="1">
      <alignment vertical="center" shrinkToFit="1"/>
    </xf>
    <xf numFmtId="0" fontId="55" fillId="0" borderId="167" xfId="2" applyNumberFormat="1" applyFont="1" applyFill="1" applyBorder="1" applyAlignment="1">
      <alignment horizontal="center" vertical="center"/>
    </xf>
    <xf numFmtId="41" fontId="54" fillId="0" borderId="168" xfId="3" applyNumberFormat="1" applyFont="1" applyFill="1" applyBorder="1" applyAlignment="1">
      <alignment horizontal="right" vertical="center"/>
    </xf>
    <xf numFmtId="176" fontId="55" fillId="0" borderId="0" xfId="4" applyNumberFormat="1" applyFont="1" applyFill="1" applyBorder="1" applyAlignment="1">
      <alignment horizontal="right" vertical="center"/>
    </xf>
    <xf numFmtId="0" fontId="34" fillId="0" borderId="0" xfId="5" applyNumberFormat="1" applyFont="1" applyFill="1" applyBorder="1" applyAlignment="1">
      <alignment horizontal="left" vertical="center" shrinkToFit="1"/>
    </xf>
    <xf numFmtId="41" fontId="33" fillId="0" borderId="0" xfId="2" applyNumberFormat="1" applyFont="1" applyFill="1" applyBorder="1" applyAlignment="1">
      <alignment horizontal="center" vertical="center"/>
    </xf>
    <xf numFmtId="0" fontId="51" fillId="0" borderId="0" xfId="2" applyNumberFormat="1" applyFont="1" applyFill="1" applyBorder="1" applyAlignment="1">
      <alignment horizontal="left" vertical="center" shrinkToFit="1"/>
    </xf>
    <xf numFmtId="41" fontId="51" fillId="0" borderId="10" xfId="3" applyNumberFormat="1" applyFont="1" applyFill="1" applyBorder="1" applyAlignment="1">
      <alignment horizontal="left" vertical="center"/>
    </xf>
    <xf numFmtId="41" fontId="51" fillId="0" borderId="10" xfId="3" applyNumberFormat="1" applyFont="1" applyFill="1" applyBorder="1" applyAlignment="1">
      <alignment horizontal="right" vertical="center"/>
    </xf>
    <xf numFmtId="0" fontId="34" fillId="0" borderId="12" xfId="2" applyNumberFormat="1" applyFont="1" applyFill="1" applyBorder="1" applyAlignment="1">
      <alignment vertical="center" shrinkToFit="1"/>
    </xf>
    <xf numFmtId="41" fontId="34" fillId="0" borderId="10" xfId="3" applyNumberFormat="1" applyFont="1" applyFill="1" applyBorder="1" applyAlignment="1">
      <alignment horizontal="right" vertical="center"/>
    </xf>
    <xf numFmtId="0" fontId="34" fillId="0" borderId="0" xfId="2" applyNumberFormat="1" applyFont="1" applyFill="1" applyBorder="1" applyAlignment="1">
      <alignment vertical="center" shrinkToFit="1"/>
    </xf>
    <xf numFmtId="0" fontId="8" fillId="0" borderId="17" xfId="2" applyFont="1" applyFill="1" applyBorder="1" applyAlignment="1">
      <alignment vertical="center"/>
    </xf>
    <xf numFmtId="0" fontId="8" fillId="0" borderId="2" xfId="2" applyFont="1" applyFill="1" applyBorder="1" applyAlignment="1">
      <alignment vertical="center"/>
    </xf>
    <xf numFmtId="0" fontId="34" fillId="0" borderId="0" xfId="2" applyFont="1" applyFill="1" applyBorder="1" applyAlignment="1">
      <alignment horizontal="center" vertical="center" shrinkToFit="1"/>
    </xf>
    <xf numFmtId="41" fontId="51" fillId="0" borderId="10" xfId="3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34" fillId="0" borderId="0" xfId="5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vertical="center"/>
    </xf>
    <xf numFmtId="0" fontId="34" fillId="0" borderId="5" xfId="2" applyFont="1" applyFill="1" applyBorder="1" applyAlignment="1">
      <alignment horizontal="center" vertical="center"/>
    </xf>
    <xf numFmtId="41" fontId="34" fillId="0" borderId="11" xfId="3" applyFont="1" applyFill="1" applyBorder="1" applyAlignment="1">
      <alignment vertical="center"/>
    </xf>
    <xf numFmtId="0" fontId="51" fillId="0" borderId="0" xfId="2" applyNumberFormat="1" applyFont="1" applyFill="1" applyBorder="1" applyAlignment="1">
      <alignment horizontal="center" vertical="center" shrinkToFit="1"/>
    </xf>
    <xf numFmtId="0" fontId="8" fillId="0" borderId="17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left" vertical="center" shrinkToFit="1"/>
    </xf>
    <xf numFmtId="41" fontId="7" fillId="0" borderId="0" xfId="3" applyFont="1" applyFill="1" applyBorder="1" applyAlignment="1">
      <alignment horizontal="center" vertical="center"/>
    </xf>
    <xf numFmtId="41" fontId="7" fillId="0" borderId="0" xfId="2" applyNumberFormat="1" applyFont="1" applyFill="1" applyBorder="1" applyAlignment="1">
      <alignment horizontal="center" vertical="center" shrinkToFit="1"/>
    </xf>
    <xf numFmtId="0" fontId="34" fillId="0" borderId="5" xfId="2" applyNumberFormat="1" applyFont="1" applyFill="1" applyBorder="1" applyAlignment="1">
      <alignment horizontal="left" vertical="center" shrinkToFit="1"/>
    </xf>
    <xf numFmtId="0" fontId="8" fillId="0" borderId="2" xfId="2" applyFont="1" applyFill="1" applyBorder="1" applyAlignment="1">
      <alignment vertical="center" wrapText="1"/>
    </xf>
    <xf numFmtId="0" fontId="51" fillId="0" borderId="0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8" fillId="0" borderId="20" xfId="2" applyNumberFormat="1" applyFont="1" applyFill="1" applyBorder="1" applyAlignment="1">
      <alignment vertical="center" wrapText="1"/>
    </xf>
    <xf numFmtId="176" fontId="55" fillId="0" borderId="20" xfId="3" applyNumberFormat="1" applyFont="1" applyFill="1" applyBorder="1" applyAlignment="1">
      <alignment horizontal="right" vertical="center" wrapText="1"/>
    </xf>
    <xf numFmtId="0" fontId="34" fillId="0" borderId="4" xfId="2" applyFont="1" applyFill="1" applyBorder="1" applyAlignment="1">
      <alignment horizontal="left" vertical="center" shrinkToFit="1"/>
    </xf>
    <xf numFmtId="178" fontId="7" fillId="0" borderId="0" xfId="2" applyNumberFormat="1" applyFont="1" applyFill="1" applyBorder="1" applyAlignment="1">
      <alignment horizontal="right" vertical="center"/>
    </xf>
    <xf numFmtId="41" fontId="13" fillId="0" borderId="0" xfId="3" applyNumberFormat="1" applyFont="1" applyFill="1" applyBorder="1" applyAlignment="1">
      <alignment horizontal="center" vertical="center"/>
    </xf>
    <xf numFmtId="0" fontId="55" fillId="0" borderId="0" xfId="17" applyFont="1" applyFill="1" applyBorder="1" applyAlignment="1">
      <alignment horizontal="center" vertical="center" shrinkToFit="1"/>
    </xf>
    <xf numFmtId="0" fontId="13" fillId="0" borderId="0" xfId="2" applyNumberFormat="1" applyFont="1" applyFill="1" applyBorder="1" applyAlignment="1">
      <alignment horizontal="center" vertical="center"/>
    </xf>
    <xf numFmtId="0" fontId="34" fillId="0" borderId="5" xfId="2" applyNumberFormat="1" applyFont="1" applyFill="1" applyBorder="1" applyAlignment="1">
      <alignment horizontal="left" vertical="center" wrapText="1"/>
    </xf>
    <xf numFmtId="0" fontId="11" fillId="0" borderId="2" xfId="2" applyNumberFormat="1" applyFont="1" applyFill="1" applyBorder="1" applyAlignment="1">
      <alignment vertical="center" wrapText="1"/>
    </xf>
    <xf numFmtId="0" fontId="49" fillId="0" borderId="2" xfId="11" applyFont="1" applyBorder="1" applyAlignment="1">
      <alignment vertical="center"/>
    </xf>
    <xf numFmtId="176" fontId="34" fillId="0" borderId="3" xfId="12" applyNumberFormat="1" applyFont="1" applyBorder="1" applyAlignment="1">
      <alignment horizontal="right" vertical="center"/>
    </xf>
    <xf numFmtId="176" fontId="34" fillId="0" borderId="7" xfId="12" applyNumberFormat="1" applyFont="1" applyBorder="1" applyAlignment="1">
      <alignment horizontal="right" vertical="center"/>
    </xf>
    <xf numFmtId="0" fontId="9" fillId="0" borderId="12" xfId="12" applyNumberFormat="1" applyFont="1" applyFill="1" applyBorder="1" applyAlignment="1">
      <alignment vertical="center"/>
    </xf>
    <xf numFmtId="41" fontId="34" fillId="0" borderId="11" xfId="12" applyNumberFormat="1" applyFont="1" applyFill="1" applyBorder="1" applyAlignment="1">
      <alignment vertical="center" shrinkToFit="1"/>
    </xf>
    <xf numFmtId="0" fontId="34" fillId="0" borderId="0" xfId="12" applyNumberFormat="1" applyFont="1" applyFill="1" applyBorder="1" applyAlignment="1">
      <alignment vertical="center"/>
    </xf>
    <xf numFmtId="0" fontId="34" fillId="0" borderId="5" xfId="12" applyNumberFormat="1" applyFont="1" applyFill="1" applyBorder="1" applyAlignment="1">
      <alignment vertical="center"/>
    </xf>
    <xf numFmtId="41" fontId="51" fillId="0" borderId="18" xfId="12" applyNumberFormat="1" applyFont="1" applyFill="1" applyBorder="1" applyAlignment="1">
      <alignment vertical="center" shrinkToFit="1"/>
    </xf>
    <xf numFmtId="0" fontId="34" fillId="0" borderId="30" xfId="12" applyNumberFormat="1" applyFont="1" applyFill="1" applyBorder="1" applyAlignment="1">
      <alignment horizontal="left" vertical="center"/>
    </xf>
    <xf numFmtId="0" fontId="34" fillId="0" borderId="1" xfId="12" quotePrefix="1" applyNumberFormat="1" applyFont="1" applyFill="1" applyBorder="1" applyAlignment="1">
      <alignment horizontal="center" vertical="center"/>
    </xf>
    <xf numFmtId="178" fontId="34" fillId="0" borderId="8" xfId="12" applyNumberFormat="1" applyFont="1" applyFill="1" applyBorder="1" applyAlignment="1">
      <alignment horizontal="right" vertical="center" shrinkToFit="1"/>
    </xf>
    <xf numFmtId="182" fontId="34" fillId="0" borderId="7" xfId="12" applyNumberFormat="1" applyFont="1" applyFill="1" applyBorder="1" applyAlignment="1">
      <alignment horizontal="right" vertical="center"/>
    </xf>
    <xf numFmtId="178" fontId="34" fillId="0" borderId="3" xfId="12" applyNumberFormat="1" applyFont="1" applyFill="1" applyBorder="1" applyAlignment="1">
      <alignment horizontal="right" vertical="center" shrinkToFit="1"/>
    </xf>
    <xf numFmtId="178" fontId="34" fillId="0" borderId="2" xfId="12" applyNumberFormat="1" applyFont="1" applyFill="1" applyBorder="1" applyAlignment="1">
      <alignment horizontal="right" vertical="center" shrinkToFit="1"/>
    </xf>
    <xf numFmtId="41" fontId="34" fillId="0" borderId="0" xfId="12" quotePrefix="1" applyNumberFormat="1" applyFont="1" applyFill="1" applyBorder="1" applyAlignment="1">
      <alignment horizontal="left" vertical="center" shrinkToFit="1"/>
    </xf>
    <xf numFmtId="177" fontId="34" fillId="0" borderId="2" xfId="12" applyNumberFormat="1" applyFont="1" applyFill="1" applyBorder="1" applyAlignment="1">
      <alignment horizontal="right" vertical="center"/>
    </xf>
    <xf numFmtId="177" fontId="34" fillId="0" borderId="8" xfId="12" applyNumberFormat="1" applyFont="1" applyFill="1" applyBorder="1" applyAlignment="1">
      <alignment horizontal="right" vertical="center"/>
    </xf>
    <xf numFmtId="178" fontId="33" fillId="0" borderId="3" xfId="12" applyNumberFormat="1" applyFont="1" applyFill="1" applyBorder="1" applyAlignment="1">
      <alignment horizontal="right" vertical="center" shrinkToFit="1"/>
    </xf>
    <xf numFmtId="41" fontId="62" fillId="0" borderId="28" xfId="12" applyNumberFormat="1" applyFont="1" applyFill="1" applyBorder="1" applyAlignment="1">
      <alignment vertical="center"/>
    </xf>
    <xf numFmtId="41" fontId="62" fillId="0" borderId="31" xfId="12" applyNumberFormat="1" applyFont="1" applyFill="1" applyBorder="1" applyAlignment="1">
      <alignment vertical="center"/>
    </xf>
    <xf numFmtId="0" fontId="55" fillId="0" borderId="0" xfId="12" applyNumberFormat="1" applyFont="1" applyFill="1" applyBorder="1" applyAlignment="1">
      <alignment vertical="center"/>
    </xf>
    <xf numFmtId="0" fontId="34" fillId="0" borderId="0" xfId="5" applyNumberFormat="1" applyFont="1" applyAlignment="1">
      <alignment vertical="center"/>
    </xf>
    <xf numFmtId="3" fontId="55" fillId="0" borderId="10" xfId="5" applyNumberFormat="1" applyFont="1" applyFill="1" applyBorder="1" applyAlignment="1">
      <alignment horizontal="right" vertical="center" wrapText="1"/>
    </xf>
    <xf numFmtId="178" fontId="33" fillId="0" borderId="0" xfId="5" applyNumberFormat="1" applyFont="1" applyFill="1" applyBorder="1" applyAlignment="1">
      <alignment vertical="center"/>
    </xf>
    <xf numFmtId="0" fontId="33" fillId="0" borderId="0" xfId="5" applyNumberFormat="1" applyFont="1" applyAlignment="1">
      <alignment vertical="center"/>
    </xf>
    <xf numFmtId="0" fontId="55" fillId="0" borderId="131" xfId="5" applyFont="1" applyFill="1" applyBorder="1" applyAlignment="1">
      <alignment vertical="center"/>
    </xf>
    <xf numFmtId="176" fontId="55" fillId="0" borderId="7" xfId="12" applyNumberFormat="1" applyFont="1" applyBorder="1" applyAlignment="1">
      <alignment vertical="center"/>
    </xf>
    <xf numFmtId="176" fontId="55" fillId="0" borderId="29" xfId="12" applyNumberFormat="1" applyFont="1" applyBorder="1" applyAlignment="1">
      <alignment vertical="center"/>
    </xf>
    <xf numFmtId="0" fontId="55" fillId="0" borderId="2" xfId="5" applyFont="1" applyBorder="1" applyAlignment="1">
      <alignment vertical="center"/>
    </xf>
    <xf numFmtId="176" fontId="55" fillId="0" borderId="2" xfId="12" applyNumberFormat="1" applyFont="1" applyBorder="1" applyAlignment="1">
      <alignment vertical="center"/>
    </xf>
    <xf numFmtId="41" fontId="54" fillId="0" borderId="11" xfId="12" applyFont="1" applyFill="1" applyBorder="1" applyAlignment="1">
      <alignment horizontal="right" vertical="center"/>
    </xf>
    <xf numFmtId="0" fontId="55" fillId="0" borderId="3" xfId="5" applyFont="1" applyBorder="1" applyAlignment="1">
      <alignment vertical="center"/>
    </xf>
    <xf numFmtId="176" fontId="55" fillId="5" borderId="7" xfId="12" applyNumberFormat="1" applyFont="1" applyFill="1" applyBorder="1" applyAlignment="1">
      <alignment horizontal="right" vertical="center"/>
    </xf>
    <xf numFmtId="0" fontId="55" fillId="0" borderId="12" xfId="5" applyNumberFormat="1" applyFont="1" applyFill="1" applyBorder="1" applyAlignment="1">
      <alignment horizontal="justify" vertical="center" wrapText="1"/>
    </xf>
    <xf numFmtId="0" fontId="55" fillId="0" borderId="0" xfId="5" applyNumberFormat="1" applyFont="1" applyFill="1" applyBorder="1" applyAlignment="1">
      <alignment horizontal="justify" vertical="center" wrapText="1"/>
    </xf>
    <xf numFmtId="0" fontId="34" fillId="5" borderId="6" xfId="12" applyNumberFormat="1" applyFont="1" applyFill="1" applyBorder="1" applyAlignment="1">
      <alignment horizontal="center" vertical="center"/>
    </xf>
    <xf numFmtId="41" fontId="34" fillId="5" borderId="16" xfId="12" applyFont="1" applyFill="1" applyBorder="1" applyAlignment="1">
      <alignment vertical="center"/>
    </xf>
    <xf numFmtId="178" fontId="71" fillId="0" borderId="0" xfId="11" applyNumberFormat="1" applyFont="1" applyAlignment="1">
      <alignment vertical="center"/>
    </xf>
    <xf numFmtId="177" fontId="33" fillId="0" borderId="0" xfId="11" applyNumberFormat="1" applyFont="1" applyAlignment="1">
      <alignment vertical="center" shrinkToFit="1"/>
    </xf>
    <xf numFmtId="178" fontId="33" fillId="0" borderId="0" xfId="11" applyNumberFormat="1" applyFont="1" applyAlignment="1">
      <alignment vertical="center" shrinkToFit="1"/>
    </xf>
    <xf numFmtId="188" fontId="33" fillId="0" borderId="0" xfId="11" applyNumberFormat="1" applyFont="1" applyAlignment="1">
      <alignment vertical="center"/>
    </xf>
    <xf numFmtId="0" fontId="34" fillId="5" borderId="5" xfId="11" applyFont="1" applyFill="1" applyBorder="1" applyAlignment="1">
      <alignment vertical="center" shrinkToFit="1"/>
    </xf>
    <xf numFmtId="0" fontId="34" fillId="5" borderId="5" xfId="11" quotePrefix="1" applyFont="1" applyFill="1" applyBorder="1" applyAlignment="1">
      <alignment horizontal="center" vertical="center"/>
    </xf>
    <xf numFmtId="41" fontId="34" fillId="5" borderId="131" xfId="12" applyFont="1" applyFill="1" applyBorder="1" applyAlignment="1">
      <alignment vertical="center"/>
    </xf>
    <xf numFmtId="41" fontId="54" fillId="5" borderId="10" xfId="12" applyFont="1" applyFill="1" applyBorder="1" applyAlignment="1">
      <alignment vertical="center"/>
    </xf>
    <xf numFmtId="178" fontId="55" fillId="0" borderId="0" xfId="11" applyNumberFormat="1" applyFont="1" applyAlignment="1">
      <alignment vertical="center" shrinkToFit="1"/>
    </xf>
    <xf numFmtId="41" fontId="55" fillId="5" borderId="10" xfId="12" applyFont="1" applyFill="1" applyBorder="1" applyAlignment="1">
      <alignment vertical="center" shrinkToFit="1"/>
    </xf>
    <xf numFmtId="41" fontId="55" fillId="5" borderId="10" xfId="12" applyFont="1" applyFill="1" applyBorder="1" applyAlignment="1">
      <alignment horizontal="left" vertical="center"/>
    </xf>
    <xf numFmtId="41" fontId="54" fillId="5" borderId="18" xfId="12" applyFont="1" applyFill="1" applyBorder="1" applyAlignment="1">
      <alignment vertical="center"/>
    </xf>
    <xf numFmtId="41" fontId="34" fillId="5" borderId="131" xfId="12" applyFont="1" applyFill="1" applyBorder="1" applyAlignment="1">
      <alignment horizontal="left" vertical="center"/>
    </xf>
    <xf numFmtId="0" fontId="55" fillId="5" borderId="30" xfId="11" applyFont="1" applyFill="1" applyBorder="1" applyAlignment="1">
      <alignment vertical="center"/>
    </xf>
    <xf numFmtId="178" fontId="34" fillId="0" borderId="0" xfId="11" applyNumberFormat="1" applyFont="1" applyAlignment="1">
      <alignment horizontal="center" vertical="center" shrinkToFit="1"/>
    </xf>
    <xf numFmtId="177" fontId="34" fillId="0" borderId="0" xfId="11" applyNumberFormat="1" applyFont="1" applyAlignment="1">
      <alignment horizontal="center" vertical="center"/>
    </xf>
    <xf numFmtId="41" fontId="55" fillId="0" borderId="12" xfId="12" applyFont="1" applyBorder="1" applyAlignment="1">
      <alignment vertical="center"/>
    </xf>
    <xf numFmtId="178" fontId="55" fillId="0" borderId="10" xfId="12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center" vertical="center" shrinkToFit="1"/>
    </xf>
    <xf numFmtId="0" fontId="54" fillId="0" borderId="1" xfId="2" applyNumberFormat="1" applyFont="1" applyFill="1" applyBorder="1" applyAlignment="1">
      <alignment horizontal="center" vertical="center" shrinkToFit="1"/>
    </xf>
    <xf numFmtId="176" fontId="54" fillId="0" borderId="23" xfId="3" applyNumberFormat="1" applyFont="1" applyFill="1" applyBorder="1" applyAlignment="1">
      <alignment horizontal="right" vertical="center"/>
    </xf>
    <xf numFmtId="0" fontId="54" fillId="0" borderId="22" xfId="2" applyNumberFormat="1" applyFont="1" applyFill="1" applyBorder="1" applyAlignment="1">
      <alignment horizontal="left" vertical="center" shrinkToFit="1"/>
    </xf>
    <xf numFmtId="0" fontId="54" fillId="0" borderId="22" xfId="2" applyNumberFormat="1" applyFont="1" applyFill="1" applyBorder="1" applyAlignment="1">
      <alignment horizontal="center" vertical="center"/>
    </xf>
    <xf numFmtId="41" fontId="54" fillId="0" borderId="24" xfId="3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horizontal="center" vertical="center"/>
    </xf>
    <xf numFmtId="178" fontId="12" fillId="0" borderId="0" xfId="2" applyNumberFormat="1" applyFont="1" applyFill="1" applyBorder="1" applyAlignment="1">
      <alignment horizontal="center" vertical="center"/>
    </xf>
    <xf numFmtId="10" fontId="12" fillId="0" borderId="0" xfId="3" applyNumberFormat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 shrinkToFit="1"/>
    </xf>
    <xf numFmtId="178" fontId="12" fillId="0" borderId="0" xfId="2" applyNumberFormat="1" applyFont="1" applyFill="1" applyBorder="1" applyAlignment="1">
      <alignment vertical="center"/>
    </xf>
    <xf numFmtId="41" fontId="55" fillId="0" borderId="0" xfId="12" applyFont="1" applyBorder="1" applyAlignment="1">
      <alignment horizontal="center" vertical="center"/>
    </xf>
    <xf numFmtId="41" fontId="71" fillId="0" borderId="0" xfId="12" applyFont="1" applyAlignment="1">
      <alignment horizontal="center" vertical="center"/>
    </xf>
    <xf numFmtId="0" fontId="40" fillId="0" borderId="36" xfId="9" applyFont="1" applyBorder="1" applyAlignment="1">
      <alignment horizontal="center" vertical="center"/>
    </xf>
    <xf numFmtId="41" fontId="40" fillId="0" borderId="170" xfId="10" applyFont="1" applyBorder="1" applyAlignment="1">
      <alignment horizontal="center" vertical="center"/>
    </xf>
    <xf numFmtId="0" fontId="40" fillId="0" borderId="125" xfId="9" applyFont="1" applyBorder="1" applyAlignment="1">
      <alignment horizontal="center" vertical="center"/>
    </xf>
    <xf numFmtId="0" fontId="40" fillId="0" borderId="34" xfId="9" applyFont="1" applyBorder="1" applyAlignment="1">
      <alignment horizontal="center" vertical="center"/>
    </xf>
    <xf numFmtId="41" fontId="40" fillId="0" borderId="38" xfId="10" applyFont="1" applyBorder="1" applyAlignment="1">
      <alignment horizontal="center" vertical="center"/>
    </xf>
    <xf numFmtId="176" fontId="51" fillId="5" borderId="23" xfId="12" applyNumberFormat="1" applyFont="1" applyFill="1" applyBorder="1" applyAlignment="1">
      <alignment vertical="center"/>
    </xf>
    <xf numFmtId="176" fontId="51" fillId="5" borderId="8" xfId="12" applyNumberFormat="1" applyFont="1" applyFill="1" applyBorder="1" applyAlignment="1">
      <alignment vertical="center"/>
    </xf>
    <xf numFmtId="176" fontId="51" fillId="5" borderId="7" xfId="12" applyNumberFormat="1" applyFont="1" applyFill="1" applyBorder="1" applyAlignment="1">
      <alignment vertical="center"/>
    </xf>
    <xf numFmtId="176" fontId="51" fillId="5" borderId="3" xfId="12" applyNumberFormat="1" applyFont="1" applyFill="1" applyBorder="1" applyAlignment="1">
      <alignment vertical="center"/>
    </xf>
    <xf numFmtId="0" fontId="107" fillId="0" borderId="0" xfId="0" applyNumberFormat="1" applyFont="1">
      <alignment vertical="center"/>
    </xf>
    <xf numFmtId="182" fontId="51" fillId="5" borderId="23" xfId="12" applyNumberFormat="1" applyFont="1" applyFill="1" applyBorder="1" applyAlignment="1">
      <alignment vertical="center"/>
    </xf>
    <xf numFmtId="176" fontId="51" fillId="39" borderId="7" xfId="12" applyNumberFormat="1" applyFont="1" applyFill="1" applyBorder="1" applyAlignment="1">
      <alignment vertical="center"/>
    </xf>
    <xf numFmtId="176" fontId="51" fillId="40" borderId="7" xfId="12" applyNumberFormat="1" applyFont="1" applyFill="1" applyBorder="1" applyAlignment="1">
      <alignment vertical="center"/>
    </xf>
    <xf numFmtId="176" fontId="51" fillId="38" borderId="7" xfId="12" applyNumberFormat="1" applyFont="1" applyFill="1" applyBorder="1" applyAlignment="1">
      <alignment vertical="center"/>
    </xf>
    <xf numFmtId="176" fontId="51" fillId="41" borderId="7" xfId="12" applyNumberFormat="1" applyFont="1" applyFill="1" applyBorder="1" applyAlignment="1">
      <alignment vertical="center"/>
    </xf>
    <xf numFmtId="176" fontId="51" fillId="5" borderId="38" xfId="12" applyNumberFormat="1" applyFont="1" applyFill="1" applyBorder="1" applyAlignment="1">
      <alignment horizontal="right" vertical="center" shrinkToFit="1"/>
    </xf>
    <xf numFmtId="176" fontId="51" fillId="5" borderId="39" xfId="12" applyNumberFormat="1" applyFont="1" applyFill="1" applyBorder="1" applyAlignment="1">
      <alignment horizontal="right" vertical="center" shrinkToFit="1"/>
    </xf>
    <xf numFmtId="176" fontId="51" fillId="39" borderId="39" xfId="12" applyNumberFormat="1" applyFont="1" applyFill="1" applyBorder="1" applyAlignment="1">
      <alignment horizontal="right" vertical="center" shrinkToFit="1"/>
    </xf>
    <xf numFmtId="176" fontId="34" fillId="5" borderId="39" xfId="12" applyNumberFormat="1" applyFont="1" applyFill="1" applyBorder="1" applyAlignment="1">
      <alignment horizontal="right" vertical="center" shrinkToFit="1"/>
    </xf>
    <xf numFmtId="176" fontId="34" fillId="5" borderId="120" xfId="12" applyNumberFormat="1" applyFont="1" applyFill="1" applyBorder="1" applyAlignment="1">
      <alignment vertical="center"/>
    </xf>
    <xf numFmtId="176" fontId="51" fillId="40" borderId="39" xfId="12" applyNumberFormat="1" applyFont="1" applyFill="1" applyBorder="1" applyAlignment="1">
      <alignment horizontal="right" vertical="center" shrinkToFit="1"/>
    </xf>
    <xf numFmtId="176" fontId="34" fillId="5" borderId="39" xfId="12" applyNumberFormat="1" applyFont="1" applyFill="1" applyBorder="1" applyAlignment="1">
      <alignment vertical="center"/>
    </xf>
    <xf numFmtId="176" fontId="51" fillId="38" borderId="39" xfId="12" applyNumberFormat="1" applyFont="1" applyFill="1" applyBorder="1" applyAlignment="1">
      <alignment horizontal="right" vertical="center" shrinkToFit="1"/>
    </xf>
    <xf numFmtId="176" fontId="51" fillId="41" borderId="39" xfId="12" applyNumberFormat="1" applyFont="1" applyFill="1" applyBorder="1" applyAlignment="1">
      <alignment horizontal="right" vertical="center" shrinkToFit="1"/>
    </xf>
    <xf numFmtId="176" fontId="51" fillId="5" borderId="120" xfId="12" applyNumberFormat="1" applyFont="1" applyFill="1" applyBorder="1" applyAlignment="1">
      <alignment horizontal="right" vertical="center" shrinkToFit="1"/>
    </xf>
    <xf numFmtId="176" fontId="34" fillId="5" borderId="81" xfId="12" applyNumberFormat="1" applyFont="1" applyFill="1" applyBorder="1" applyAlignment="1">
      <alignment horizontal="right" vertical="center" shrinkToFit="1"/>
    </xf>
    <xf numFmtId="176" fontId="51" fillId="0" borderId="39" xfId="12" applyNumberFormat="1" applyFont="1" applyFill="1" applyBorder="1" applyAlignment="1">
      <alignment horizontal="right" vertical="center" shrinkToFit="1"/>
    </xf>
    <xf numFmtId="176" fontId="34" fillId="0" borderId="120" xfId="12" applyNumberFormat="1" applyFont="1" applyFill="1" applyBorder="1" applyAlignment="1">
      <alignment vertical="center"/>
    </xf>
    <xf numFmtId="0" fontId="14" fillId="0" borderId="0" xfId="0" applyNumberFormat="1" applyFont="1">
      <alignment vertical="center"/>
    </xf>
    <xf numFmtId="0" fontId="107" fillId="0" borderId="0" xfId="0" applyNumberFormat="1" applyFont="1" applyFill="1">
      <alignment vertical="center"/>
    </xf>
    <xf numFmtId="179" fontId="33" fillId="0" borderId="58" xfId="10" applyNumberFormat="1" applyFont="1" applyBorder="1" applyAlignment="1">
      <alignment horizontal="right" vertical="center"/>
    </xf>
    <xf numFmtId="187" fontId="40" fillId="0" borderId="80" xfId="9" applyNumberFormat="1" applyFont="1" applyBorder="1" applyAlignment="1">
      <alignment horizontal="center" vertical="center"/>
    </xf>
    <xf numFmtId="0" fontId="40" fillId="0" borderId="81" xfId="9" applyFont="1" applyBorder="1" applyAlignment="1">
      <alignment horizontal="center" vertical="center"/>
    </xf>
    <xf numFmtId="177" fontId="34" fillId="5" borderId="32" xfId="0" applyNumberFormat="1" applyFont="1" applyFill="1" applyBorder="1" applyAlignment="1">
      <alignment horizontal="left" vertical="center"/>
    </xf>
    <xf numFmtId="0" fontId="51" fillId="5" borderId="22" xfId="11" applyFont="1" applyFill="1" applyBorder="1" applyAlignment="1">
      <alignment vertical="center"/>
    </xf>
    <xf numFmtId="0" fontId="51" fillId="5" borderId="34" xfId="11" applyFont="1" applyFill="1" applyBorder="1" applyAlignment="1">
      <alignment vertical="center"/>
    </xf>
    <xf numFmtId="0" fontId="8" fillId="6" borderId="125" xfId="2" applyNumberFormat="1" applyFont="1" applyFill="1" applyBorder="1" applyAlignment="1">
      <alignment horizontal="center" vertical="center"/>
    </xf>
    <xf numFmtId="176" fontId="54" fillId="6" borderId="130" xfId="12" applyNumberFormat="1" applyFont="1" applyFill="1" applyBorder="1" applyAlignment="1">
      <alignment horizontal="right" vertical="center" wrapText="1"/>
    </xf>
    <xf numFmtId="176" fontId="64" fillId="6" borderId="130" xfId="12" applyNumberFormat="1" applyFont="1" applyFill="1" applyBorder="1" applyAlignment="1">
      <alignment horizontal="right" vertical="center"/>
    </xf>
    <xf numFmtId="41" fontId="62" fillId="6" borderId="65" xfId="11" applyNumberFormat="1" applyFont="1" applyFill="1" applyBorder="1" applyAlignment="1">
      <alignment horizontal="center" vertical="center"/>
    </xf>
    <xf numFmtId="0" fontId="9" fillId="0" borderId="37" xfId="2" applyNumberFormat="1" applyFont="1" applyFill="1" applyBorder="1" applyAlignment="1">
      <alignment vertical="center"/>
    </xf>
    <xf numFmtId="0" fontId="9" fillId="0" borderId="22" xfId="2" applyNumberFormat="1" applyFont="1" applyFill="1" applyBorder="1" applyAlignment="1">
      <alignment vertical="center"/>
    </xf>
    <xf numFmtId="0" fontId="9" fillId="0" borderId="34" xfId="2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/>
    </xf>
    <xf numFmtId="0" fontId="8" fillId="0" borderId="0" xfId="2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>
      <alignment horizontal="right" vertical="center"/>
    </xf>
    <xf numFmtId="0" fontId="8" fillId="0" borderId="0" xfId="2" applyNumberFormat="1" applyFont="1" applyFill="1" applyBorder="1" applyAlignment="1">
      <alignment vertical="center"/>
    </xf>
    <xf numFmtId="0" fontId="9" fillId="0" borderId="25" xfId="2" applyNumberFormat="1" applyFont="1" applyFill="1" applyBorder="1" applyAlignment="1">
      <alignment vertical="center"/>
    </xf>
    <xf numFmtId="0" fontId="9" fillId="0" borderId="6" xfId="2" applyNumberFormat="1" applyFont="1" applyFill="1" applyBorder="1" applyAlignment="1">
      <alignment vertical="center"/>
    </xf>
    <xf numFmtId="0" fontId="9" fillId="0" borderId="32" xfId="2" applyNumberFormat="1" applyFont="1" applyFill="1" applyBorder="1" applyAlignment="1">
      <alignment vertical="center"/>
    </xf>
    <xf numFmtId="176" fontId="54" fillId="0" borderId="7" xfId="3" applyNumberFormat="1" applyFont="1" applyFill="1" applyBorder="1" applyAlignment="1">
      <alignment vertical="center"/>
    </xf>
    <xf numFmtId="41" fontId="55" fillId="0" borderId="0" xfId="3" applyNumberFormat="1" applyFont="1" applyFill="1" applyBorder="1" applyAlignment="1">
      <alignment horizontal="center" vertical="center"/>
    </xf>
    <xf numFmtId="0" fontId="9" fillId="0" borderId="171" xfId="2" applyNumberFormat="1" applyFont="1" applyFill="1" applyBorder="1" applyAlignment="1">
      <alignment vertical="center"/>
    </xf>
    <xf numFmtId="0" fontId="9" fillId="0" borderId="3" xfId="2" applyNumberFormat="1" applyFont="1" applyFill="1" applyBorder="1" applyAlignment="1">
      <alignment vertical="center"/>
    </xf>
    <xf numFmtId="178" fontId="34" fillId="0" borderId="0" xfId="5" applyNumberFormat="1" applyFont="1" applyFill="1" applyBorder="1" applyAlignment="1">
      <alignment vertical="center"/>
    </xf>
    <xf numFmtId="0" fontId="55" fillId="0" borderId="12" xfId="5" quotePrefix="1" applyFont="1" applyFill="1" applyBorder="1" applyAlignment="1">
      <alignment horizontal="justify" vertical="center" wrapText="1"/>
    </xf>
    <xf numFmtId="0" fontId="8" fillId="0" borderId="0" xfId="5" quotePrefix="1" applyFont="1" applyFill="1" applyBorder="1" applyAlignment="1">
      <alignment horizontal="justify" vertical="center"/>
    </xf>
    <xf numFmtId="0" fontId="55" fillId="0" borderId="131" xfId="5" applyFont="1" applyFill="1" applyBorder="1" applyAlignment="1">
      <alignment horizontal="justify" vertical="center" wrapText="1"/>
    </xf>
    <xf numFmtId="0" fontId="34" fillId="0" borderId="0" xfId="5" applyFont="1" applyFill="1" applyAlignment="1"/>
    <xf numFmtId="0" fontId="55" fillId="0" borderId="0" xfId="5" applyFont="1" applyFill="1" applyBorder="1" applyAlignment="1">
      <alignment horizontal="center" vertical="center"/>
    </xf>
    <xf numFmtId="0" fontId="62" fillId="0" borderId="131" xfId="5" applyNumberFormat="1" applyFont="1" applyFill="1" applyBorder="1" applyAlignment="1">
      <alignment vertical="center"/>
    </xf>
    <xf numFmtId="0" fontId="34" fillId="0" borderId="131" xfId="5" applyFont="1" applyFill="1" applyBorder="1" applyAlignment="1">
      <alignment vertical="center"/>
    </xf>
    <xf numFmtId="0" fontId="55" fillId="0" borderId="5" xfId="5" applyFont="1" applyFill="1" applyBorder="1" applyAlignment="1">
      <alignment horizontal="center" vertical="center"/>
    </xf>
    <xf numFmtId="0" fontId="54" fillId="0" borderId="0" xfId="5" applyNumberFormat="1" applyFont="1" applyFill="1" applyBorder="1" applyAlignment="1">
      <alignment horizontal="center" vertical="center"/>
    </xf>
    <xf numFmtId="0" fontId="34" fillId="0" borderId="131" xfId="5" applyNumberFormat="1" applyFont="1" applyFill="1" applyBorder="1" applyAlignment="1">
      <alignment horizontal="left" vertical="center" wrapText="1"/>
    </xf>
    <xf numFmtId="0" fontId="34" fillId="0" borderId="131" xfId="5" applyNumberFormat="1" applyFont="1" applyFill="1" applyBorder="1" applyAlignment="1">
      <alignment vertical="center" wrapText="1"/>
    </xf>
    <xf numFmtId="0" fontId="34" fillId="0" borderId="131" xfId="5" applyNumberFormat="1" applyFont="1" applyFill="1" applyBorder="1" applyAlignment="1">
      <alignment horizontal="justify" vertical="center" wrapText="1"/>
    </xf>
    <xf numFmtId="0" fontId="55" fillId="0" borderId="0" xfId="5" applyNumberFormat="1" applyFont="1" applyFill="1" applyBorder="1" applyAlignment="1">
      <alignment horizontal="center" vertical="center"/>
    </xf>
    <xf numFmtId="0" fontId="55" fillId="0" borderId="131" xfId="5" applyNumberFormat="1" applyFont="1" applyFill="1" applyBorder="1" applyAlignment="1">
      <alignment horizontal="justify" vertical="center" wrapText="1"/>
    </xf>
    <xf numFmtId="0" fontId="55" fillId="0" borderId="131" xfId="5" applyNumberFormat="1" applyFont="1" applyFill="1" applyBorder="1" applyAlignment="1">
      <alignment horizontal="left" vertical="center" wrapText="1"/>
    </xf>
    <xf numFmtId="0" fontId="8" fillId="0" borderId="131" xfId="5" applyNumberFormat="1" applyFont="1" applyFill="1" applyBorder="1" applyAlignment="1">
      <alignment horizontal="left" vertical="center" wrapText="1"/>
    </xf>
    <xf numFmtId="0" fontId="55" fillId="0" borderId="5" xfId="5" applyNumberFormat="1" applyFont="1" applyFill="1" applyBorder="1" applyAlignment="1">
      <alignment horizontal="center" vertical="center"/>
    </xf>
    <xf numFmtId="0" fontId="8" fillId="0" borderId="134" xfId="5" applyNumberFormat="1" applyFont="1" applyFill="1" applyBorder="1" applyAlignment="1">
      <alignment horizontal="left" vertical="center" wrapText="1"/>
    </xf>
    <xf numFmtId="0" fontId="62" fillId="0" borderId="2" xfId="11" applyNumberFormat="1" applyFont="1" applyFill="1" applyBorder="1" applyAlignment="1">
      <alignment vertical="top"/>
    </xf>
    <xf numFmtId="0" fontId="55" fillId="0" borderId="0" xfId="5" applyFont="1" applyFill="1" applyBorder="1" applyAlignment="1">
      <alignment horizontal="left" vertical="center" shrinkToFit="1"/>
    </xf>
    <xf numFmtId="0" fontId="34" fillId="0" borderId="1" xfId="5" applyFont="1" applyFill="1" applyBorder="1" applyAlignment="1">
      <alignment horizontal="center" vertical="center"/>
    </xf>
    <xf numFmtId="0" fontId="55" fillId="0" borderId="6" xfId="3" applyNumberFormat="1" applyFont="1" applyFill="1" applyBorder="1" applyAlignment="1">
      <alignment horizontal="left" vertical="center"/>
    </xf>
    <xf numFmtId="41" fontId="55" fillId="0" borderId="6" xfId="3" applyNumberFormat="1" applyFont="1" applyFill="1" applyBorder="1" applyAlignment="1">
      <alignment horizontal="center" vertical="center"/>
    </xf>
    <xf numFmtId="41" fontId="55" fillId="0" borderId="16" xfId="3" applyNumberFormat="1" applyFont="1" applyFill="1" applyBorder="1" applyAlignment="1">
      <alignment horizontal="right" vertical="center"/>
    </xf>
    <xf numFmtId="0" fontId="34" fillId="0" borderId="0" xfId="5" applyFont="1" applyBorder="1" applyAlignment="1">
      <alignment vertical="center"/>
    </xf>
    <xf numFmtId="0" fontId="55" fillId="5" borderId="12" xfId="11" applyFont="1" applyFill="1" applyBorder="1" applyAlignment="1">
      <alignment vertical="center"/>
    </xf>
    <xf numFmtId="0" fontId="55" fillId="0" borderId="12" xfId="5" applyFont="1" applyFill="1" applyBorder="1" applyAlignment="1">
      <alignment horizontal="justify" vertical="center"/>
    </xf>
    <xf numFmtId="176" fontId="55" fillId="0" borderId="8" xfId="12" applyNumberFormat="1" applyFont="1" applyBorder="1" applyAlignment="1">
      <alignment vertical="center"/>
    </xf>
    <xf numFmtId="178" fontId="55" fillId="0" borderId="25" xfId="5" applyNumberFormat="1" applyFont="1" applyFill="1" applyBorder="1" applyAlignment="1">
      <alignment vertical="center" shrinkToFit="1"/>
    </xf>
    <xf numFmtId="0" fontId="55" fillId="0" borderId="0" xfId="5" applyFont="1" applyBorder="1" applyAlignment="1">
      <alignment horizontal="center" vertical="center" shrinkToFit="1"/>
    </xf>
    <xf numFmtId="0" fontId="13" fillId="0" borderId="2" xfId="5" applyFont="1" applyBorder="1" applyAlignment="1">
      <alignment vertical="center"/>
    </xf>
    <xf numFmtId="176" fontId="55" fillId="0" borderId="2" xfId="12" applyNumberFormat="1" applyFont="1" applyBorder="1" applyAlignment="1">
      <alignment horizontal="right" vertical="center"/>
    </xf>
    <xf numFmtId="0" fontId="34" fillId="0" borderId="2" xfId="5" applyFont="1" applyBorder="1" applyAlignment="1">
      <alignment vertical="center"/>
    </xf>
    <xf numFmtId="0" fontId="55" fillId="6" borderId="10" xfId="5" applyFont="1" applyFill="1" applyBorder="1" applyAlignment="1">
      <alignment horizontal="justify" vertical="center" wrapText="1"/>
    </xf>
    <xf numFmtId="0" fontId="55" fillId="0" borderId="10" xfId="5" applyFont="1" applyBorder="1" applyAlignment="1">
      <alignment horizontal="justify" vertical="center" wrapText="1"/>
    </xf>
    <xf numFmtId="0" fontId="55" fillId="0" borderId="18" xfId="5" applyFont="1" applyBorder="1" applyAlignment="1">
      <alignment horizontal="justify" vertical="center" wrapText="1"/>
    </xf>
    <xf numFmtId="0" fontId="55" fillId="0" borderId="31" xfId="5" applyFont="1" applyBorder="1" applyAlignment="1">
      <alignment horizontal="justify" vertical="center" wrapText="1"/>
    </xf>
    <xf numFmtId="0" fontId="13" fillId="0" borderId="11" xfId="5" applyFont="1" applyBorder="1" applyAlignment="1">
      <alignment vertical="center" shrinkToFit="1"/>
    </xf>
    <xf numFmtId="0" fontId="13" fillId="0" borderId="29" xfId="5" applyFont="1" applyBorder="1" applyAlignment="1">
      <alignment vertical="center"/>
    </xf>
    <xf numFmtId="0" fontId="55" fillId="0" borderId="12" xfId="5" applyFont="1" applyBorder="1" applyAlignment="1">
      <alignment horizontal="left" vertical="center" shrinkToFit="1"/>
    </xf>
    <xf numFmtId="0" fontId="55" fillId="0" borderId="0" xfId="5" applyFont="1" applyBorder="1" applyAlignment="1">
      <alignment horizontal="center" vertical="center"/>
    </xf>
    <xf numFmtId="0" fontId="13" fillId="0" borderId="8" xfId="5" applyFont="1" applyBorder="1" applyAlignment="1">
      <alignment vertical="center"/>
    </xf>
    <xf numFmtId="0" fontId="13" fillId="0" borderId="9" xfId="5" applyFont="1" applyBorder="1" applyAlignment="1">
      <alignment vertical="center"/>
    </xf>
    <xf numFmtId="0" fontId="55" fillId="0" borderId="4" xfId="5" applyFont="1" applyFill="1" applyBorder="1" applyAlignment="1">
      <alignment horizontal="left" vertical="center" shrinkToFit="1"/>
    </xf>
    <xf numFmtId="0" fontId="55" fillId="0" borderId="4" xfId="5" applyFont="1" applyFill="1" applyBorder="1" applyAlignment="1">
      <alignment vertical="center"/>
    </xf>
    <xf numFmtId="0" fontId="55" fillId="0" borderId="8" xfId="5" applyFont="1" applyFill="1" applyBorder="1" applyAlignment="1">
      <alignment vertical="center"/>
    </xf>
    <xf numFmtId="0" fontId="54" fillId="0" borderId="4" xfId="5" applyFont="1" applyFill="1" applyBorder="1" applyAlignment="1">
      <alignment vertical="center"/>
    </xf>
    <xf numFmtId="41" fontId="55" fillId="0" borderId="22" xfId="3" applyNumberFormat="1" applyFont="1" applyFill="1" applyBorder="1" applyAlignment="1">
      <alignment horizontal="left" vertical="center"/>
    </xf>
    <xf numFmtId="41" fontId="55" fillId="0" borderId="22" xfId="3" applyNumberFormat="1" applyFont="1" applyFill="1" applyBorder="1" applyAlignment="1">
      <alignment horizontal="center" vertical="center"/>
    </xf>
    <xf numFmtId="41" fontId="55" fillId="0" borderId="24" xfId="3" applyNumberFormat="1" applyFont="1" applyFill="1" applyBorder="1" applyAlignment="1">
      <alignment horizontal="right" vertical="center"/>
    </xf>
    <xf numFmtId="0" fontId="8" fillId="0" borderId="29" xfId="2" applyNumberFormat="1" applyFont="1" applyFill="1" applyBorder="1" applyAlignment="1">
      <alignment vertical="center"/>
    </xf>
    <xf numFmtId="0" fontId="8" fillId="0" borderId="25" xfId="2" applyNumberFormat="1" applyFont="1" applyFill="1" applyBorder="1" applyAlignment="1">
      <alignment vertical="center"/>
    </xf>
    <xf numFmtId="0" fontId="8" fillId="0" borderId="32" xfId="2" applyNumberFormat="1" applyFont="1" applyFill="1" applyBorder="1" applyAlignment="1">
      <alignment vertical="center"/>
    </xf>
    <xf numFmtId="0" fontId="8" fillId="0" borderId="12" xfId="2" applyNumberFormat="1" applyFont="1" applyFill="1" applyBorder="1" applyAlignment="1">
      <alignment vertical="center"/>
    </xf>
    <xf numFmtId="0" fontId="34" fillId="5" borderId="0" xfId="11" applyFont="1" applyFill="1" applyAlignment="1">
      <alignment vertical="center"/>
    </xf>
    <xf numFmtId="0" fontId="55" fillId="0" borderId="29" xfId="11" applyFont="1" applyFill="1" applyBorder="1" applyAlignment="1">
      <alignment vertical="center"/>
    </xf>
    <xf numFmtId="0" fontId="55" fillId="0" borderId="1" xfId="3" applyNumberFormat="1" applyFont="1" applyFill="1" applyBorder="1" applyAlignment="1">
      <alignment horizontal="left" vertical="center"/>
    </xf>
    <xf numFmtId="41" fontId="55" fillId="0" borderId="1" xfId="3" applyNumberFormat="1" applyFont="1" applyFill="1" applyBorder="1" applyAlignment="1">
      <alignment horizontal="center" vertical="center"/>
    </xf>
    <xf numFmtId="0" fontId="9" fillId="0" borderId="33" xfId="2" applyNumberFormat="1" applyFont="1" applyFill="1" applyBorder="1" applyAlignment="1">
      <alignment vertical="center"/>
    </xf>
    <xf numFmtId="0" fontId="9" fillId="0" borderId="172" xfId="2" applyNumberFormat="1" applyFont="1" applyFill="1" applyBorder="1" applyAlignment="1">
      <alignment vertical="center"/>
    </xf>
    <xf numFmtId="0" fontId="9" fillId="0" borderId="173" xfId="2" applyNumberFormat="1" applyFont="1" applyFill="1" applyBorder="1" applyAlignment="1">
      <alignment vertical="center"/>
    </xf>
    <xf numFmtId="0" fontId="8" fillId="0" borderId="0" xfId="5" applyNumberFormat="1" applyFont="1" applyAlignment="1">
      <alignment horizontal="center"/>
    </xf>
    <xf numFmtId="0" fontId="14" fillId="0" borderId="0" xfId="5" applyNumberFormat="1" applyFont="1" applyFill="1" applyBorder="1" applyAlignment="1"/>
    <xf numFmtId="0" fontId="14" fillId="0" borderId="0" xfId="5" applyNumberFormat="1" applyBorder="1" applyAlignment="1">
      <alignment horizontal="center"/>
    </xf>
    <xf numFmtId="0" fontId="14" fillId="0" borderId="0" xfId="5" applyNumberFormat="1" applyBorder="1" applyAlignment="1"/>
    <xf numFmtId="0" fontId="7" fillId="0" borderId="0" xfId="5" applyNumberFormat="1" applyFont="1" applyFill="1" applyBorder="1" applyAlignment="1">
      <alignment horizontal="center"/>
    </xf>
    <xf numFmtId="41" fontId="7" fillId="0" borderId="0" xfId="5" applyNumberFormat="1" applyFont="1" applyFill="1" applyBorder="1" applyAlignment="1">
      <alignment horizontal="center"/>
    </xf>
    <xf numFmtId="176" fontId="55" fillId="0" borderId="2" xfId="5" applyNumberFormat="1" applyFont="1" applyFill="1" applyBorder="1" applyAlignment="1"/>
    <xf numFmtId="0" fontId="34" fillId="0" borderId="0" xfId="5" applyNumberFormat="1" applyFont="1" applyFill="1" applyBorder="1" applyAlignment="1">
      <alignment horizontal="left" vertical="center"/>
    </xf>
    <xf numFmtId="0" fontId="34" fillId="0" borderId="0" xfId="5" quotePrefix="1" applyNumberFormat="1" applyFont="1" applyFill="1" applyBorder="1" applyAlignment="1">
      <alignment horizontal="center" vertical="center"/>
    </xf>
    <xf numFmtId="49" fontId="55" fillId="0" borderId="12" xfId="5" applyNumberFormat="1" applyFont="1" applyFill="1" applyBorder="1" applyAlignment="1">
      <alignment horizontal="left" vertical="center"/>
    </xf>
    <xf numFmtId="0" fontId="55" fillId="0" borderId="0" xfId="5" applyNumberFormat="1" applyFont="1" applyFill="1" applyBorder="1" applyAlignment="1">
      <alignment horizontal="left" vertical="center"/>
    </xf>
    <xf numFmtId="41" fontId="7" fillId="0" borderId="0" xfId="5" applyNumberFormat="1" applyFont="1" applyFill="1" applyBorder="1" applyAlignment="1">
      <alignment horizontal="right"/>
    </xf>
    <xf numFmtId="0" fontId="51" fillId="0" borderId="172" xfId="2" applyNumberFormat="1" applyFont="1" applyFill="1" applyBorder="1" applyAlignment="1">
      <alignment vertical="center"/>
    </xf>
    <xf numFmtId="0" fontId="78" fillId="0" borderId="172" xfId="2" applyNumberFormat="1" applyFont="1" applyFill="1" applyBorder="1" applyAlignment="1">
      <alignment vertical="center"/>
    </xf>
    <xf numFmtId="176" fontId="55" fillId="0" borderId="7" xfId="3" applyNumberFormat="1" applyFont="1" applyFill="1" applyBorder="1" applyAlignment="1">
      <alignment vertical="center"/>
    </xf>
    <xf numFmtId="0" fontId="8" fillId="0" borderId="171" xfId="2" applyNumberFormat="1" applyFont="1" applyFill="1" applyBorder="1" applyAlignment="1">
      <alignment vertical="center"/>
    </xf>
    <xf numFmtId="0" fontId="8" fillId="0" borderId="172" xfId="2" applyNumberFormat="1" applyFont="1" applyFill="1" applyBorder="1" applyAlignment="1">
      <alignment vertical="center"/>
    </xf>
    <xf numFmtId="41" fontId="71" fillId="0" borderId="6" xfId="3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vertical="center"/>
    </xf>
    <xf numFmtId="0" fontId="34" fillId="0" borderId="12" xfId="5" applyNumberFormat="1" applyFont="1" applyFill="1" applyBorder="1" applyAlignment="1">
      <alignment vertical="center" shrinkToFit="1"/>
    </xf>
    <xf numFmtId="0" fontId="8" fillId="0" borderId="7" xfId="2" applyFont="1" applyFill="1" applyBorder="1" applyAlignment="1">
      <alignment horizontal="center" vertical="top"/>
    </xf>
    <xf numFmtId="0" fontId="34" fillId="0" borderId="6" xfId="2" applyFont="1" applyFill="1" applyBorder="1" applyAlignment="1">
      <alignment horizontal="left" vertical="center" shrinkToFit="1"/>
    </xf>
    <xf numFmtId="0" fontId="34" fillId="0" borderId="6" xfId="2" applyFont="1" applyFill="1" applyBorder="1" applyAlignment="1">
      <alignment horizontal="center" vertical="center" shrinkToFit="1"/>
    </xf>
    <xf numFmtId="41" fontId="51" fillId="0" borderId="16" xfId="3" applyFont="1" applyFill="1" applyBorder="1" applyAlignment="1">
      <alignment vertical="center"/>
    </xf>
    <xf numFmtId="41" fontId="55" fillId="0" borderId="6" xfId="3" applyNumberFormat="1" applyFont="1" applyFill="1" applyBorder="1" applyAlignment="1">
      <alignment horizontal="left" vertical="center"/>
    </xf>
    <xf numFmtId="0" fontId="34" fillId="0" borderId="3" xfId="2" applyNumberFormat="1" applyFont="1" applyFill="1" applyBorder="1" applyAlignment="1">
      <alignment vertical="center"/>
    </xf>
    <xf numFmtId="176" fontId="13" fillId="0" borderId="2" xfId="3" applyNumberFormat="1" applyFont="1" applyFill="1" applyBorder="1" applyAlignment="1">
      <alignment horizontal="right" vertical="center"/>
    </xf>
    <xf numFmtId="0" fontId="55" fillId="0" borderId="25" xfId="3" applyNumberFormat="1" applyFont="1" applyFill="1" applyBorder="1" applyAlignment="1">
      <alignment horizontal="left" vertical="center"/>
    </xf>
    <xf numFmtId="176" fontId="55" fillId="0" borderId="2" xfId="65" applyNumberFormat="1" applyFont="1" applyFill="1" applyBorder="1" applyAlignment="1">
      <alignment horizontal="right" vertical="center"/>
    </xf>
    <xf numFmtId="0" fontId="55" fillId="0" borderId="169" xfId="5" quotePrefix="1" applyNumberFormat="1" applyFont="1" applyFill="1" applyBorder="1" applyAlignment="1">
      <alignment horizontal="justify" vertical="center" wrapText="1"/>
    </xf>
    <xf numFmtId="176" fontId="62" fillId="0" borderId="2" xfId="65" applyNumberFormat="1" applyFont="1" applyFill="1" applyBorder="1" applyAlignment="1">
      <alignment horizontal="right" vertical="center"/>
    </xf>
    <xf numFmtId="0" fontId="13" fillId="0" borderId="12" xfId="2" applyNumberFormat="1" applyFont="1" applyFill="1" applyBorder="1" applyAlignment="1">
      <alignment vertical="center" wrapText="1"/>
    </xf>
    <xf numFmtId="176" fontId="34" fillId="0" borderId="8" xfId="2" applyNumberFormat="1" applyFont="1" applyFill="1" applyBorder="1" applyAlignment="1">
      <alignment horizontal="right" vertical="center"/>
    </xf>
    <xf numFmtId="176" fontId="51" fillId="0" borderId="2" xfId="3" applyNumberFormat="1" applyFont="1" applyFill="1" applyBorder="1" applyAlignment="1">
      <alignment horizontal="right" vertical="center"/>
    </xf>
    <xf numFmtId="0" fontId="9" fillId="0" borderId="1" xfId="2" applyNumberFormat="1" applyFont="1" applyFill="1" applyBorder="1" applyAlignment="1">
      <alignment vertical="center"/>
    </xf>
    <xf numFmtId="0" fontId="9" fillId="0" borderId="35" xfId="2" applyNumberFormat="1" applyFont="1" applyFill="1" applyBorder="1" applyAlignment="1">
      <alignment vertical="center"/>
    </xf>
    <xf numFmtId="176" fontId="54" fillId="0" borderId="2" xfId="3" applyNumberFormat="1" applyFont="1" applyFill="1" applyBorder="1" applyAlignment="1">
      <alignment horizontal="right" vertical="center"/>
    </xf>
    <xf numFmtId="41" fontId="55" fillId="0" borderId="0" xfId="3" applyNumberFormat="1" applyFont="1" applyFill="1" applyBorder="1" applyAlignment="1">
      <alignment horizontal="left" vertical="center"/>
    </xf>
    <xf numFmtId="0" fontId="9" fillId="0" borderId="174" xfId="2" applyNumberFormat="1" applyFont="1" applyFill="1" applyBorder="1" applyAlignment="1">
      <alignment vertical="center"/>
    </xf>
    <xf numFmtId="0" fontId="9" fillId="0" borderId="175" xfId="2" applyNumberFormat="1" applyFont="1" applyFill="1" applyBorder="1" applyAlignment="1">
      <alignment vertical="center"/>
    </xf>
    <xf numFmtId="0" fontId="55" fillId="0" borderId="174" xfId="3" applyNumberFormat="1" applyFont="1" applyFill="1" applyBorder="1" applyAlignment="1">
      <alignment horizontal="left" vertical="center"/>
    </xf>
    <xf numFmtId="41" fontId="71" fillId="0" borderId="174" xfId="3" applyNumberFormat="1" applyFont="1" applyFill="1" applyBorder="1" applyAlignment="1">
      <alignment horizontal="center" vertical="center"/>
    </xf>
    <xf numFmtId="41" fontId="55" fillId="0" borderId="176" xfId="3" applyNumberFormat="1" applyFont="1" applyFill="1" applyBorder="1" applyAlignment="1">
      <alignment horizontal="right" vertical="center"/>
    </xf>
    <xf numFmtId="0" fontId="8" fillId="0" borderId="6" xfId="2" applyNumberFormat="1" applyFont="1" applyFill="1" applyBorder="1" applyAlignment="1">
      <alignment vertical="center"/>
    </xf>
    <xf numFmtId="0" fontId="8" fillId="0" borderId="171" xfId="2" applyNumberFormat="1" applyFont="1" applyFill="1" applyBorder="1" applyAlignment="1">
      <alignment vertical="center" wrapText="1"/>
    </xf>
    <xf numFmtId="0" fontId="55" fillId="0" borderId="0" xfId="2" applyFont="1" applyFill="1" applyBorder="1" applyAlignment="1">
      <alignment horizontal="left" vertical="center" shrinkToFit="1"/>
    </xf>
    <xf numFmtId="0" fontId="54" fillId="0" borderId="6" xfId="3" applyNumberFormat="1" applyFont="1" applyFill="1" applyBorder="1" applyAlignment="1">
      <alignment horizontal="left" vertical="center"/>
    </xf>
    <xf numFmtId="0" fontId="54" fillId="0" borderId="21" xfId="2" applyNumberFormat="1" applyFont="1" applyFill="1" applyBorder="1" applyAlignment="1">
      <alignment horizontal="left" vertical="center" shrinkToFit="1"/>
    </xf>
    <xf numFmtId="0" fontId="55" fillId="0" borderId="21" xfId="2" applyNumberFormat="1" applyFont="1" applyFill="1" applyBorder="1" applyAlignment="1">
      <alignment horizontal="center" vertical="center" shrinkToFit="1"/>
    </xf>
    <xf numFmtId="0" fontId="62" fillId="0" borderId="7" xfId="11" applyNumberFormat="1" applyFont="1" applyFill="1" applyBorder="1" applyAlignment="1">
      <alignment vertical="center"/>
    </xf>
    <xf numFmtId="176" fontId="55" fillId="0" borderId="7" xfId="80" applyNumberFormat="1" applyFont="1" applyFill="1" applyBorder="1" applyAlignment="1">
      <alignment horizontal="right" vertical="center" shrinkToFit="1"/>
    </xf>
    <xf numFmtId="176" fontId="55" fillId="0" borderId="3" xfId="80" applyNumberFormat="1" applyFont="1" applyFill="1" applyBorder="1" applyAlignment="1">
      <alignment horizontal="right" vertical="center" shrinkToFit="1"/>
    </xf>
    <xf numFmtId="176" fontId="55" fillId="0" borderId="2" xfId="80" applyNumberFormat="1" applyFont="1" applyFill="1" applyBorder="1" applyAlignment="1">
      <alignment horizontal="right" vertical="center" shrinkToFit="1"/>
    </xf>
    <xf numFmtId="0" fontId="34" fillId="0" borderId="0" xfId="5" applyNumberFormat="1" applyFont="1" applyFill="1" applyBorder="1" applyAlignment="1">
      <alignment vertical="center"/>
    </xf>
    <xf numFmtId="176" fontId="55" fillId="0" borderId="2" xfId="85" applyNumberFormat="1" applyFont="1" applyFill="1" applyBorder="1" applyAlignment="1">
      <alignment horizontal="right" vertical="center" shrinkToFit="1"/>
    </xf>
    <xf numFmtId="176" fontId="62" fillId="0" borderId="2" xfId="85" applyNumberFormat="1" applyFont="1" applyFill="1" applyBorder="1" applyAlignment="1">
      <alignment horizontal="right" vertical="center"/>
    </xf>
    <xf numFmtId="0" fontId="34" fillId="0" borderId="12" xfId="85" applyNumberFormat="1" applyFont="1" applyFill="1" applyBorder="1" applyAlignment="1">
      <alignment horizontal="left" vertical="center"/>
    </xf>
    <xf numFmtId="41" fontId="34" fillId="0" borderId="10" xfId="85" applyNumberFormat="1" applyFont="1" applyFill="1" applyBorder="1" applyAlignment="1">
      <alignment vertical="center" shrinkToFit="1"/>
    </xf>
    <xf numFmtId="0" fontId="34" fillId="0" borderId="0" xfId="85" applyNumberFormat="1" applyFont="1" applyFill="1" applyBorder="1" applyAlignment="1">
      <alignment horizontal="center" vertical="center"/>
    </xf>
    <xf numFmtId="0" fontId="34" fillId="0" borderId="12" xfId="5" applyNumberFormat="1" applyFont="1" applyFill="1" applyBorder="1" applyAlignment="1">
      <alignment vertical="center"/>
    </xf>
    <xf numFmtId="0" fontId="51" fillId="0" borderId="12" xfId="85" applyNumberFormat="1" applyFont="1" applyFill="1" applyBorder="1" applyAlignment="1">
      <alignment vertical="center"/>
    </xf>
    <xf numFmtId="41" fontId="51" fillId="0" borderId="10" xfId="85" applyNumberFormat="1" applyFont="1" applyFill="1" applyBorder="1" applyAlignment="1">
      <alignment vertical="center" shrinkToFit="1"/>
    </xf>
    <xf numFmtId="0" fontId="34" fillId="0" borderId="12" xfId="85" applyNumberFormat="1" applyFont="1" applyFill="1" applyBorder="1" applyAlignment="1">
      <alignment horizontal="left" vertical="center" wrapText="1"/>
    </xf>
    <xf numFmtId="41" fontId="34" fillId="0" borderId="10" xfId="85" applyNumberFormat="1" applyFont="1" applyFill="1" applyBorder="1" applyAlignment="1">
      <alignment horizontal="right" vertical="center" shrinkToFit="1"/>
    </xf>
    <xf numFmtId="176" fontId="55" fillId="0" borderId="35" xfId="80" applyNumberFormat="1" applyFont="1" applyFill="1" applyBorder="1" applyAlignment="1">
      <alignment horizontal="right" vertical="center" shrinkToFit="1"/>
    </xf>
    <xf numFmtId="0" fontId="64" fillId="0" borderId="6" xfId="11" applyNumberFormat="1" applyFont="1" applyFill="1" applyBorder="1" applyAlignment="1">
      <alignment vertical="top"/>
    </xf>
    <xf numFmtId="0" fontId="64" fillId="0" borderId="32" xfId="11" applyNumberFormat="1" applyFont="1" applyFill="1" applyBorder="1" applyAlignment="1">
      <alignment vertical="top"/>
    </xf>
    <xf numFmtId="176" fontId="54" fillId="0" borderId="7" xfId="80" applyNumberFormat="1" applyFont="1" applyFill="1" applyBorder="1" applyAlignment="1">
      <alignment horizontal="right" vertical="center" shrinkToFit="1"/>
    </xf>
    <xf numFmtId="176" fontId="64" fillId="0" borderId="7" xfId="80" applyNumberFormat="1" applyFont="1" applyFill="1" applyBorder="1" applyAlignment="1">
      <alignment horizontal="right" vertical="center"/>
    </xf>
    <xf numFmtId="0" fontId="51" fillId="0" borderId="6" xfId="12" applyNumberFormat="1" applyFont="1" applyFill="1" applyBorder="1" applyAlignment="1">
      <alignment horizontal="left" vertical="center"/>
    </xf>
    <xf numFmtId="0" fontId="51" fillId="0" borderId="6" xfId="85" quotePrefix="1" applyNumberFormat="1" applyFont="1" applyFill="1" applyBorder="1" applyAlignment="1">
      <alignment horizontal="center" vertical="center"/>
    </xf>
    <xf numFmtId="41" fontId="51" fillId="0" borderId="16" xfId="12" applyNumberFormat="1" applyFont="1" applyFill="1" applyBorder="1" applyAlignment="1">
      <alignment vertical="center" shrinkToFit="1"/>
    </xf>
    <xf numFmtId="0" fontId="34" fillId="0" borderId="0" xfId="5" applyNumberFormat="1" applyFont="1" applyFill="1" applyBorder="1" applyAlignment="1">
      <alignment vertical="center" shrinkToFit="1"/>
    </xf>
    <xf numFmtId="176" fontId="55" fillId="0" borderId="3" xfId="80" applyNumberFormat="1" applyFont="1" applyFill="1" applyBorder="1" applyAlignment="1">
      <alignment vertical="center" shrinkToFit="1"/>
    </xf>
    <xf numFmtId="0" fontId="34" fillId="0" borderId="2" xfId="11" applyNumberFormat="1" applyFont="1" applyFill="1" applyBorder="1" applyAlignment="1">
      <alignment vertical="center"/>
    </xf>
    <xf numFmtId="176" fontId="55" fillId="0" borderId="2" xfId="80" applyNumberFormat="1" applyFont="1" applyFill="1" applyBorder="1" applyAlignment="1">
      <alignment vertical="center" shrinkToFit="1"/>
    </xf>
    <xf numFmtId="0" fontId="34" fillId="0" borderId="1" xfId="5" applyNumberFormat="1" applyFont="1" applyFill="1" applyBorder="1" applyAlignment="1">
      <alignment vertical="center"/>
    </xf>
    <xf numFmtId="0" fontId="34" fillId="0" borderId="1" xfId="5" quotePrefix="1" applyNumberFormat="1" applyFont="1" applyFill="1" applyBorder="1" applyAlignment="1">
      <alignment horizontal="center" vertical="center"/>
    </xf>
    <xf numFmtId="176" fontId="55" fillId="0" borderId="8" xfId="80" applyNumberFormat="1" applyFont="1" applyFill="1" applyBorder="1" applyAlignment="1">
      <alignment horizontal="right" vertical="center" shrinkToFit="1"/>
    </xf>
    <xf numFmtId="0" fontId="34" fillId="0" borderId="5" xfId="5" quotePrefix="1" applyNumberFormat="1" applyFont="1" applyFill="1" applyBorder="1" applyAlignment="1">
      <alignment horizontal="center" vertical="center"/>
    </xf>
    <xf numFmtId="0" fontId="34" fillId="0" borderId="6" xfId="11" applyNumberFormat="1" applyFont="1" applyFill="1" applyBorder="1" applyAlignment="1">
      <alignment vertical="center" shrinkToFit="1"/>
    </xf>
    <xf numFmtId="0" fontId="34" fillId="0" borderId="30" xfId="5" applyNumberFormat="1" applyFont="1" applyFill="1" applyBorder="1" applyAlignment="1">
      <alignment vertical="center" shrinkToFit="1"/>
    </xf>
    <xf numFmtId="176" fontId="55" fillId="0" borderId="7" xfId="80" applyNumberFormat="1" applyFont="1" applyFill="1" applyBorder="1" applyAlignment="1">
      <alignment vertical="center" shrinkToFit="1"/>
    </xf>
    <xf numFmtId="176" fontId="62" fillId="0" borderId="35" xfId="80" applyNumberFormat="1" applyFont="1" applyFill="1" applyBorder="1" applyAlignment="1">
      <alignment horizontal="right" vertical="center"/>
    </xf>
    <xf numFmtId="178" fontId="34" fillId="0" borderId="1" xfId="5" applyNumberFormat="1" applyFont="1" applyFill="1" applyBorder="1" applyAlignment="1">
      <alignment horizontal="center" vertical="center"/>
    </xf>
    <xf numFmtId="41" fontId="51" fillId="0" borderId="10" xfId="12" applyNumberFormat="1" applyFont="1" applyFill="1" applyBorder="1" applyAlignment="1">
      <alignment vertical="center" shrinkToFit="1"/>
    </xf>
    <xf numFmtId="176" fontId="62" fillId="0" borderId="29" xfId="80" applyNumberFormat="1" applyFont="1" applyFill="1" applyBorder="1" applyAlignment="1">
      <alignment horizontal="right" vertical="center"/>
    </xf>
    <xf numFmtId="178" fontId="34" fillId="0" borderId="0" xfId="5" applyNumberFormat="1" applyFont="1" applyFill="1" applyBorder="1" applyAlignment="1">
      <alignment horizontal="center" vertical="center"/>
    </xf>
    <xf numFmtId="176" fontId="51" fillId="0" borderId="3" xfId="3" applyNumberFormat="1" applyFont="1" applyFill="1" applyBorder="1" applyAlignment="1">
      <alignment horizontal="right" vertical="center"/>
    </xf>
    <xf numFmtId="0" fontId="9" fillId="0" borderId="12" xfId="2" applyNumberFormat="1" applyFont="1" applyFill="1" applyBorder="1" applyAlignment="1">
      <alignment vertical="center"/>
    </xf>
    <xf numFmtId="176" fontId="54" fillId="0" borderId="3" xfId="3" applyNumberFormat="1" applyFont="1" applyFill="1" applyBorder="1" applyAlignment="1">
      <alignment horizontal="right" vertical="center"/>
    </xf>
    <xf numFmtId="0" fontId="54" fillId="0" borderId="1" xfId="2" applyNumberFormat="1" applyFont="1" applyFill="1" applyBorder="1" applyAlignment="1">
      <alignment horizontal="center" vertical="center"/>
    </xf>
    <xf numFmtId="178" fontId="34" fillId="0" borderId="0" xfId="5" quotePrefix="1" applyNumberFormat="1" applyFont="1" applyFill="1" applyBorder="1" applyAlignment="1">
      <alignment horizontal="center" vertical="center"/>
    </xf>
    <xf numFmtId="0" fontId="62" fillId="0" borderId="3" xfId="11" applyNumberFormat="1" applyFont="1" applyFill="1" applyBorder="1" applyAlignment="1">
      <alignment vertical="top"/>
    </xf>
    <xf numFmtId="41" fontId="51" fillId="0" borderId="18" xfId="12" applyNumberFormat="1" applyFont="1" applyFill="1" applyBorder="1" applyAlignment="1">
      <alignment horizontal="right" vertical="center" shrinkToFit="1"/>
    </xf>
    <xf numFmtId="0" fontId="62" fillId="0" borderId="2" xfId="11" applyNumberFormat="1" applyFont="1" applyFill="1" applyBorder="1" applyAlignment="1">
      <alignment horizontal="left" vertical="top"/>
    </xf>
    <xf numFmtId="38" fontId="62" fillId="0" borderId="2" xfId="11" applyNumberFormat="1" applyFont="1" applyFill="1" applyBorder="1" applyAlignment="1">
      <alignment horizontal="left" vertical="top"/>
    </xf>
    <xf numFmtId="0" fontId="62" fillId="0" borderId="8" xfId="11" applyNumberFormat="1" applyFont="1" applyFill="1" applyBorder="1" applyAlignment="1">
      <alignment vertical="top"/>
    </xf>
    <xf numFmtId="0" fontId="34" fillId="0" borderId="6" xfId="5" applyNumberFormat="1" applyFont="1" applyFill="1" applyBorder="1" applyAlignment="1">
      <alignment vertical="center"/>
    </xf>
    <xf numFmtId="0" fontId="34" fillId="0" borderId="6" xfId="5" applyNumberFormat="1" applyFont="1" applyFill="1" applyBorder="1" applyAlignment="1">
      <alignment horizontal="center" vertical="center"/>
    </xf>
    <xf numFmtId="0" fontId="62" fillId="0" borderId="17" xfId="5" applyNumberFormat="1" applyFont="1" applyFill="1" applyBorder="1" applyAlignment="1">
      <alignment vertical="center"/>
    </xf>
    <xf numFmtId="0" fontId="62" fillId="0" borderId="2" xfId="5" applyNumberFormat="1" applyFont="1" applyFill="1" applyBorder="1" applyAlignment="1">
      <alignment vertical="center" wrapText="1"/>
    </xf>
    <xf numFmtId="0" fontId="66" fillId="0" borderId="2" xfId="11" applyNumberFormat="1" applyFont="1" applyFill="1" applyBorder="1" applyAlignment="1">
      <alignment vertical="center"/>
    </xf>
    <xf numFmtId="0" fontId="62" fillId="0" borderId="3" xfId="5" applyNumberFormat="1" applyFont="1" applyFill="1" applyBorder="1" applyAlignment="1">
      <alignment vertical="center" wrapText="1"/>
    </xf>
    <xf numFmtId="0" fontId="51" fillId="0" borderId="1" xfId="5" applyFont="1" applyBorder="1" applyAlignment="1">
      <alignment vertical="center" shrinkToFit="1"/>
    </xf>
    <xf numFmtId="0" fontId="34" fillId="0" borderId="1" xfId="5" applyFont="1" applyBorder="1" applyAlignment="1">
      <alignment horizontal="center" vertical="center" shrinkToFit="1"/>
    </xf>
    <xf numFmtId="0" fontId="14" fillId="0" borderId="0" xfId="5">
      <alignment vertical="center"/>
    </xf>
    <xf numFmtId="0" fontId="62" fillId="0" borderId="29" xfId="5" applyNumberFormat="1" applyFont="1" applyFill="1" applyBorder="1" applyAlignment="1">
      <alignment vertical="center" wrapText="1"/>
    </xf>
    <xf numFmtId="0" fontId="34" fillId="0" borderId="0" xfId="5" applyFont="1" applyFill="1" applyBorder="1" applyAlignment="1">
      <alignment horizontal="center" vertical="center" shrinkToFit="1"/>
    </xf>
    <xf numFmtId="0" fontId="34" fillId="0" borderId="0" xfId="5" applyFont="1" applyFill="1" applyBorder="1" applyAlignment="1">
      <alignment horizontal="left" vertical="center" shrinkToFit="1"/>
    </xf>
    <xf numFmtId="0" fontId="51" fillId="0" borderId="1" xfId="5" applyFont="1" applyFill="1" applyBorder="1" applyAlignment="1">
      <alignment vertical="center" shrinkToFit="1"/>
    </xf>
    <xf numFmtId="0" fontId="51" fillId="0" borderId="1" xfId="5" applyFont="1" applyFill="1" applyBorder="1" applyAlignment="1">
      <alignment horizontal="center" vertical="center" shrinkToFit="1"/>
    </xf>
    <xf numFmtId="41" fontId="51" fillId="0" borderId="18" xfId="12" applyNumberFormat="1" applyFont="1" applyFill="1" applyBorder="1" applyAlignment="1">
      <alignment vertical="center"/>
    </xf>
    <xf numFmtId="0" fontId="51" fillId="0" borderId="0" xfId="5" applyFont="1" applyFill="1" applyBorder="1" applyAlignment="1">
      <alignment vertical="center" shrinkToFit="1"/>
    </xf>
    <xf numFmtId="0" fontId="16" fillId="0" borderId="0" xfId="5" applyFont="1" applyFill="1" applyBorder="1" applyAlignment="1">
      <alignment vertical="center"/>
    </xf>
    <xf numFmtId="41" fontId="51" fillId="0" borderId="10" xfId="12" applyNumberFormat="1" applyFont="1" applyFill="1" applyBorder="1" applyAlignment="1">
      <alignment horizontal="right" vertical="center"/>
    </xf>
    <xf numFmtId="0" fontId="39" fillId="0" borderId="30" xfId="5" applyFont="1" applyFill="1" applyBorder="1" applyAlignment="1">
      <alignment vertical="center" shrinkToFit="1"/>
    </xf>
    <xf numFmtId="0" fontId="35" fillId="0" borderId="1" xfId="5" applyFont="1" applyFill="1" applyBorder="1" applyAlignment="1">
      <alignment vertical="center" shrinkToFit="1"/>
    </xf>
    <xf numFmtId="41" fontId="51" fillId="0" borderId="18" xfId="5" applyNumberFormat="1" applyFont="1" applyFill="1" applyBorder="1" applyAlignment="1">
      <alignment vertical="center" shrinkToFit="1"/>
    </xf>
    <xf numFmtId="0" fontId="34" fillId="0" borderId="1" xfId="5" applyFont="1" applyFill="1" applyBorder="1" applyAlignment="1">
      <alignment horizontal="center" vertical="center" shrinkToFit="1"/>
    </xf>
    <xf numFmtId="0" fontId="62" fillId="0" borderId="2" xfId="5" applyNumberFormat="1" applyFont="1" applyFill="1" applyBorder="1" applyAlignment="1">
      <alignment vertical="center"/>
    </xf>
    <xf numFmtId="0" fontId="62" fillId="0" borderId="29" xfId="5" applyNumberFormat="1" applyFont="1" applyFill="1" applyBorder="1" applyAlignment="1">
      <alignment vertical="center"/>
    </xf>
    <xf numFmtId="41" fontId="34" fillId="0" borderId="7" xfId="12" applyNumberFormat="1" applyFont="1" applyFill="1" applyBorder="1" applyAlignment="1">
      <alignment vertical="center" shrinkToFit="1"/>
    </xf>
    <xf numFmtId="181" fontId="62" fillId="0" borderId="7" xfId="12" applyNumberFormat="1" applyFont="1" applyFill="1" applyBorder="1" applyAlignment="1">
      <alignment vertical="center"/>
    </xf>
    <xf numFmtId="178" fontId="55" fillId="0" borderId="6" xfId="5" applyNumberFormat="1" applyFont="1" applyFill="1" applyBorder="1" applyAlignment="1">
      <alignment horizontal="center" vertical="center" shrinkToFit="1"/>
    </xf>
    <xf numFmtId="0" fontId="62" fillId="0" borderId="3" xfId="5" applyNumberFormat="1" applyFont="1" applyFill="1" applyBorder="1" applyAlignment="1">
      <alignment vertical="center"/>
    </xf>
    <xf numFmtId="0" fontId="34" fillId="0" borderId="1" xfId="5" applyFont="1" applyFill="1" applyBorder="1" applyAlignment="1">
      <alignment vertical="center" shrinkToFit="1"/>
    </xf>
    <xf numFmtId="41" fontId="64" fillId="0" borderId="18" xfId="11" applyNumberFormat="1" applyFont="1" applyFill="1" applyBorder="1" applyAlignment="1">
      <alignment vertical="center"/>
    </xf>
    <xf numFmtId="0" fontId="62" fillId="0" borderId="20" xfId="11" applyNumberFormat="1" applyFont="1" applyFill="1" applyBorder="1" applyAlignment="1">
      <alignment vertical="top"/>
    </xf>
    <xf numFmtId="0" fontId="62" fillId="0" borderId="20" xfId="11" applyNumberFormat="1" applyFont="1" applyFill="1" applyBorder="1" applyAlignment="1">
      <alignment vertical="center" shrinkToFit="1"/>
    </xf>
    <xf numFmtId="176" fontId="55" fillId="0" borderId="20" xfId="80" applyNumberFormat="1" applyFont="1" applyFill="1" applyBorder="1" applyAlignment="1">
      <alignment horizontal="right" vertical="center" shrinkToFit="1"/>
    </xf>
    <xf numFmtId="176" fontId="62" fillId="0" borderId="20" xfId="80" applyNumberFormat="1" applyFont="1" applyFill="1" applyBorder="1" applyAlignment="1">
      <alignment horizontal="right" vertical="center"/>
    </xf>
    <xf numFmtId="0" fontId="51" fillId="0" borderId="21" xfId="5" applyFont="1" applyFill="1" applyBorder="1" applyAlignment="1">
      <alignment horizontal="center" vertical="center"/>
    </xf>
    <xf numFmtId="177" fontId="61" fillId="0" borderId="0" xfId="11" applyNumberFormat="1" applyFont="1" applyAlignment="1">
      <alignment vertical="center" shrinkToFit="1"/>
    </xf>
    <xf numFmtId="0" fontId="55" fillId="5" borderId="35" xfId="11" applyFont="1" applyFill="1" applyBorder="1" applyAlignment="1">
      <alignment vertical="center"/>
    </xf>
    <xf numFmtId="0" fontId="55" fillId="5" borderId="6" xfId="11" applyFont="1" applyFill="1" applyBorder="1" applyAlignment="1">
      <alignment vertical="center"/>
    </xf>
    <xf numFmtId="0" fontId="55" fillId="5" borderId="32" xfId="11" applyFont="1" applyFill="1" applyBorder="1" applyAlignment="1">
      <alignment vertical="center"/>
    </xf>
    <xf numFmtId="176" fontId="54" fillId="5" borderId="7" xfId="12" applyNumberFormat="1" applyFont="1" applyFill="1" applyBorder="1" applyAlignment="1">
      <alignment horizontal="right" vertical="center"/>
    </xf>
    <xf numFmtId="176" fontId="54" fillId="5" borderId="3" xfId="12" applyNumberFormat="1" applyFont="1" applyFill="1" applyBorder="1" applyAlignment="1">
      <alignment horizontal="right" vertical="center"/>
    </xf>
    <xf numFmtId="0" fontId="34" fillId="5" borderId="4" xfId="11" applyFont="1" applyFill="1" applyBorder="1" applyAlignment="1">
      <alignment vertical="center"/>
    </xf>
    <xf numFmtId="0" fontId="34" fillId="5" borderId="9" xfId="11" applyFont="1" applyFill="1" applyBorder="1" applyAlignment="1">
      <alignment vertical="center"/>
    </xf>
    <xf numFmtId="176" fontId="55" fillId="5" borderId="8" xfId="12" applyNumberFormat="1" applyFont="1" applyFill="1" applyBorder="1" applyAlignment="1">
      <alignment horizontal="right" vertical="center"/>
    </xf>
    <xf numFmtId="176" fontId="55" fillId="5" borderId="3" xfId="12" applyNumberFormat="1" applyFont="1" applyFill="1" applyBorder="1" applyAlignment="1">
      <alignment horizontal="right" vertical="center"/>
    </xf>
    <xf numFmtId="0" fontId="54" fillId="5" borderId="32" xfId="11" applyFont="1" applyFill="1" applyBorder="1" applyAlignment="1">
      <alignment vertical="center"/>
    </xf>
    <xf numFmtId="176" fontId="34" fillId="5" borderId="8" xfId="12" applyNumberFormat="1" applyFont="1" applyFill="1" applyBorder="1" applyAlignment="1">
      <alignment horizontal="right" vertical="center"/>
    </xf>
    <xf numFmtId="0" fontId="34" fillId="5" borderId="29" xfId="11" applyFont="1" applyFill="1" applyBorder="1" applyAlignment="1">
      <alignment vertical="center"/>
    </xf>
    <xf numFmtId="176" fontId="34" fillId="5" borderId="2" xfId="12" applyNumberFormat="1" applyFont="1" applyFill="1" applyBorder="1" applyAlignment="1">
      <alignment horizontal="right" vertical="center"/>
    </xf>
    <xf numFmtId="176" fontId="55" fillId="5" borderId="2" xfId="12" applyNumberFormat="1" applyFont="1" applyFill="1" applyBorder="1" applyAlignment="1">
      <alignment horizontal="right" vertical="center"/>
    </xf>
    <xf numFmtId="0" fontId="55" fillId="5" borderId="2" xfId="11" applyFont="1" applyFill="1" applyBorder="1" applyAlignment="1">
      <alignment vertical="top"/>
    </xf>
    <xf numFmtId="0" fontId="55" fillId="5" borderId="29" xfId="11" applyFont="1" applyFill="1" applyBorder="1" applyAlignment="1">
      <alignment vertical="top"/>
    </xf>
    <xf numFmtId="176" fontId="55" fillId="5" borderId="29" xfId="12" applyNumberFormat="1" applyFont="1" applyFill="1" applyBorder="1" applyAlignment="1">
      <alignment vertical="center"/>
    </xf>
    <xf numFmtId="176" fontId="55" fillId="5" borderId="29" xfId="12" applyNumberFormat="1" applyFont="1" applyFill="1" applyBorder="1" applyAlignment="1">
      <alignment horizontal="right" vertical="center"/>
    </xf>
    <xf numFmtId="176" fontId="55" fillId="5" borderId="2" xfId="12" applyNumberFormat="1" applyFont="1" applyFill="1" applyBorder="1" applyAlignment="1">
      <alignment vertical="center"/>
    </xf>
    <xf numFmtId="176" fontId="55" fillId="5" borderId="8" xfId="12" applyNumberFormat="1" applyFont="1" applyFill="1" applyBorder="1" applyAlignment="1">
      <alignment vertical="center"/>
    </xf>
    <xf numFmtId="0" fontId="55" fillId="5" borderId="7" xfId="11" applyFont="1" applyFill="1" applyBorder="1" applyAlignment="1">
      <alignment vertical="center"/>
    </xf>
    <xf numFmtId="0" fontId="55" fillId="5" borderId="9" xfId="11" applyFont="1" applyFill="1" applyBorder="1" applyAlignment="1">
      <alignment vertical="center"/>
    </xf>
    <xf numFmtId="176" fontId="55" fillId="5" borderId="3" xfId="12" applyNumberFormat="1" applyFont="1" applyFill="1" applyBorder="1" applyAlignment="1">
      <alignment vertical="center"/>
    </xf>
    <xf numFmtId="0" fontId="33" fillId="0" borderId="2" xfId="11" applyFont="1" applyBorder="1" applyAlignment="1">
      <alignment vertical="center"/>
    </xf>
    <xf numFmtId="176" fontId="55" fillId="5" borderId="7" xfId="12" applyNumberFormat="1" applyFont="1" applyFill="1" applyBorder="1" applyAlignment="1">
      <alignment vertical="center"/>
    </xf>
    <xf numFmtId="0" fontId="55" fillId="5" borderId="25" xfId="11" applyFont="1" applyFill="1" applyBorder="1" applyAlignment="1">
      <alignment vertical="center" shrinkToFit="1"/>
    </xf>
    <xf numFmtId="0" fontId="55" fillId="5" borderId="6" xfId="11" applyFont="1" applyFill="1" applyBorder="1" applyAlignment="1">
      <alignment horizontal="center" vertical="center" shrinkToFit="1"/>
    </xf>
    <xf numFmtId="0" fontId="55" fillId="5" borderId="3" xfId="11" applyFont="1" applyFill="1" applyBorder="1" applyAlignment="1">
      <alignment vertical="top"/>
    </xf>
    <xf numFmtId="0" fontId="55" fillId="5" borderId="2" xfId="11" applyFont="1" applyFill="1" applyBorder="1" applyAlignment="1">
      <alignment horizontal="left" vertical="top"/>
    </xf>
    <xf numFmtId="0" fontId="55" fillId="5" borderId="12" xfId="11" applyFont="1" applyFill="1" applyBorder="1" applyAlignment="1">
      <alignment horizontal="left" vertical="top"/>
    </xf>
    <xf numFmtId="0" fontId="54" fillId="5" borderId="2" xfId="11" applyFont="1" applyFill="1" applyBorder="1" applyAlignment="1">
      <alignment horizontal="left" vertical="center"/>
    </xf>
    <xf numFmtId="0" fontId="54" fillId="5" borderId="12" xfId="11" applyFont="1" applyFill="1" applyBorder="1" applyAlignment="1">
      <alignment horizontal="left" vertical="center"/>
    </xf>
    <xf numFmtId="0" fontId="54" fillId="5" borderId="29" xfId="11" applyFont="1" applyFill="1" applyBorder="1" applyAlignment="1">
      <alignment horizontal="left" vertical="center"/>
    </xf>
    <xf numFmtId="0" fontId="55" fillId="5" borderId="29" xfId="11" applyFont="1" applyFill="1" applyBorder="1" applyAlignment="1">
      <alignment horizontal="left" vertical="top"/>
    </xf>
    <xf numFmtId="41" fontId="55" fillId="0" borderId="28" xfId="12" applyFont="1" applyBorder="1" applyAlignment="1">
      <alignment vertical="center"/>
    </xf>
    <xf numFmtId="41" fontId="55" fillId="0" borderId="21" xfId="12" applyFont="1" applyBorder="1" applyAlignment="1">
      <alignment horizontal="center" vertical="center"/>
    </xf>
    <xf numFmtId="176" fontId="34" fillId="5" borderId="120" xfId="12" applyNumberFormat="1" applyFont="1" applyFill="1" applyBorder="1" applyAlignment="1">
      <alignment horizontal="right" vertical="center" shrinkToFit="1"/>
    </xf>
    <xf numFmtId="176" fontId="51" fillId="5" borderId="39" xfId="12" applyNumberFormat="1" applyFont="1" applyFill="1" applyBorder="1" applyAlignment="1">
      <alignment vertical="center"/>
    </xf>
    <xf numFmtId="176" fontId="51" fillId="6" borderId="146" xfId="12" applyNumberFormat="1" applyFont="1" applyFill="1" applyBorder="1" applyAlignment="1">
      <alignment horizontal="right" vertical="center"/>
    </xf>
    <xf numFmtId="177" fontId="51" fillId="5" borderId="126" xfId="0" applyNumberFormat="1" applyFont="1" applyFill="1" applyBorder="1" applyAlignment="1">
      <alignment vertical="center"/>
    </xf>
    <xf numFmtId="177" fontId="51" fillId="5" borderId="121" xfId="0" applyNumberFormat="1" applyFont="1" applyFill="1" applyBorder="1" applyAlignment="1">
      <alignment vertical="center"/>
    </xf>
    <xf numFmtId="177" fontId="51" fillId="5" borderId="3" xfId="0" applyNumberFormat="1" applyFont="1" applyFill="1" applyBorder="1" applyAlignment="1">
      <alignment vertical="center"/>
    </xf>
    <xf numFmtId="177" fontId="51" fillId="5" borderId="2" xfId="0" applyNumberFormat="1" applyFont="1" applyFill="1" applyBorder="1" applyAlignment="1">
      <alignment vertical="center"/>
    </xf>
    <xf numFmtId="177" fontId="51" fillId="5" borderId="12" xfId="0" applyNumberFormat="1" applyFont="1" applyFill="1" applyBorder="1" applyAlignment="1">
      <alignment horizontal="left" vertical="center"/>
    </xf>
    <xf numFmtId="177" fontId="51" fillId="5" borderId="2" xfId="0" applyNumberFormat="1" applyFont="1" applyFill="1" applyBorder="1" applyAlignment="1">
      <alignment horizontal="left" vertical="center"/>
    </xf>
    <xf numFmtId="177" fontId="51" fillId="5" borderId="3" xfId="0" applyNumberFormat="1" applyFont="1" applyFill="1" applyBorder="1" applyAlignment="1">
      <alignment horizontal="left" vertical="center"/>
    </xf>
    <xf numFmtId="177" fontId="34" fillId="5" borderId="2" xfId="0" applyNumberFormat="1" applyFont="1" applyFill="1" applyBorder="1" applyAlignment="1">
      <alignment horizontal="left" vertical="center"/>
    </xf>
    <xf numFmtId="177" fontId="34" fillId="5" borderId="12" xfId="0" applyNumberFormat="1" applyFont="1" applyFill="1" applyBorder="1" applyAlignment="1">
      <alignment horizontal="left" vertical="center"/>
    </xf>
    <xf numFmtId="177" fontId="34" fillId="5" borderId="7" xfId="0" applyNumberFormat="1" applyFont="1" applyFill="1" applyBorder="1" applyAlignment="1">
      <alignment horizontal="left" vertical="center"/>
    </xf>
    <xf numFmtId="177" fontId="34" fillId="5" borderId="3" xfId="0" applyNumberFormat="1" applyFont="1" applyFill="1" applyBorder="1" applyAlignment="1">
      <alignment horizontal="left" vertical="center"/>
    </xf>
    <xf numFmtId="177" fontId="34" fillId="5" borderId="8" xfId="0" applyNumberFormat="1" applyFont="1" applyFill="1" applyBorder="1" applyAlignment="1">
      <alignment horizontal="left" vertical="center"/>
    </xf>
    <xf numFmtId="177" fontId="34" fillId="5" borderId="4" xfId="0" applyNumberFormat="1" applyFont="1" applyFill="1" applyBorder="1" applyAlignment="1">
      <alignment horizontal="left" vertical="center"/>
    </xf>
    <xf numFmtId="177" fontId="34" fillId="5" borderId="35" xfId="0" applyNumberFormat="1" applyFont="1" applyFill="1" applyBorder="1" applyAlignment="1">
      <alignment horizontal="left" vertical="center"/>
    </xf>
    <xf numFmtId="177" fontId="34" fillId="5" borderId="30" xfId="0" applyNumberFormat="1" applyFont="1" applyFill="1" applyBorder="1" applyAlignment="1">
      <alignment horizontal="left" vertical="center"/>
    </xf>
    <xf numFmtId="177" fontId="51" fillId="5" borderId="30" xfId="0" applyNumberFormat="1" applyFont="1" applyFill="1" applyBorder="1" applyAlignment="1">
      <alignment horizontal="left" vertical="center"/>
    </xf>
    <xf numFmtId="177" fontId="51" fillId="5" borderId="17" xfId="0" applyNumberFormat="1" applyFont="1" applyFill="1" applyBorder="1" applyAlignment="1">
      <alignment vertical="center"/>
    </xf>
    <xf numFmtId="177" fontId="34" fillId="5" borderId="17" xfId="0" applyNumberFormat="1" applyFont="1" applyFill="1" applyBorder="1" applyAlignment="1">
      <alignment vertical="center"/>
    </xf>
    <xf numFmtId="177" fontId="34" fillId="5" borderId="20" xfId="0" applyNumberFormat="1" applyFont="1" applyFill="1" applyBorder="1" applyAlignment="1">
      <alignment horizontal="left" vertical="center"/>
    </xf>
    <xf numFmtId="0" fontId="0" fillId="0" borderId="125" xfId="0" applyNumberFormat="1" applyBorder="1" applyAlignment="1">
      <alignment vertical="center"/>
    </xf>
    <xf numFmtId="0" fontId="8" fillId="0" borderId="125" xfId="0" applyNumberFormat="1" applyFont="1" applyBorder="1" applyAlignment="1">
      <alignment vertical="center"/>
    </xf>
    <xf numFmtId="177" fontId="34" fillId="5" borderId="19" xfId="0" applyNumberFormat="1" applyFont="1" applyFill="1" applyBorder="1" applyAlignment="1">
      <alignment vertical="center"/>
    </xf>
    <xf numFmtId="177" fontId="34" fillId="5" borderId="125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177" fontId="51" fillId="39" borderId="25" xfId="0" applyNumberFormat="1" applyFont="1" applyFill="1" applyBorder="1" applyAlignment="1">
      <alignment vertical="center"/>
    </xf>
    <xf numFmtId="177" fontId="51" fillId="39" borderId="6" xfId="0" applyNumberFormat="1" applyFont="1" applyFill="1" applyBorder="1" applyAlignment="1">
      <alignment vertical="center"/>
    </xf>
    <xf numFmtId="177" fontId="51" fillId="39" borderId="32" xfId="0" applyNumberFormat="1" applyFont="1" applyFill="1" applyBorder="1" applyAlignment="1">
      <alignment vertical="center"/>
    </xf>
    <xf numFmtId="177" fontId="51" fillId="40" borderId="25" xfId="0" applyNumberFormat="1" applyFont="1" applyFill="1" applyBorder="1" applyAlignment="1">
      <alignment vertical="center"/>
    </xf>
    <xf numFmtId="177" fontId="51" fillId="40" borderId="6" xfId="0" applyNumberFormat="1" applyFont="1" applyFill="1" applyBorder="1" applyAlignment="1">
      <alignment vertical="center"/>
    </xf>
    <xf numFmtId="177" fontId="51" fillId="40" borderId="32" xfId="0" applyNumberFormat="1" applyFont="1" applyFill="1" applyBorder="1" applyAlignment="1">
      <alignment vertical="center"/>
    </xf>
    <xf numFmtId="0" fontId="51" fillId="5" borderId="33" xfId="11" applyFont="1" applyFill="1" applyBorder="1" applyAlignment="1">
      <alignment vertical="center"/>
    </xf>
    <xf numFmtId="177" fontId="51" fillId="5" borderId="25" xfId="0" applyNumberFormat="1" applyFont="1" applyFill="1" applyBorder="1" applyAlignment="1">
      <alignment vertical="center"/>
    </xf>
    <xf numFmtId="177" fontId="51" fillId="5" borderId="6" xfId="0" applyNumberFormat="1" applyFont="1" applyFill="1" applyBorder="1" applyAlignment="1">
      <alignment vertical="center"/>
    </xf>
    <xf numFmtId="177" fontId="51" fillId="5" borderId="32" xfId="0" applyNumberFormat="1" applyFont="1" applyFill="1" applyBorder="1" applyAlignment="1">
      <alignment vertical="center"/>
    </xf>
    <xf numFmtId="177" fontId="51" fillId="5" borderId="33" xfId="0" applyNumberFormat="1" applyFont="1" applyFill="1" applyBorder="1" applyAlignment="1">
      <alignment vertical="center"/>
    </xf>
    <xf numFmtId="177" fontId="51" fillId="5" borderId="22" xfId="0" applyNumberFormat="1" applyFont="1" applyFill="1" applyBorder="1" applyAlignment="1">
      <alignment vertical="center"/>
    </xf>
    <xf numFmtId="177" fontId="51" fillId="5" borderId="34" xfId="0" applyNumberFormat="1" applyFont="1" applyFill="1" applyBorder="1" applyAlignment="1">
      <alignment vertical="center"/>
    </xf>
    <xf numFmtId="177" fontId="51" fillId="0" borderId="25" xfId="0" applyNumberFormat="1" applyFont="1" applyFill="1" applyBorder="1" applyAlignment="1">
      <alignment vertical="center"/>
    </xf>
    <xf numFmtId="177" fontId="51" fillId="0" borderId="6" xfId="0" applyNumberFormat="1" applyFont="1" applyFill="1" applyBorder="1" applyAlignment="1">
      <alignment vertical="center"/>
    </xf>
    <xf numFmtId="177" fontId="51" fillId="0" borderId="32" xfId="0" applyNumberFormat="1" applyFont="1" applyFill="1" applyBorder="1" applyAlignment="1">
      <alignment vertical="center"/>
    </xf>
    <xf numFmtId="177" fontId="51" fillId="41" borderId="25" xfId="0" applyNumberFormat="1" applyFont="1" applyFill="1" applyBorder="1" applyAlignment="1">
      <alignment vertical="center"/>
    </xf>
    <xf numFmtId="177" fontId="51" fillId="41" borderId="6" xfId="0" applyNumberFormat="1" applyFont="1" applyFill="1" applyBorder="1" applyAlignment="1">
      <alignment vertical="center"/>
    </xf>
    <xf numFmtId="177" fontId="51" fillId="41" borderId="32" xfId="0" applyNumberFormat="1" applyFont="1" applyFill="1" applyBorder="1" applyAlignment="1">
      <alignment vertical="center"/>
    </xf>
    <xf numFmtId="177" fontId="51" fillId="38" borderId="25" xfId="0" applyNumberFormat="1" applyFont="1" applyFill="1" applyBorder="1" applyAlignment="1">
      <alignment vertical="center"/>
    </xf>
    <xf numFmtId="177" fontId="51" fillId="38" borderId="6" xfId="0" applyNumberFormat="1" applyFont="1" applyFill="1" applyBorder="1" applyAlignment="1">
      <alignment vertical="center"/>
    </xf>
    <xf numFmtId="177" fontId="51" fillId="38" borderId="32" xfId="0" applyNumberFormat="1" applyFont="1" applyFill="1" applyBorder="1" applyAlignment="1">
      <alignment vertical="center"/>
    </xf>
    <xf numFmtId="41" fontId="76" fillId="0" borderId="21" xfId="3" applyNumberFormat="1" applyFont="1" applyFill="1" applyBorder="1" applyAlignment="1">
      <alignment horizontal="right" vertical="center"/>
    </xf>
    <xf numFmtId="176" fontId="54" fillId="6" borderId="130" xfId="12" applyNumberFormat="1" applyFont="1" applyFill="1" applyBorder="1" applyAlignment="1">
      <alignment horizontal="right" vertical="center"/>
    </xf>
    <xf numFmtId="0" fontId="55" fillId="0" borderId="12" xfId="5" quotePrefix="1" applyNumberFormat="1" applyFont="1" applyFill="1" applyBorder="1" applyAlignment="1">
      <alignment horizontal="justify" vertical="center"/>
    </xf>
    <xf numFmtId="0" fontId="55" fillId="0" borderId="12" xfId="5" quotePrefix="1" applyFont="1" applyFill="1" applyBorder="1" applyAlignment="1">
      <alignment horizontal="justify" vertical="center"/>
    </xf>
    <xf numFmtId="0" fontId="55" fillId="0" borderId="0" xfId="5" quotePrefix="1" applyFont="1" applyFill="1" applyBorder="1" applyAlignment="1">
      <alignment horizontal="justify" vertical="center"/>
    </xf>
    <xf numFmtId="0" fontId="55" fillId="0" borderId="2" xfId="5" applyFont="1" applyBorder="1" applyAlignment="1">
      <alignment vertical="top"/>
    </xf>
    <xf numFmtId="0" fontId="55" fillId="0" borderId="12" xfId="5" applyFont="1" applyBorder="1" applyAlignment="1">
      <alignment vertical="top"/>
    </xf>
    <xf numFmtId="0" fontId="55" fillId="0" borderId="3" xfId="5" applyFont="1" applyBorder="1" applyAlignment="1">
      <alignment vertical="top"/>
    </xf>
    <xf numFmtId="0" fontId="54" fillId="0" borderId="25" xfId="5" applyFont="1" applyBorder="1" applyAlignment="1">
      <alignment vertical="center"/>
    </xf>
    <xf numFmtId="0" fontId="54" fillId="0" borderId="6" xfId="5" applyFont="1" applyBorder="1" applyAlignment="1">
      <alignment vertical="center"/>
    </xf>
    <xf numFmtId="0" fontId="54" fillId="0" borderId="30" xfId="5" applyFont="1" applyBorder="1" applyAlignment="1">
      <alignment vertical="center"/>
    </xf>
    <xf numFmtId="0" fontId="55" fillId="0" borderId="12" xfId="5" applyFont="1" applyBorder="1" applyAlignment="1">
      <alignment vertical="center"/>
    </xf>
    <xf numFmtId="0" fontId="34" fillId="0" borderId="2" xfId="5" applyFont="1" applyBorder="1" applyAlignment="1">
      <alignment vertical="top"/>
    </xf>
    <xf numFmtId="0" fontId="55" fillId="0" borderId="12" xfId="5" applyFont="1" applyBorder="1" applyAlignment="1">
      <alignment horizontal="justify" vertical="center"/>
    </xf>
    <xf numFmtId="0" fontId="34" fillId="0" borderId="3" xfId="5" applyFont="1" applyBorder="1" applyAlignment="1">
      <alignment vertical="center"/>
    </xf>
    <xf numFmtId="0" fontId="54" fillId="0" borderId="30" xfId="5" applyFont="1" applyBorder="1" applyAlignment="1">
      <alignment horizontal="justify" vertical="center"/>
    </xf>
    <xf numFmtId="0" fontId="108" fillId="0" borderId="2" xfId="5" applyFont="1" applyBorder="1" applyAlignment="1">
      <alignment vertical="top"/>
    </xf>
    <xf numFmtId="0" fontId="13" fillId="0" borderId="2" xfId="5" applyFont="1" applyBorder="1" applyAlignment="1">
      <alignment vertical="top"/>
    </xf>
    <xf numFmtId="0" fontId="13" fillId="0" borderId="8" xfId="5" applyFont="1" applyBorder="1" applyAlignment="1">
      <alignment vertical="top"/>
    </xf>
    <xf numFmtId="0" fontId="55" fillId="0" borderId="4" xfId="5" applyFont="1" applyBorder="1" applyAlignment="1">
      <alignment horizontal="justify" vertical="center"/>
    </xf>
    <xf numFmtId="0" fontId="34" fillId="0" borderId="3" xfId="5" applyFont="1" applyBorder="1" applyAlignment="1">
      <alignment vertical="top"/>
    </xf>
    <xf numFmtId="0" fontId="55" fillId="0" borderId="135" xfId="5" applyFont="1" applyFill="1" applyBorder="1" applyAlignment="1">
      <alignment horizontal="justify" vertical="center"/>
    </xf>
    <xf numFmtId="176" fontId="34" fillId="0" borderId="0" xfId="12" applyNumberFormat="1" applyFont="1" applyAlignment="1">
      <alignment vertical="center"/>
    </xf>
    <xf numFmtId="41" fontId="33" fillId="0" borderId="0" xfId="12" applyNumberFormat="1" applyFont="1" applyAlignment="1">
      <alignment vertical="center"/>
    </xf>
    <xf numFmtId="41" fontId="33" fillId="0" borderId="0" xfId="12" applyNumberFormat="1" applyFont="1" applyAlignment="1">
      <alignment horizontal="center" vertical="center"/>
    </xf>
    <xf numFmtId="177" fontId="51" fillId="5" borderId="25" xfId="5" applyNumberFormat="1" applyFont="1" applyFill="1" applyBorder="1" applyAlignment="1">
      <alignment vertical="center"/>
    </xf>
    <xf numFmtId="0" fontId="49" fillId="0" borderId="121" xfId="11" applyFont="1" applyBorder="1" applyAlignment="1">
      <alignment vertical="center"/>
    </xf>
    <xf numFmtId="0" fontId="49" fillId="0" borderId="2" xfId="11" applyFont="1" applyBorder="1" applyAlignment="1">
      <alignment vertical="center" wrapText="1"/>
    </xf>
    <xf numFmtId="0" fontId="49" fillId="0" borderId="12" xfId="11" applyFont="1" applyFill="1" applyBorder="1" applyAlignment="1">
      <alignment vertical="center" wrapText="1"/>
    </xf>
    <xf numFmtId="176" fontId="34" fillId="5" borderId="7" xfId="12" applyNumberFormat="1" applyFont="1" applyFill="1" applyBorder="1" applyAlignment="1">
      <alignment horizontal="right" vertical="center"/>
    </xf>
    <xf numFmtId="176" fontId="51" fillId="0" borderId="7" xfId="12" applyNumberFormat="1" applyFont="1" applyFill="1" applyBorder="1" applyAlignment="1">
      <alignment horizontal="right" vertical="center"/>
    </xf>
    <xf numFmtId="41" fontId="51" fillId="0" borderId="10" xfId="12" applyFont="1" applyFill="1" applyBorder="1" applyAlignment="1">
      <alignment vertical="center"/>
    </xf>
    <xf numFmtId="41" fontId="53" fillId="0" borderId="0" xfId="12" applyFont="1" applyFill="1" applyBorder="1" applyAlignment="1">
      <alignment vertical="center"/>
    </xf>
    <xf numFmtId="41" fontId="51" fillId="0" borderId="0" xfId="12" applyFont="1" applyFill="1" applyBorder="1" applyAlignment="1">
      <alignment vertical="center" shrinkToFit="1"/>
    </xf>
    <xf numFmtId="188" fontId="34" fillId="0" borderId="0" xfId="11" applyNumberFormat="1" applyFont="1" applyFill="1" applyBorder="1" applyAlignment="1">
      <alignment vertical="center" shrinkToFit="1"/>
    </xf>
    <xf numFmtId="41" fontId="51" fillId="0" borderId="0" xfId="12" applyNumberFormat="1" applyFont="1" applyBorder="1" applyAlignment="1">
      <alignment vertical="center" shrinkToFit="1"/>
    </xf>
    <xf numFmtId="188" fontId="34" fillId="0" borderId="0" xfId="11" applyNumberFormat="1" applyFont="1" applyBorder="1" applyAlignment="1">
      <alignment vertical="center"/>
    </xf>
    <xf numFmtId="0" fontId="34" fillId="0" borderId="121" xfId="11" applyFont="1" applyBorder="1" applyAlignment="1">
      <alignment vertical="center"/>
    </xf>
    <xf numFmtId="0" fontId="34" fillId="0" borderId="2" xfId="11" applyFont="1" applyBorder="1" applyAlignment="1">
      <alignment vertical="center"/>
    </xf>
    <xf numFmtId="0" fontId="52" fillId="5" borderId="3" xfId="11" applyFont="1" applyFill="1" applyBorder="1" applyAlignment="1">
      <alignment vertical="center" wrapText="1"/>
    </xf>
    <xf numFmtId="176" fontId="34" fillId="5" borderId="3" xfId="12" applyNumberFormat="1" applyFont="1" applyFill="1" applyBorder="1" applyAlignment="1">
      <alignment horizontal="right" vertical="center"/>
    </xf>
    <xf numFmtId="176" fontId="51" fillId="0" borderId="30" xfId="12" applyNumberFormat="1" applyFont="1" applyFill="1" applyBorder="1" applyAlignment="1">
      <alignment horizontal="right" vertical="center"/>
    </xf>
    <xf numFmtId="0" fontId="51" fillId="0" borderId="30" xfId="12" applyNumberFormat="1" applyFont="1" applyFill="1" applyBorder="1" applyAlignment="1">
      <alignment horizontal="left" vertical="center"/>
    </xf>
    <xf numFmtId="0" fontId="34" fillId="0" borderId="1" xfId="11" applyFont="1" applyFill="1" applyBorder="1" applyAlignment="1">
      <alignment horizontal="center" vertical="center"/>
    </xf>
    <xf numFmtId="41" fontId="51" fillId="0" borderId="18" xfId="12" applyFont="1" applyFill="1" applyBorder="1" applyAlignment="1">
      <alignment horizontal="left" vertical="center"/>
    </xf>
    <xf numFmtId="190" fontId="34" fillId="0" borderId="0" xfId="12" applyNumberFormat="1" applyFont="1" applyFill="1" applyBorder="1" applyAlignment="1">
      <alignment vertical="center" shrinkToFit="1"/>
    </xf>
    <xf numFmtId="178" fontId="34" fillId="0" borderId="0" xfId="11" applyNumberFormat="1" applyFont="1" applyFill="1" applyBorder="1" applyAlignment="1">
      <alignment vertical="center" shrinkToFit="1"/>
    </xf>
    <xf numFmtId="178" fontId="34" fillId="0" borderId="0" xfId="11" applyNumberFormat="1" applyFont="1" applyBorder="1" applyAlignment="1">
      <alignment vertical="center" shrinkToFit="1"/>
    </xf>
    <xf numFmtId="177" fontId="34" fillId="0" borderId="0" xfId="11" applyNumberFormat="1" applyFont="1" applyBorder="1" applyAlignment="1">
      <alignment vertical="center"/>
    </xf>
    <xf numFmtId="0" fontId="52" fillId="0" borderId="2" xfId="11" applyFont="1" applyFill="1" applyBorder="1" applyAlignment="1">
      <alignment vertical="center" wrapText="1"/>
    </xf>
    <xf numFmtId="176" fontId="51" fillId="0" borderId="12" xfId="12" applyNumberFormat="1" applyFont="1" applyFill="1" applyBorder="1" applyAlignment="1">
      <alignment horizontal="right" vertical="center"/>
    </xf>
    <xf numFmtId="41" fontId="51" fillId="0" borderId="10" xfId="12" applyFont="1" applyFill="1" applyBorder="1" applyAlignment="1">
      <alignment horizontal="left" vertical="center"/>
    </xf>
    <xf numFmtId="41" fontId="34" fillId="0" borderId="10" xfId="12" applyFont="1" applyFill="1" applyBorder="1" applyAlignment="1">
      <alignment horizontal="left" vertical="center"/>
    </xf>
    <xf numFmtId="43" fontId="34" fillId="0" borderId="0" xfId="12" applyNumberFormat="1" applyFont="1" applyFill="1" applyBorder="1" applyAlignment="1">
      <alignment vertical="center" shrinkToFit="1"/>
    </xf>
    <xf numFmtId="0" fontId="34" fillId="0" borderId="0" xfId="11" applyFont="1" applyFill="1" applyBorder="1" applyAlignment="1">
      <alignment vertical="center"/>
    </xf>
    <xf numFmtId="176" fontId="51" fillId="0" borderId="8" xfId="12" applyNumberFormat="1" applyFont="1" applyFill="1" applyBorder="1" applyAlignment="1">
      <alignment horizontal="right" vertical="center"/>
    </xf>
    <xf numFmtId="41" fontId="34" fillId="0" borderId="4" xfId="12" applyNumberFormat="1" applyFont="1" applyFill="1" applyBorder="1" applyAlignment="1">
      <alignment vertical="center" shrinkToFit="1"/>
    </xf>
    <xf numFmtId="41" fontId="34" fillId="0" borderId="5" xfId="12" applyNumberFormat="1" applyFont="1" applyFill="1" applyBorder="1" applyAlignment="1">
      <alignment horizontal="center" vertical="center" shrinkToFit="1"/>
    </xf>
    <xf numFmtId="41" fontId="51" fillId="0" borderId="11" xfId="12" applyFont="1" applyFill="1" applyBorder="1" applyAlignment="1">
      <alignment horizontal="right" vertical="center"/>
    </xf>
    <xf numFmtId="41" fontId="110" fillId="0" borderId="0" xfId="12" applyFont="1" applyFill="1" applyBorder="1" applyAlignment="1">
      <alignment vertical="center"/>
    </xf>
    <xf numFmtId="41" fontId="33" fillId="0" borderId="0" xfId="12" applyFont="1" applyFill="1" applyBorder="1" applyAlignment="1">
      <alignment vertical="center" shrinkToFit="1"/>
    </xf>
    <xf numFmtId="188" fontId="33" fillId="0" borderId="0" xfId="11" applyNumberFormat="1" applyFont="1" applyFill="1" applyBorder="1" applyAlignment="1">
      <alignment vertical="center" shrinkToFit="1"/>
    </xf>
    <xf numFmtId="41" fontId="33" fillId="0" borderId="0" xfId="12" applyNumberFormat="1" applyFont="1" applyBorder="1" applyAlignment="1">
      <alignment vertical="center" shrinkToFit="1"/>
    </xf>
    <xf numFmtId="188" fontId="33" fillId="0" borderId="0" xfId="11" applyNumberFormat="1" applyFont="1" applyBorder="1" applyAlignment="1">
      <alignment vertical="center"/>
    </xf>
    <xf numFmtId="188" fontId="33" fillId="0" borderId="0" xfId="11" applyNumberFormat="1" applyFont="1" applyBorder="1" applyAlignment="1">
      <alignment vertical="center" shrinkToFit="1"/>
    </xf>
    <xf numFmtId="0" fontId="49" fillId="0" borderId="35" xfId="11" applyFont="1" applyFill="1" applyBorder="1" applyAlignment="1">
      <alignment vertical="top" wrapText="1"/>
    </xf>
    <xf numFmtId="0" fontId="49" fillId="5" borderId="3" xfId="11" applyFont="1" applyFill="1" applyBorder="1" applyAlignment="1">
      <alignment vertical="top" wrapText="1"/>
    </xf>
    <xf numFmtId="0" fontId="51" fillId="0" borderId="30" xfId="11" applyFont="1" applyFill="1" applyBorder="1" applyAlignment="1">
      <alignment vertical="center" shrinkToFit="1"/>
    </xf>
    <xf numFmtId="0" fontId="34" fillId="0" borderId="1" xfId="11" applyFont="1" applyFill="1" applyBorder="1" applyAlignment="1">
      <alignment horizontal="center" vertical="center" shrinkToFit="1"/>
    </xf>
    <xf numFmtId="41" fontId="51" fillId="0" borderId="18" xfId="12" applyFont="1" applyFill="1" applyBorder="1" applyAlignment="1">
      <alignment horizontal="right" vertical="center"/>
    </xf>
    <xf numFmtId="41" fontId="110" fillId="0" borderId="0" xfId="12" applyFont="1" applyBorder="1" applyAlignment="1">
      <alignment vertical="center"/>
    </xf>
    <xf numFmtId="0" fontId="49" fillId="0" borderId="29" xfId="11" applyFont="1" applyFill="1" applyBorder="1" applyAlignment="1">
      <alignment vertical="top" wrapText="1"/>
    </xf>
    <xf numFmtId="176" fontId="51" fillId="0" borderId="2" xfId="12" applyNumberFormat="1" applyFont="1" applyFill="1" applyBorder="1" applyAlignment="1">
      <alignment vertical="center"/>
    </xf>
    <xf numFmtId="41" fontId="34" fillId="0" borderId="0" xfId="12" applyFont="1" applyFill="1" applyBorder="1" applyAlignment="1">
      <alignment vertical="center"/>
    </xf>
    <xf numFmtId="0" fontId="34" fillId="0" borderId="0" xfId="11" applyFont="1" applyFill="1" applyBorder="1" applyAlignment="1">
      <alignment horizontal="center" vertical="center" shrinkToFit="1"/>
    </xf>
    <xf numFmtId="41" fontId="51" fillId="0" borderId="10" xfId="12" applyFont="1" applyFill="1" applyBorder="1" applyAlignment="1">
      <alignment horizontal="right" vertical="center"/>
    </xf>
    <xf numFmtId="0" fontId="49" fillId="0" borderId="2" xfId="11" applyFont="1" applyFill="1" applyBorder="1" applyAlignment="1">
      <alignment vertical="top" wrapText="1"/>
    </xf>
    <xf numFmtId="0" fontId="34" fillId="0" borderId="12" xfId="11" applyFont="1" applyFill="1" applyBorder="1" applyAlignment="1">
      <alignment vertical="center" shrinkToFit="1"/>
    </xf>
    <xf numFmtId="41" fontId="16" fillId="0" borderId="0" xfId="11" applyNumberFormat="1" applyAlignment="1">
      <alignment vertical="center"/>
    </xf>
    <xf numFmtId="0" fontId="34" fillId="0" borderId="12" xfId="11" applyFont="1" applyFill="1" applyBorder="1" applyAlignment="1">
      <alignment vertical="center" wrapText="1" shrinkToFit="1"/>
    </xf>
    <xf numFmtId="43" fontId="16" fillId="0" borderId="0" xfId="11" applyNumberFormat="1" applyAlignment="1">
      <alignment vertical="center"/>
    </xf>
    <xf numFmtId="0" fontId="34" fillId="0" borderId="4" xfId="11" applyFont="1" applyFill="1" applyBorder="1" applyAlignment="1">
      <alignment vertical="center" shrinkToFit="1"/>
    </xf>
    <xf numFmtId="41" fontId="34" fillId="0" borderId="11" xfId="12" applyFont="1" applyFill="1" applyBorder="1" applyAlignment="1">
      <alignment horizontal="right" vertical="center"/>
    </xf>
    <xf numFmtId="176" fontId="34" fillId="5" borderId="181" xfId="12" applyNumberFormat="1" applyFont="1" applyFill="1" applyBorder="1" applyAlignment="1">
      <alignment vertical="center"/>
    </xf>
    <xf numFmtId="0" fontId="51" fillId="0" borderId="0" xfId="11" applyFont="1" applyFill="1" applyBorder="1" applyAlignment="1">
      <alignment horizontal="center" vertical="center" shrinkToFit="1"/>
    </xf>
    <xf numFmtId="0" fontId="34" fillId="0" borderId="182" xfId="11" applyFont="1" applyFill="1" applyBorder="1" applyAlignment="1">
      <alignment vertical="center" shrinkToFit="1"/>
    </xf>
    <xf numFmtId="0" fontId="51" fillId="0" borderId="183" xfId="11" applyFont="1" applyFill="1" applyBorder="1" applyAlignment="1">
      <alignment horizontal="center" vertical="center" shrinkToFit="1"/>
    </xf>
    <xf numFmtId="176" fontId="51" fillId="0" borderId="7" xfId="12" applyNumberFormat="1" applyFont="1" applyFill="1" applyBorder="1" applyAlignment="1">
      <alignment vertical="center"/>
    </xf>
    <xf numFmtId="41" fontId="51" fillId="0" borderId="16" xfId="12" applyFont="1" applyFill="1" applyBorder="1" applyAlignment="1">
      <alignment horizontal="right" vertical="center"/>
    </xf>
    <xf numFmtId="0" fontId="49" fillId="5" borderId="2" xfId="11" applyFont="1" applyFill="1" applyBorder="1" applyAlignment="1">
      <alignment vertical="top" wrapText="1"/>
    </xf>
    <xf numFmtId="43" fontId="16" fillId="0" borderId="0" xfId="11" applyNumberFormat="1"/>
    <xf numFmtId="0" fontId="49" fillId="0" borderId="8" xfId="11" applyFont="1" applyFill="1" applyBorder="1" applyAlignment="1">
      <alignment vertical="top" wrapText="1"/>
    </xf>
    <xf numFmtId="176" fontId="51" fillId="0" borderId="8" xfId="12" applyNumberFormat="1" applyFont="1" applyFill="1" applyBorder="1" applyAlignment="1">
      <alignment vertical="center"/>
    </xf>
    <xf numFmtId="0" fontId="54" fillId="0" borderId="30" xfId="11" applyFont="1" applyFill="1" applyBorder="1" applyAlignment="1">
      <alignment vertical="center" shrinkToFit="1"/>
    </xf>
    <xf numFmtId="41" fontId="16" fillId="0" borderId="0" xfId="11" applyNumberFormat="1"/>
    <xf numFmtId="0" fontId="34" fillId="0" borderId="25" xfId="12" applyNumberFormat="1" applyFont="1" applyFill="1" applyBorder="1" applyAlignment="1">
      <alignment vertical="center" shrinkToFit="1"/>
    </xf>
    <xf numFmtId="0" fontId="34" fillId="0" borderId="6" xfId="12" applyNumberFormat="1" applyFont="1" applyFill="1" applyBorder="1" applyAlignment="1">
      <alignment horizontal="center" vertical="center" shrinkToFit="1"/>
    </xf>
    <xf numFmtId="41" fontId="51" fillId="0" borderId="16" xfId="12" applyFont="1" applyFill="1" applyBorder="1" applyAlignment="1">
      <alignment vertical="center"/>
    </xf>
    <xf numFmtId="0" fontId="34" fillId="0" borderId="12" xfId="12" applyNumberFormat="1" applyFont="1" applyFill="1" applyBorder="1" applyAlignment="1">
      <alignment vertical="center" shrinkToFit="1"/>
    </xf>
    <xf numFmtId="0" fontId="51" fillId="0" borderId="0" xfId="12" applyNumberFormat="1" applyFont="1" applyFill="1" applyBorder="1" applyAlignment="1">
      <alignment horizontal="center" vertical="center" shrinkToFit="1"/>
    </xf>
    <xf numFmtId="41" fontId="34" fillId="0" borderId="10" xfId="12" applyFont="1" applyFill="1" applyBorder="1" applyAlignment="1">
      <alignment vertical="center"/>
    </xf>
    <xf numFmtId="0" fontId="49" fillId="0" borderId="9" xfId="11" applyFont="1" applyFill="1" applyBorder="1" applyAlignment="1">
      <alignment vertical="top" wrapText="1"/>
    </xf>
    <xf numFmtId="0" fontId="34" fillId="0" borderId="4" xfId="12" applyNumberFormat="1" applyFont="1" applyFill="1" applyBorder="1" applyAlignment="1">
      <alignment vertical="center" shrinkToFit="1"/>
    </xf>
    <xf numFmtId="0" fontId="51" fillId="0" borderId="5" xfId="12" applyNumberFormat="1" applyFont="1" applyFill="1" applyBorder="1" applyAlignment="1">
      <alignment horizontal="center" vertical="center" shrinkToFit="1"/>
    </xf>
    <xf numFmtId="41" fontId="34" fillId="0" borderId="11" xfId="12" applyFont="1" applyFill="1" applyBorder="1" applyAlignment="1">
      <alignment vertical="center"/>
    </xf>
    <xf numFmtId="0" fontId="54" fillId="0" borderId="25" xfId="12" applyNumberFormat="1" applyFont="1" applyFill="1" applyBorder="1" applyAlignment="1">
      <alignment horizontal="left" vertical="center"/>
    </xf>
    <xf numFmtId="41" fontId="51" fillId="0" borderId="18" xfId="12" applyFont="1" applyFill="1" applyBorder="1" applyAlignment="1">
      <alignment vertical="center"/>
    </xf>
    <xf numFmtId="41" fontId="111" fillId="0" borderId="0" xfId="12" applyFont="1"/>
    <xf numFmtId="0" fontId="34" fillId="0" borderId="1" xfId="12" applyNumberFormat="1" applyFont="1" applyFill="1" applyBorder="1" applyAlignment="1">
      <alignment horizontal="center" vertical="center" shrinkToFit="1"/>
    </xf>
    <xf numFmtId="41" fontId="34" fillId="0" borderId="18" xfId="12" applyFont="1" applyFill="1" applyBorder="1" applyAlignment="1">
      <alignment vertical="center"/>
    </xf>
    <xf numFmtId="178" fontId="34" fillId="0" borderId="25" xfId="11" applyNumberFormat="1" applyFont="1" applyFill="1" applyBorder="1" applyAlignment="1">
      <alignment vertical="center" shrinkToFit="1"/>
    </xf>
    <xf numFmtId="178" fontId="34" fillId="0" borderId="6" xfId="11" applyNumberFormat="1" applyFont="1" applyFill="1" applyBorder="1" applyAlignment="1">
      <alignment horizontal="center" vertical="center"/>
    </xf>
    <xf numFmtId="178" fontId="51" fillId="0" borderId="16" xfId="12" applyNumberFormat="1" applyFont="1" applyFill="1" applyBorder="1" applyAlignment="1">
      <alignment horizontal="right" vertical="center"/>
    </xf>
    <xf numFmtId="0" fontId="49" fillId="0" borderId="35" xfId="11" applyFont="1" applyFill="1" applyBorder="1" applyAlignment="1">
      <alignment vertical="center"/>
    </xf>
    <xf numFmtId="176" fontId="51" fillId="0" borderId="3" xfId="12" applyNumberFormat="1" applyFont="1" applyFill="1" applyBorder="1" applyAlignment="1">
      <alignment horizontal="right" vertical="center"/>
    </xf>
    <xf numFmtId="178" fontId="34" fillId="0" borderId="12" xfId="11" applyNumberFormat="1" applyFont="1" applyFill="1" applyBorder="1" applyAlignment="1">
      <alignment vertical="center" wrapText="1" shrinkToFit="1"/>
    </xf>
    <xf numFmtId="178" fontId="51" fillId="0" borderId="1" xfId="11" applyNumberFormat="1" applyFont="1" applyFill="1" applyBorder="1" applyAlignment="1">
      <alignment horizontal="center" vertical="center"/>
    </xf>
    <xf numFmtId="178" fontId="51" fillId="0" borderId="18" xfId="12" applyNumberFormat="1" applyFont="1" applyFill="1" applyBorder="1" applyAlignment="1">
      <alignment horizontal="right" vertical="center"/>
    </xf>
    <xf numFmtId="0" fontId="49" fillId="0" borderId="29" xfId="11" applyFont="1" applyFill="1" applyBorder="1" applyAlignment="1">
      <alignment vertical="center"/>
    </xf>
    <xf numFmtId="0" fontId="49" fillId="0" borderId="2" xfId="11" applyFont="1" applyFill="1" applyBorder="1" applyAlignment="1">
      <alignment vertical="center" wrapText="1"/>
    </xf>
    <xf numFmtId="176" fontId="51" fillId="0" borderId="2" xfId="12" applyNumberFormat="1" applyFont="1" applyFill="1" applyBorder="1" applyAlignment="1">
      <alignment horizontal="right" vertical="center"/>
    </xf>
    <xf numFmtId="178" fontId="51" fillId="0" borderId="0" xfId="11" applyNumberFormat="1" applyFont="1" applyFill="1" applyBorder="1" applyAlignment="1">
      <alignment horizontal="center" vertical="center"/>
    </xf>
    <xf numFmtId="178" fontId="51" fillId="0" borderId="10" xfId="12" applyNumberFormat="1" applyFont="1" applyFill="1" applyBorder="1" applyAlignment="1">
      <alignment horizontal="right" vertical="center"/>
    </xf>
    <xf numFmtId="0" fontId="49" fillId="0" borderId="8" xfId="11" applyFont="1" applyFill="1" applyBorder="1" applyAlignment="1">
      <alignment vertical="center"/>
    </xf>
    <xf numFmtId="0" fontId="49" fillId="0" borderId="8" xfId="11" applyFont="1" applyFill="1" applyBorder="1" applyAlignment="1">
      <alignment vertical="center" wrapText="1"/>
    </xf>
    <xf numFmtId="178" fontId="34" fillId="0" borderId="4" xfId="11" applyNumberFormat="1" applyFont="1" applyFill="1" applyBorder="1" applyAlignment="1">
      <alignment vertical="center" wrapText="1" shrinkToFit="1"/>
    </xf>
    <xf numFmtId="178" fontId="51" fillId="0" borderId="5" xfId="11" applyNumberFormat="1" applyFont="1" applyFill="1" applyBorder="1" applyAlignment="1">
      <alignment horizontal="center" vertical="center"/>
    </xf>
    <xf numFmtId="178" fontId="51" fillId="0" borderId="11" xfId="12" applyNumberFormat="1" applyFont="1" applyFill="1" applyBorder="1" applyAlignment="1">
      <alignment horizontal="right" vertical="center"/>
    </xf>
    <xf numFmtId="178" fontId="51" fillId="0" borderId="25" xfId="11" applyNumberFormat="1" applyFont="1" applyFill="1" applyBorder="1" applyAlignment="1">
      <alignment vertical="center" shrinkToFit="1"/>
    </xf>
    <xf numFmtId="178" fontId="51" fillId="0" borderId="6" xfId="11" applyNumberFormat="1" applyFont="1" applyFill="1" applyBorder="1" applyAlignment="1">
      <alignment horizontal="center" vertical="center"/>
    </xf>
    <xf numFmtId="178" fontId="34" fillId="0" borderId="12" xfId="11" applyNumberFormat="1" applyFont="1" applyFill="1" applyBorder="1" applyAlignment="1">
      <alignment vertical="center" shrinkToFit="1"/>
    </xf>
    <xf numFmtId="0" fontId="9" fillId="0" borderId="30" xfId="2" applyNumberFormat="1" applyFont="1" applyFill="1" applyBorder="1" applyAlignment="1">
      <alignment vertical="center"/>
    </xf>
    <xf numFmtId="0" fontId="49" fillId="5" borderId="3" xfId="11" applyFont="1" applyFill="1" applyBorder="1" applyAlignment="1">
      <alignment vertical="center" wrapText="1"/>
    </xf>
    <xf numFmtId="178" fontId="51" fillId="0" borderId="30" xfId="11" applyNumberFormat="1" applyFont="1" applyFill="1" applyBorder="1" applyAlignment="1">
      <alignment vertical="center" wrapText="1" shrinkToFit="1"/>
    </xf>
    <xf numFmtId="178" fontId="34" fillId="0" borderId="1" xfId="11" applyNumberFormat="1" applyFont="1" applyFill="1" applyBorder="1" applyAlignment="1">
      <alignment horizontal="center" vertical="center"/>
    </xf>
    <xf numFmtId="0" fontId="49" fillId="0" borderId="0" xfId="11" applyFont="1" applyFill="1" applyBorder="1" applyAlignment="1">
      <alignment vertical="center"/>
    </xf>
    <xf numFmtId="178" fontId="34" fillId="0" borderId="0" xfId="11" applyNumberFormat="1" applyFont="1" applyFill="1" applyBorder="1" applyAlignment="1">
      <alignment horizontal="center" vertical="center"/>
    </xf>
    <xf numFmtId="177" fontId="51" fillId="0" borderId="25" xfId="5" applyNumberFormat="1" applyFont="1" applyFill="1" applyBorder="1" applyAlignment="1">
      <alignment vertical="center"/>
    </xf>
    <xf numFmtId="0" fontId="52" fillId="0" borderId="17" xfId="11" applyFont="1" applyFill="1" applyBorder="1" applyAlignment="1">
      <alignment vertical="center"/>
    </xf>
    <xf numFmtId="0" fontId="52" fillId="0" borderId="30" xfId="11" applyFont="1" applyFill="1" applyBorder="1" applyAlignment="1">
      <alignment vertical="center" wrapText="1"/>
    </xf>
    <xf numFmtId="176" fontId="34" fillId="0" borderId="0" xfId="12" applyNumberFormat="1" applyFont="1" applyFill="1" applyBorder="1" applyAlignment="1">
      <alignment horizontal="right" vertical="center"/>
    </xf>
    <xf numFmtId="0" fontId="52" fillId="0" borderId="2" xfId="11" applyFont="1" applyFill="1" applyBorder="1" applyAlignment="1">
      <alignment vertical="center"/>
    </xf>
    <xf numFmtId="0" fontId="52" fillId="0" borderId="179" xfId="11" applyFont="1" applyFill="1" applyBorder="1" applyAlignment="1">
      <alignment vertical="center"/>
    </xf>
    <xf numFmtId="0" fontId="52" fillId="0" borderId="3" xfId="11" applyFont="1" applyFill="1" applyBorder="1" applyAlignment="1">
      <alignment vertical="center" wrapText="1"/>
    </xf>
    <xf numFmtId="0" fontId="52" fillId="0" borderId="178" xfId="11" applyFont="1" applyFill="1" applyBorder="1" applyAlignment="1">
      <alignment vertical="center" wrapText="1"/>
    </xf>
    <xf numFmtId="0" fontId="52" fillId="0" borderId="12" xfId="11" applyFont="1" applyFill="1" applyBorder="1" applyAlignment="1">
      <alignment vertical="center"/>
    </xf>
    <xf numFmtId="0" fontId="52" fillId="0" borderId="179" xfId="11" applyFont="1" applyFill="1" applyBorder="1" applyAlignment="1">
      <alignment vertical="center" wrapText="1"/>
    </xf>
    <xf numFmtId="0" fontId="52" fillId="0" borderId="180" xfId="11" applyFont="1" applyFill="1" applyBorder="1" applyAlignment="1">
      <alignment vertical="center" wrapText="1"/>
    </xf>
    <xf numFmtId="176" fontId="34" fillId="0" borderId="7" xfId="12" applyNumberFormat="1" applyFont="1" applyFill="1" applyBorder="1" applyAlignment="1">
      <alignment vertical="center"/>
    </xf>
    <xf numFmtId="41" fontId="34" fillId="0" borderId="25" xfId="12" applyNumberFormat="1" applyFont="1" applyFill="1" applyBorder="1" applyAlignment="1">
      <alignment vertical="center" shrinkToFit="1"/>
    </xf>
    <xf numFmtId="41" fontId="34" fillId="0" borderId="6" xfId="12" applyNumberFormat="1" applyFont="1" applyFill="1" applyBorder="1" applyAlignment="1">
      <alignment horizontal="center" vertical="center" shrinkToFit="1"/>
    </xf>
    <xf numFmtId="0" fontId="52" fillId="0" borderId="177" xfId="11" applyFont="1" applyFill="1" applyBorder="1" applyAlignment="1">
      <alignment vertical="top" wrapText="1"/>
    </xf>
    <xf numFmtId="0" fontId="52" fillId="0" borderId="2" xfId="11" applyFont="1" applyFill="1" applyBorder="1" applyAlignment="1">
      <alignment vertical="top" wrapText="1"/>
    </xf>
    <xf numFmtId="176" fontId="34" fillId="0" borderId="2" xfId="12" applyNumberFormat="1" applyFont="1" applyFill="1" applyBorder="1" applyAlignment="1">
      <alignment vertical="center"/>
    </xf>
    <xf numFmtId="0" fontId="52" fillId="0" borderId="184" xfId="11" applyFont="1" applyFill="1" applyBorder="1" applyAlignment="1">
      <alignment vertical="center"/>
    </xf>
    <xf numFmtId="0" fontId="52" fillId="0" borderId="178" xfId="11" applyFont="1" applyFill="1" applyBorder="1" applyAlignment="1">
      <alignment vertical="center"/>
    </xf>
    <xf numFmtId="0" fontId="52" fillId="0" borderId="178" xfId="11" applyFont="1" applyFill="1" applyBorder="1" applyAlignment="1">
      <alignment vertical="top" wrapText="1"/>
    </xf>
    <xf numFmtId="0" fontId="52" fillId="0" borderId="8" xfId="11" applyFont="1" applyFill="1" applyBorder="1" applyAlignment="1">
      <alignment vertical="top" wrapText="1"/>
    </xf>
    <xf numFmtId="176" fontId="34" fillId="0" borderId="8" xfId="12" applyNumberFormat="1" applyFont="1" applyFill="1" applyBorder="1" applyAlignment="1">
      <alignment vertical="center"/>
    </xf>
    <xf numFmtId="0" fontId="34" fillId="0" borderId="185" xfId="11" applyFont="1" applyFill="1" applyBorder="1" applyAlignment="1">
      <alignment horizontal="center" vertical="center" shrinkToFit="1"/>
    </xf>
    <xf numFmtId="0" fontId="52" fillId="0" borderId="186" xfId="11" applyFont="1" applyFill="1" applyBorder="1" applyAlignment="1">
      <alignment vertical="center"/>
    </xf>
    <xf numFmtId="0" fontId="52" fillId="0" borderId="187" xfId="11" applyFont="1" applyFill="1" applyBorder="1" applyAlignment="1">
      <alignment vertical="center"/>
    </xf>
    <xf numFmtId="0" fontId="52" fillId="0" borderId="179" xfId="11" applyFont="1" applyFill="1" applyBorder="1" applyAlignment="1">
      <alignment vertical="top" wrapText="1"/>
    </xf>
    <xf numFmtId="0" fontId="55" fillId="0" borderId="12" xfId="11" applyFont="1" applyFill="1" applyBorder="1" applyAlignment="1">
      <alignment vertical="center" shrinkToFit="1"/>
    </xf>
    <xf numFmtId="0" fontId="52" fillId="0" borderId="3" xfId="11" applyFont="1" applyFill="1" applyBorder="1" applyAlignment="1">
      <alignment vertical="center"/>
    </xf>
    <xf numFmtId="178" fontId="34" fillId="0" borderId="10" xfId="12" applyNumberFormat="1" applyFont="1" applyFill="1" applyBorder="1" applyAlignment="1">
      <alignment horizontal="right" vertical="center"/>
    </xf>
    <xf numFmtId="0" fontId="52" fillId="0" borderId="181" xfId="11" applyFont="1" applyFill="1" applyBorder="1" applyAlignment="1">
      <alignment vertical="center"/>
    </xf>
    <xf numFmtId="178" fontId="51" fillId="0" borderId="30" xfId="11" applyNumberFormat="1" applyFont="1" applyFill="1" applyBorder="1" applyAlignment="1">
      <alignment vertical="center" shrinkToFit="1"/>
    </xf>
    <xf numFmtId="0" fontId="52" fillId="0" borderId="8" xfId="11" applyFont="1" applyFill="1" applyBorder="1" applyAlignment="1">
      <alignment vertical="center" wrapText="1"/>
    </xf>
    <xf numFmtId="178" fontId="34" fillId="0" borderId="4" xfId="11" applyNumberFormat="1" applyFont="1" applyFill="1" applyBorder="1" applyAlignment="1">
      <alignment vertical="center" shrinkToFit="1"/>
    </xf>
    <xf numFmtId="178" fontId="34" fillId="0" borderId="5" xfId="11" applyNumberFormat="1" applyFont="1" applyFill="1" applyBorder="1" applyAlignment="1">
      <alignment horizontal="center" vertical="center"/>
    </xf>
    <xf numFmtId="178" fontId="34" fillId="0" borderId="11" xfId="12" applyNumberFormat="1" applyFont="1" applyFill="1" applyBorder="1" applyAlignment="1">
      <alignment horizontal="right" vertical="center"/>
    </xf>
    <xf numFmtId="0" fontId="34" fillId="0" borderId="29" xfId="11" applyFont="1" applyBorder="1" applyAlignment="1">
      <alignment vertical="center"/>
    </xf>
    <xf numFmtId="0" fontId="34" fillId="0" borderId="25" xfId="11" applyFont="1" applyBorder="1" applyAlignment="1">
      <alignment vertical="top"/>
    </xf>
    <xf numFmtId="0" fontId="34" fillId="0" borderId="32" xfId="11" applyFont="1" applyBorder="1" applyAlignment="1">
      <alignment vertical="top"/>
    </xf>
    <xf numFmtId="176" fontId="55" fillId="0" borderId="7" xfId="12" applyNumberFormat="1" applyFont="1" applyBorder="1" applyAlignment="1">
      <alignment horizontal="right" vertical="center"/>
    </xf>
    <xf numFmtId="0" fontId="34" fillId="0" borderId="25" xfId="12" applyNumberFormat="1" applyFont="1" applyBorder="1" applyAlignment="1">
      <alignment horizontal="left" vertical="center"/>
    </xf>
    <xf numFmtId="0" fontId="34" fillId="0" borderId="6" xfId="12" applyNumberFormat="1" applyFont="1" applyBorder="1" applyAlignment="1">
      <alignment horizontal="center" vertical="center"/>
    </xf>
    <xf numFmtId="41" fontId="34" fillId="0" borderId="16" xfId="12" applyFont="1" applyBorder="1" applyAlignment="1">
      <alignment vertical="center"/>
    </xf>
    <xf numFmtId="0" fontId="16" fillId="0" borderId="0" xfId="11" applyFont="1"/>
    <xf numFmtId="0" fontId="34" fillId="0" borderId="3" xfId="11" applyFont="1" applyBorder="1" applyAlignment="1">
      <alignment vertical="center"/>
    </xf>
    <xf numFmtId="176" fontId="55" fillId="0" borderId="3" xfId="12" applyNumberFormat="1" applyFont="1" applyBorder="1" applyAlignment="1">
      <alignment horizontal="right" vertical="center"/>
    </xf>
    <xf numFmtId="0" fontId="54" fillId="0" borderId="30" xfId="12" applyNumberFormat="1" applyFont="1" applyBorder="1" applyAlignment="1">
      <alignment horizontal="left" vertical="center"/>
    </xf>
    <xf numFmtId="0" fontId="55" fillId="0" borderId="1" xfId="11" applyFont="1" applyBorder="1" applyAlignment="1">
      <alignment horizontal="center" vertical="center"/>
    </xf>
    <xf numFmtId="41" fontId="54" fillId="0" borderId="18" xfId="12" applyFont="1" applyBorder="1" applyAlignment="1">
      <alignment horizontal="left" vertical="center"/>
    </xf>
    <xf numFmtId="0" fontId="34" fillId="0" borderId="2" xfId="11" applyFont="1" applyBorder="1" applyAlignment="1">
      <alignment vertical="top"/>
    </xf>
    <xf numFmtId="176" fontId="34" fillId="0" borderId="2" xfId="12" applyNumberFormat="1" applyFont="1" applyBorder="1" applyAlignment="1">
      <alignment horizontal="right" vertical="center"/>
    </xf>
    <xf numFmtId="0" fontId="55" fillId="0" borderId="0" xfId="12" applyNumberFormat="1" applyFont="1" applyBorder="1" applyAlignment="1">
      <alignment horizontal="center" vertical="center"/>
    </xf>
    <xf numFmtId="41" fontId="54" fillId="0" borderId="10" xfId="12" applyFont="1" applyBorder="1" applyAlignment="1">
      <alignment vertical="center"/>
    </xf>
    <xf numFmtId="0" fontId="55" fillId="0" borderId="0" xfId="11" applyFont="1" applyBorder="1" applyAlignment="1">
      <alignment horizontal="center" vertical="center"/>
    </xf>
    <xf numFmtId="0" fontId="34" fillId="0" borderId="29" xfId="11" applyFont="1" applyBorder="1" applyAlignment="1">
      <alignment vertical="top"/>
    </xf>
    <xf numFmtId="0" fontId="34" fillId="0" borderId="12" xfId="11" applyFont="1" applyBorder="1" applyAlignment="1">
      <alignment vertical="center"/>
    </xf>
    <xf numFmtId="0" fontId="34" fillId="0" borderId="25" xfId="11" applyFont="1" applyBorder="1" applyAlignment="1">
      <alignment vertical="center"/>
    </xf>
    <xf numFmtId="0" fontId="34" fillId="0" borderId="32" xfId="11" applyFont="1" applyBorder="1" applyAlignment="1">
      <alignment vertical="center"/>
    </xf>
    <xf numFmtId="41" fontId="55" fillId="0" borderId="25" xfId="12" applyNumberFormat="1" applyFont="1" applyBorder="1" applyAlignment="1">
      <alignment vertical="center" shrinkToFit="1"/>
    </xf>
    <xf numFmtId="41" fontId="55" fillId="0" borderId="6" xfId="12" applyNumberFormat="1" applyFont="1" applyBorder="1" applyAlignment="1">
      <alignment horizontal="center" vertical="center" shrinkToFit="1"/>
    </xf>
    <xf numFmtId="41" fontId="55" fillId="0" borderId="16" xfId="12" applyFont="1" applyBorder="1" applyAlignment="1">
      <alignment horizontal="right" vertical="center"/>
    </xf>
    <xf numFmtId="176" fontId="55" fillId="0" borderId="3" xfId="12" applyNumberFormat="1" applyFont="1" applyBorder="1" applyAlignment="1">
      <alignment vertical="center"/>
    </xf>
    <xf numFmtId="176" fontId="34" fillId="0" borderId="3" xfId="12" applyNumberFormat="1" applyFont="1" applyBorder="1" applyAlignment="1">
      <alignment vertical="center"/>
    </xf>
    <xf numFmtId="0" fontId="54" fillId="0" borderId="1" xfId="11" applyFont="1" applyBorder="1" applyAlignment="1">
      <alignment vertical="center" shrinkToFit="1"/>
    </xf>
    <xf numFmtId="0" fontId="55" fillId="0" borderId="1" xfId="11" applyFont="1" applyBorder="1" applyAlignment="1">
      <alignment horizontal="center" vertical="center" shrinkToFit="1"/>
    </xf>
    <xf numFmtId="41" fontId="54" fillId="0" borderId="18" xfId="12" applyFont="1" applyBorder="1" applyAlignment="1">
      <alignment horizontal="right" vertical="center"/>
    </xf>
    <xf numFmtId="9" fontId="33" fillId="0" borderId="0" xfId="11" applyNumberFormat="1" applyFont="1" applyAlignment="1">
      <alignment vertical="center"/>
    </xf>
    <xf numFmtId="176" fontId="34" fillId="0" borderId="29" xfId="12" applyNumberFormat="1" applyFont="1" applyBorder="1" applyAlignment="1">
      <alignment vertical="center"/>
    </xf>
    <xf numFmtId="41" fontId="55" fillId="0" borderId="0" xfId="12" applyNumberFormat="1" applyFont="1" applyBorder="1" applyAlignment="1">
      <alignment horizontal="left" vertical="center" shrinkToFit="1"/>
    </xf>
    <xf numFmtId="41" fontId="55" fillId="0" borderId="10" xfId="12" applyFont="1" applyBorder="1" applyAlignment="1">
      <alignment horizontal="right" vertical="center"/>
    </xf>
    <xf numFmtId="41" fontId="33" fillId="0" borderId="0" xfId="92" applyFont="1" applyAlignment="1">
      <alignment vertical="center"/>
    </xf>
    <xf numFmtId="0" fontId="55" fillId="0" borderId="0" xfId="11" applyFont="1" applyFill="1" applyBorder="1" applyAlignment="1">
      <alignment horizontal="center" vertical="center"/>
    </xf>
    <xf numFmtId="0" fontId="55" fillId="0" borderId="3" xfId="11" applyFont="1" applyFill="1" applyBorder="1" applyAlignment="1">
      <alignment vertical="center"/>
    </xf>
    <xf numFmtId="176" fontId="55" fillId="0" borderId="3" xfId="12" applyNumberFormat="1" applyFont="1" applyFill="1" applyBorder="1" applyAlignment="1">
      <alignment vertical="center"/>
    </xf>
    <xf numFmtId="176" fontId="34" fillId="0" borderId="35" xfId="12" applyNumberFormat="1" applyFont="1" applyBorder="1" applyAlignment="1">
      <alignment vertical="center"/>
    </xf>
    <xf numFmtId="178" fontId="54" fillId="0" borderId="30" xfId="12" applyNumberFormat="1" applyFont="1" applyFill="1" applyBorder="1" applyAlignment="1">
      <alignment vertical="center"/>
    </xf>
    <xf numFmtId="178" fontId="55" fillId="0" borderId="1" xfId="11" quotePrefix="1" applyNumberFormat="1" applyFont="1" applyFill="1" applyBorder="1" applyAlignment="1">
      <alignment horizontal="center" vertical="center"/>
    </xf>
    <xf numFmtId="178" fontId="54" fillId="0" borderId="18" xfId="12" applyNumberFormat="1" applyFont="1" applyFill="1" applyBorder="1" applyAlignment="1">
      <alignment vertical="center"/>
    </xf>
    <xf numFmtId="176" fontId="55" fillId="0" borderId="2" xfId="12" applyNumberFormat="1" applyFont="1" applyFill="1" applyBorder="1" applyAlignment="1">
      <alignment vertical="center"/>
    </xf>
    <xf numFmtId="176" fontId="55" fillId="0" borderId="2" xfId="12" applyNumberFormat="1" applyFont="1" applyFill="1" applyBorder="1" applyAlignment="1">
      <alignment horizontal="right" vertical="center"/>
    </xf>
    <xf numFmtId="0" fontId="55" fillId="0" borderId="0" xfId="11" applyFont="1" applyBorder="1" applyAlignment="1">
      <alignment vertical="center" shrinkToFit="1"/>
    </xf>
    <xf numFmtId="0" fontId="34" fillId="0" borderId="3" xfId="11" applyFont="1" applyBorder="1" applyAlignment="1">
      <alignment vertical="top"/>
    </xf>
    <xf numFmtId="41" fontId="54" fillId="0" borderId="1" xfId="12" applyNumberFormat="1" applyFont="1" applyBorder="1" applyAlignment="1">
      <alignment horizontal="left" vertical="center" shrinkToFit="1"/>
    </xf>
    <xf numFmtId="41" fontId="55" fillId="0" borderId="12" xfId="12" applyNumberFormat="1" applyFont="1" applyBorder="1" applyAlignment="1">
      <alignment horizontal="left" vertical="center" shrinkToFit="1"/>
    </xf>
    <xf numFmtId="176" fontId="34" fillId="0" borderId="2" xfId="12" applyNumberFormat="1" applyFont="1" applyBorder="1" applyAlignment="1">
      <alignment vertical="center"/>
    </xf>
    <xf numFmtId="0" fontId="55" fillId="0" borderId="12" xfId="11" applyFont="1" applyBorder="1" applyAlignment="1">
      <alignment horizontal="left" vertical="center" shrinkToFit="1"/>
    </xf>
    <xf numFmtId="0" fontId="55" fillId="0" borderId="0" xfId="11" applyFont="1" applyBorder="1" applyAlignment="1">
      <alignment horizontal="center" vertical="center" shrinkToFit="1"/>
    </xf>
    <xf numFmtId="0" fontId="112" fillId="0" borderId="0" xfId="11" applyFont="1" applyAlignment="1">
      <alignment horizontal="center" vertical="center"/>
    </xf>
    <xf numFmtId="0" fontId="54" fillId="0" borderId="30" xfId="11" applyFont="1" applyBorder="1" applyAlignment="1">
      <alignment horizontal="left" vertical="center" shrinkToFit="1"/>
    </xf>
    <xf numFmtId="41" fontId="54" fillId="0" borderId="18" xfId="12" applyFont="1" applyBorder="1" applyAlignment="1">
      <alignment vertical="center"/>
    </xf>
    <xf numFmtId="41" fontId="112" fillId="0" borderId="0" xfId="12" applyFont="1" applyAlignment="1">
      <alignment horizontal="center" vertical="center"/>
    </xf>
    <xf numFmtId="0" fontId="55" fillId="0" borderId="0" xfId="11" applyFont="1" applyBorder="1" applyAlignment="1">
      <alignment horizontal="justify" vertical="center" wrapText="1"/>
    </xf>
    <xf numFmtId="0" fontId="34" fillId="0" borderId="8" xfId="11" applyFont="1" applyBorder="1" applyAlignment="1">
      <alignment vertical="center"/>
    </xf>
    <xf numFmtId="176" fontId="34" fillId="0" borderId="8" xfId="12" applyNumberFormat="1" applyFont="1" applyBorder="1" applyAlignment="1">
      <alignment vertical="center"/>
    </xf>
    <xf numFmtId="0" fontId="55" fillId="0" borderId="4" xfId="12" applyNumberFormat="1" applyFont="1" applyFill="1" applyBorder="1" applyAlignment="1">
      <alignment vertical="center"/>
    </xf>
    <xf numFmtId="0" fontId="55" fillId="0" borderId="5" xfId="11" applyFont="1" applyBorder="1" applyAlignment="1">
      <alignment horizontal="center" vertical="center"/>
    </xf>
    <xf numFmtId="0" fontId="54" fillId="0" borderId="12" xfId="11" applyFont="1" applyBorder="1" applyAlignment="1">
      <alignment horizontal="left" vertical="center" shrinkToFit="1"/>
    </xf>
    <xf numFmtId="0" fontId="51" fillId="0" borderId="30" xfId="11" applyFont="1" applyBorder="1" applyAlignment="1">
      <alignment vertical="center"/>
    </xf>
    <xf numFmtId="176" fontId="55" fillId="0" borderId="32" xfId="12" applyNumberFormat="1" applyFont="1" applyFill="1" applyBorder="1" applyAlignment="1">
      <alignment vertical="center"/>
    </xf>
    <xf numFmtId="176" fontId="34" fillId="0" borderId="7" xfId="12" applyNumberFormat="1" applyFont="1" applyBorder="1" applyAlignment="1">
      <alignment vertical="center"/>
    </xf>
    <xf numFmtId="0" fontId="55" fillId="0" borderId="6" xfId="11" applyFont="1" applyBorder="1" applyAlignment="1">
      <alignment vertical="center" shrinkToFit="1"/>
    </xf>
    <xf numFmtId="0" fontId="55" fillId="0" borderId="6" xfId="11" applyFont="1" applyBorder="1" applyAlignment="1">
      <alignment horizontal="center" vertical="center"/>
    </xf>
    <xf numFmtId="0" fontId="54" fillId="0" borderId="0" xfId="11" applyFont="1" applyBorder="1" applyAlignment="1">
      <alignment vertical="center" shrinkToFit="1"/>
    </xf>
    <xf numFmtId="41" fontId="54" fillId="0" borderId="10" xfId="12" applyFont="1" applyBorder="1" applyAlignment="1">
      <alignment horizontal="right" vertical="center"/>
    </xf>
    <xf numFmtId="41" fontId="55" fillId="0" borderId="10" xfId="12" applyFont="1" applyFill="1" applyBorder="1" applyAlignment="1">
      <alignment vertical="center"/>
    </xf>
    <xf numFmtId="0" fontId="34" fillId="0" borderId="4" xfId="11" applyFont="1" applyBorder="1" applyAlignment="1">
      <alignment vertical="center"/>
    </xf>
    <xf numFmtId="0" fontId="55" fillId="0" borderId="4" xfId="11" applyFont="1" applyFill="1" applyBorder="1" applyAlignment="1">
      <alignment vertical="center"/>
    </xf>
    <xf numFmtId="176" fontId="55" fillId="0" borderId="7" xfId="12" applyNumberFormat="1" applyFont="1" applyFill="1" applyBorder="1" applyAlignment="1">
      <alignment vertical="center"/>
    </xf>
    <xf numFmtId="176" fontId="55" fillId="0" borderId="7" xfId="12" applyNumberFormat="1" applyFont="1" applyFill="1" applyBorder="1" applyAlignment="1">
      <alignment horizontal="right" vertical="center"/>
    </xf>
    <xf numFmtId="0" fontId="55" fillId="0" borderId="12" xfId="11" applyFont="1" applyFill="1" applyBorder="1" applyAlignment="1">
      <alignment vertical="center"/>
    </xf>
    <xf numFmtId="176" fontId="55" fillId="0" borderId="3" xfId="12" applyNumberFormat="1" applyFont="1" applyFill="1" applyBorder="1" applyAlignment="1">
      <alignment horizontal="right" vertical="center"/>
    </xf>
    <xf numFmtId="0" fontId="55" fillId="0" borderId="25" xfId="11" applyFont="1" applyFill="1" applyBorder="1" applyAlignment="1">
      <alignment vertical="center"/>
    </xf>
    <xf numFmtId="0" fontId="55" fillId="0" borderId="32" xfId="11" applyFont="1" applyFill="1" applyBorder="1" applyAlignment="1">
      <alignment vertical="center"/>
    </xf>
    <xf numFmtId="178" fontId="55" fillId="0" borderId="25" xfId="12" applyNumberFormat="1" applyFont="1" applyFill="1" applyBorder="1" applyAlignment="1">
      <alignment vertical="center"/>
    </xf>
    <xf numFmtId="178" fontId="55" fillId="0" borderId="6" xfId="11" quotePrefix="1" applyNumberFormat="1" applyFont="1" applyFill="1" applyBorder="1" applyAlignment="1">
      <alignment horizontal="center" vertical="center"/>
    </xf>
    <xf numFmtId="178" fontId="55" fillId="0" borderId="16" xfId="12" applyNumberFormat="1" applyFont="1" applyFill="1" applyBorder="1" applyAlignment="1">
      <alignment vertical="center"/>
    </xf>
    <xf numFmtId="178" fontId="54" fillId="0" borderId="12" xfId="12" applyNumberFormat="1" applyFont="1" applyFill="1" applyBorder="1" applyAlignment="1">
      <alignment vertical="center"/>
    </xf>
    <xf numFmtId="178" fontId="55" fillId="0" borderId="0" xfId="11" quotePrefix="1" applyNumberFormat="1" applyFont="1" applyFill="1" applyBorder="1" applyAlignment="1">
      <alignment horizontal="center" vertical="center"/>
    </xf>
    <xf numFmtId="178" fontId="54" fillId="0" borderId="10" xfId="12" applyNumberFormat="1" applyFont="1" applyFill="1" applyBorder="1" applyAlignment="1">
      <alignment vertical="center"/>
    </xf>
    <xf numFmtId="0" fontId="55" fillId="0" borderId="8" xfId="11" applyFont="1" applyFill="1" applyBorder="1" applyAlignment="1">
      <alignment vertical="center"/>
    </xf>
    <xf numFmtId="176" fontId="55" fillId="0" borderId="8" xfId="12" applyNumberFormat="1" applyFont="1" applyFill="1" applyBorder="1" applyAlignment="1">
      <alignment vertical="center"/>
    </xf>
    <xf numFmtId="176" fontId="55" fillId="0" borderId="8" xfId="12" applyNumberFormat="1" applyFont="1" applyFill="1" applyBorder="1" applyAlignment="1">
      <alignment horizontal="right" vertical="center"/>
    </xf>
    <xf numFmtId="0" fontId="55" fillId="0" borderId="5" xfId="11" applyFont="1" applyBorder="1" applyAlignment="1">
      <alignment vertical="center" shrinkToFit="1"/>
    </xf>
    <xf numFmtId="41" fontId="55" fillId="0" borderId="11" xfId="12" applyFont="1" applyBorder="1" applyAlignment="1">
      <alignment vertical="center"/>
    </xf>
    <xf numFmtId="0" fontId="49" fillId="0" borderId="17" xfId="11" applyFont="1" applyBorder="1" applyAlignment="1">
      <alignment vertical="center"/>
    </xf>
    <xf numFmtId="177" fontId="34" fillId="0" borderId="29" xfId="5" applyNumberFormat="1" applyFont="1" applyBorder="1" applyAlignment="1">
      <alignment vertical="center"/>
    </xf>
    <xf numFmtId="177" fontId="34" fillId="0" borderId="2" xfId="5" applyNumberFormat="1" applyFont="1" applyBorder="1" applyAlignment="1">
      <alignment horizontal="left" vertical="center"/>
    </xf>
    <xf numFmtId="177" fontId="34" fillId="0" borderId="3" xfId="5" applyNumberFormat="1" applyFont="1" applyBorder="1" applyAlignment="1">
      <alignment horizontal="left" vertical="center"/>
    </xf>
    <xf numFmtId="177" fontId="34" fillId="0" borderId="25" xfId="5" applyNumberFormat="1" applyFont="1" applyBorder="1" applyAlignment="1">
      <alignment vertical="center"/>
    </xf>
    <xf numFmtId="177" fontId="34" fillId="0" borderId="32" xfId="5" applyNumberFormat="1" applyFont="1" applyBorder="1" applyAlignment="1">
      <alignment vertical="center"/>
    </xf>
    <xf numFmtId="177" fontId="34" fillId="0" borderId="25" xfId="12" applyNumberFormat="1" applyFont="1" applyBorder="1" applyAlignment="1">
      <alignment vertical="center"/>
    </xf>
    <xf numFmtId="177" fontId="34" fillId="0" borderId="6" xfId="12" applyNumberFormat="1" applyFont="1" applyBorder="1" applyAlignment="1">
      <alignment horizontal="center" vertical="center"/>
    </xf>
    <xf numFmtId="177" fontId="34" fillId="0" borderId="16" xfId="5" applyNumberFormat="1" applyFont="1" applyBorder="1" applyAlignment="1">
      <alignment vertical="center"/>
    </xf>
    <xf numFmtId="177" fontId="34" fillId="0" borderId="2" xfId="5" applyNumberFormat="1" applyFont="1" applyBorder="1" applyAlignment="1">
      <alignment vertical="center"/>
    </xf>
    <xf numFmtId="177" fontId="34" fillId="0" borderId="3" xfId="5" applyNumberFormat="1" applyFont="1" applyBorder="1" applyAlignment="1">
      <alignment vertical="center"/>
    </xf>
    <xf numFmtId="177" fontId="51" fillId="0" borderId="30" xfId="5" applyNumberFormat="1" applyFont="1" applyBorder="1" applyAlignment="1">
      <alignment vertical="center"/>
    </xf>
    <xf numFmtId="177" fontId="34" fillId="0" borderId="1" xfId="5" applyNumberFormat="1" applyFont="1" applyBorder="1" applyAlignment="1">
      <alignment horizontal="center" vertical="center"/>
    </xf>
    <xf numFmtId="177" fontId="51" fillId="0" borderId="18" xfId="12" applyNumberFormat="1" applyFont="1" applyBorder="1" applyAlignment="1">
      <alignment vertical="center"/>
    </xf>
    <xf numFmtId="177" fontId="34" fillId="0" borderId="2" xfId="5" applyNumberFormat="1" applyFont="1" applyBorder="1" applyAlignment="1">
      <alignment vertical="center" wrapText="1"/>
    </xf>
    <xf numFmtId="41" fontId="34" fillId="0" borderId="2" xfId="12" applyFont="1" applyBorder="1" applyAlignment="1">
      <alignment vertical="center"/>
    </xf>
    <xf numFmtId="184" fontId="34" fillId="0" borderId="2" xfId="12" applyNumberFormat="1" applyFont="1" applyBorder="1" applyAlignment="1">
      <alignment vertical="center"/>
    </xf>
    <xf numFmtId="177" fontId="34" fillId="0" borderId="0" xfId="5" applyNumberFormat="1" applyFont="1" applyBorder="1" applyAlignment="1">
      <alignment horizontal="center" vertical="center"/>
    </xf>
    <xf numFmtId="41" fontId="34" fillId="0" borderId="10" xfId="12" applyFont="1" applyBorder="1" applyAlignment="1">
      <alignment vertical="center"/>
    </xf>
    <xf numFmtId="0" fontId="49" fillId="0" borderId="19" xfId="11" applyFont="1" applyBorder="1" applyAlignment="1">
      <alignment vertical="center"/>
    </xf>
    <xf numFmtId="177" fontId="34" fillId="0" borderId="74" xfId="5" applyNumberFormat="1" applyFont="1" applyBorder="1" applyAlignment="1">
      <alignment vertical="center"/>
    </xf>
    <xf numFmtId="177" fontId="34" fillId="0" borderId="20" xfId="5" applyNumberFormat="1" applyFont="1" applyBorder="1" applyAlignment="1">
      <alignment vertical="center"/>
    </xf>
    <xf numFmtId="0" fontId="51" fillId="0" borderId="7" xfId="3" applyNumberFormat="1" applyFont="1" applyFill="1" applyBorder="1" applyAlignment="1">
      <alignment vertical="center"/>
    </xf>
    <xf numFmtId="0" fontId="51" fillId="0" borderId="39" xfId="3" applyNumberFormat="1" applyFont="1" applyFill="1" applyBorder="1" applyAlignment="1">
      <alignment vertical="center"/>
    </xf>
    <xf numFmtId="10" fontId="34" fillId="2" borderId="0" xfId="2" applyNumberFormat="1" applyFont="1" applyFill="1" applyBorder="1" applyAlignment="1">
      <alignment horizontal="center" vertical="center"/>
    </xf>
    <xf numFmtId="0" fontId="55" fillId="0" borderId="0" xfId="3" applyNumberFormat="1" applyFont="1" applyFill="1" applyBorder="1" applyAlignment="1">
      <alignment horizontal="center" vertical="center"/>
    </xf>
    <xf numFmtId="0" fontId="51" fillId="0" borderId="30" xfId="2" applyNumberFormat="1" applyFont="1" applyFill="1" applyBorder="1" applyAlignment="1">
      <alignment horizontal="left" vertical="center"/>
    </xf>
    <xf numFmtId="0" fontId="54" fillId="0" borderId="0" xfId="3" applyNumberFormat="1" applyFont="1" applyFill="1" applyBorder="1" applyAlignment="1">
      <alignment horizontal="left" vertical="center"/>
    </xf>
    <xf numFmtId="0" fontId="49" fillId="0" borderId="29" xfId="2" applyNumberFormat="1" applyFont="1" applyFill="1" applyBorder="1" applyAlignment="1">
      <alignment vertical="center"/>
    </xf>
    <xf numFmtId="0" fontId="13" fillId="0" borderId="1" xfId="2" applyNumberFormat="1" applyFont="1" applyBorder="1" applyAlignment="1">
      <alignment vertical="center"/>
    </xf>
    <xf numFmtId="0" fontId="8" fillId="0" borderId="1" xfId="2" applyNumberFormat="1" applyFont="1" applyBorder="1" applyAlignment="1">
      <alignment vertical="center"/>
    </xf>
    <xf numFmtId="41" fontId="9" fillId="0" borderId="18" xfId="2" applyNumberFormat="1" applyFont="1" applyBorder="1" applyAlignment="1">
      <alignment vertical="center"/>
    </xf>
    <xf numFmtId="176" fontId="71" fillId="0" borderId="0" xfId="3" applyNumberFormat="1" applyFont="1" applyFill="1" applyBorder="1" applyAlignment="1">
      <alignment vertical="center"/>
    </xf>
    <xf numFmtId="176" fontId="76" fillId="0" borderId="0" xfId="3" applyNumberFormat="1" applyFont="1" applyFill="1" applyBorder="1" applyAlignment="1">
      <alignment vertical="center"/>
    </xf>
    <xf numFmtId="41" fontId="34" fillId="0" borderId="10" xfId="12" applyFont="1" applyFill="1" applyBorder="1" applyAlignment="1">
      <alignment vertical="center" shrinkToFit="1"/>
    </xf>
    <xf numFmtId="38" fontId="55" fillId="0" borderId="2" xfId="80" applyNumberFormat="1" applyFont="1" applyFill="1" applyBorder="1" applyAlignment="1">
      <alignment horizontal="right" vertical="center" shrinkToFit="1"/>
    </xf>
    <xf numFmtId="177" fontId="62" fillId="0" borderId="2" xfId="80" applyNumberFormat="1" applyFont="1" applyFill="1" applyBorder="1" applyAlignment="1">
      <alignment horizontal="right" vertical="center"/>
    </xf>
    <xf numFmtId="0" fontId="55" fillId="0" borderId="2" xfId="80" applyNumberFormat="1" applyFont="1" applyFill="1" applyBorder="1" applyAlignment="1">
      <alignment horizontal="right" vertical="center" shrinkToFit="1"/>
    </xf>
    <xf numFmtId="0" fontId="62" fillId="0" borderId="2" xfId="80" applyNumberFormat="1" applyFont="1" applyFill="1" applyBorder="1" applyAlignment="1">
      <alignment horizontal="right" vertical="center"/>
    </xf>
    <xf numFmtId="0" fontId="62" fillId="0" borderId="29" xfId="11" applyNumberFormat="1" applyFont="1" applyFill="1" applyBorder="1" applyAlignment="1">
      <alignment vertical="center" wrapText="1"/>
    </xf>
    <xf numFmtId="41" fontId="55" fillId="0" borderId="2" xfId="80" applyNumberFormat="1" applyFont="1" applyFill="1" applyBorder="1" applyAlignment="1">
      <alignment vertical="center" shrinkToFit="1"/>
    </xf>
    <xf numFmtId="38" fontId="62" fillId="0" borderId="2" xfId="80" applyNumberFormat="1" applyFont="1" applyFill="1" applyBorder="1" applyAlignment="1">
      <alignment horizontal="right" vertical="center"/>
    </xf>
    <xf numFmtId="0" fontId="62" fillId="0" borderId="19" xfId="11" applyNumberFormat="1" applyFont="1" applyFill="1" applyBorder="1" applyAlignment="1">
      <alignment vertical="center"/>
    </xf>
    <xf numFmtId="178" fontId="55" fillId="0" borderId="10" xfId="12" applyNumberFormat="1" applyFont="1" applyFill="1" applyBorder="1" applyAlignment="1">
      <alignment vertical="center" shrinkToFit="1"/>
    </xf>
    <xf numFmtId="41" fontId="55" fillId="0" borderId="10" xfId="12" applyNumberFormat="1" applyFont="1" applyFill="1" applyBorder="1" applyAlignment="1">
      <alignment vertical="center" shrinkToFit="1"/>
    </xf>
    <xf numFmtId="0" fontId="55" fillId="0" borderId="12" xfId="12" applyNumberFormat="1" applyFont="1" applyFill="1" applyBorder="1" applyAlignment="1">
      <alignment horizontal="left" vertical="center"/>
    </xf>
    <xf numFmtId="0" fontId="55" fillId="0" borderId="0" xfId="11" applyNumberFormat="1" applyFont="1" applyFill="1" applyBorder="1" applyAlignment="1">
      <alignment vertical="center"/>
    </xf>
    <xf numFmtId="0" fontId="55" fillId="0" borderId="0" xfId="80" applyNumberFormat="1" applyFont="1" applyFill="1" applyBorder="1" applyAlignment="1">
      <alignment vertical="center"/>
    </xf>
    <xf numFmtId="41" fontId="55" fillId="0" borderId="25" xfId="3" applyNumberFormat="1" applyFont="1" applyFill="1" applyBorder="1" applyAlignment="1">
      <alignment horizontal="left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76" fillId="0" borderId="121" xfId="11" applyFont="1" applyBorder="1" applyAlignment="1">
      <alignment vertical="center"/>
    </xf>
    <xf numFmtId="0" fontId="55" fillId="5" borderId="2" xfId="11" applyFont="1" applyFill="1" applyBorder="1" applyAlignment="1">
      <alignment vertical="center" wrapText="1"/>
    </xf>
    <xf numFmtId="0" fontId="55" fillId="5" borderId="29" xfId="11" applyFont="1" applyFill="1" applyBorder="1" applyAlignment="1">
      <alignment vertical="center" wrapText="1"/>
    </xf>
    <xf numFmtId="41" fontId="55" fillId="5" borderId="2" xfId="12" applyFont="1" applyFill="1" applyBorder="1" applyAlignment="1">
      <alignment horizontal="right" vertical="center"/>
    </xf>
    <xf numFmtId="181" fontId="55" fillId="5" borderId="2" xfId="12" applyNumberFormat="1" applyFont="1" applyFill="1" applyBorder="1" applyAlignment="1">
      <alignment horizontal="right" vertical="center"/>
    </xf>
    <xf numFmtId="41" fontId="55" fillId="0" borderId="0" xfId="12" applyFont="1" applyBorder="1" applyAlignment="1">
      <alignment vertical="center" shrinkToFit="1"/>
    </xf>
    <xf numFmtId="188" fontId="71" fillId="0" borderId="0" xfId="11" applyNumberFormat="1" applyFont="1" applyAlignment="1">
      <alignment vertical="center"/>
    </xf>
    <xf numFmtId="0" fontId="71" fillId="0" borderId="0" xfId="11" applyFont="1" applyAlignment="1">
      <alignment vertical="center"/>
    </xf>
    <xf numFmtId="178" fontId="55" fillId="5" borderId="10" xfId="12" applyNumberFormat="1" applyFont="1" applyFill="1" applyBorder="1" applyAlignment="1">
      <alignment horizontal="left" vertical="center"/>
    </xf>
    <xf numFmtId="0" fontId="55" fillId="5" borderId="12" xfId="11" applyFont="1" applyFill="1" applyBorder="1" applyAlignment="1">
      <alignment vertical="center" wrapText="1"/>
    </xf>
    <xf numFmtId="181" fontId="55" fillId="5" borderId="29" xfId="12" applyNumberFormat="1" applyFont="1" applyFill="1" applyBorder="1" applyAlignment="1">
      <alignment horizontal="right" vertical="center"/>
    </xf>
    <xf numFmtId="41" fontId="55" fillId="5" borderId="29" xfId="12" applyFont="1" applyFill="1" applyBorder="1" applyAlignment="1">
      <alignment horizontal="right" vertical="center"/>
    </xf>
    <xf numFmtId="41" fontId="55" fillId="5" borderId="2" xfId="12" applyFont="1" applyFill="1" applyBorder="1" applyAlignment="1">
      <alignment vertical="center"/>
    </xf>
    <xf numFmtId="41" fontId="55" fillId="5" borderId="8" xfId="12" applyFont="1" applyFill="1" applyBorder="1" applyAlignment="1">
      <alignment vertical="center"/>
    </xf>
    <xf numFmtId="41" fontId="55" fillId="5" borderId="8" xfId="12" applyFont="1" applyFill="1" applyBorder="1" applyAlignment="1">
      <alignment horizontal="right" vertical="center"/>
    </xf>
    <xf numFmtId="181" fontId="55" fillId="5" borderId="8" xfId="12" applyNumberFormat="1" applyFont="1" applyFill="1" applyBorder="1" applyAlignment="1">
      <alignment horizontal="right" vertical="center"/>
    </xf>
    <xf numFmtId="178" fontId="55" fillId="5" borderId="11" xfId="12" applyNumberFormat="1" applyFont="1" applyFill="1" applyBorder="1" applyAlignment="1">
      <alignment horizontal="left" vertical="center"/>
    </xf>
    <xf numFmtId="0" fontId="55" fillId="5" borderId="9" xfId="11" applyFont="1" applyFill="1" applyBorder="1" applyAlignment="1">
      <alignment vertical="center" wrapText="1"/>
    </xf>
    <xf numFmtId="41" fontId="71" fillId="0" borderId="0" xfId="12" applyFont="1" applyBorder="1" applyAlignment="1">
      <alignment vertical="center" shrinkToFit="1"/>
    </xf>
    <xf numFmtId="0" fontId="55" fillId="5" borderId="12" xfId="11" applyFont="1" applyFill="1" applyBorder="1" applyAlignment="1">
      <alignment vertical="top" wrapText="1"/>
    </xf>
    <xf numFmtId="0" fontId="55" fillId="5" borderId="12" xfId="11" applyFont="1" applyFill="1" applyBorder="1" applyAlignment="1">
      <alignment horizontal="left" vertical="top" wrapText="1"/>
    </xf>
    <xf numFmtId="0" fontId="55" fillId="5" borderId="2" xfId="11" applyFont="1" applyFill="1" applyBorder="1" applyAlignment="1">
      <alignment horizontal="left" vertical="top" wrapText="1"/>
    </xf>
    <xf numFmtId="0" fontId="49" fillId="0" borderId="29" xfId="11" applyFont="1" applyBorder="1" applyAlignment="1">
      <alignment vertical="center"/>
    </xf>
    <xf numFmtId="177" fontId="71" fillId="0" borderId="0" xfId="11" applyNumberFormat="1" applyFont="1" applyAlignment="1">
      <alignment vertical="center" shrinkToFit="1"/>
    </xf>
    <xf numFmtId="190" fontId="71" fillId="0" borderId="0" xfId="12" applyNumberFormat="1" applyFont="1" applyBorder="1" applyAlignment="1">
      <alignment vertical="center" shrinkToFit="1"/>
    </xf>
    <xf numFmtId="178" fontId="71" fillId="0" borderId="0" xfId="11" applyNumberFormat="1" applyFont="1" applyAlignment="1">
      <alignment vertical="center" shrinkToFit="1"/>
    </xf>
    <xf numFmtId="0" fontId="76" fillId="0" borderId="2" xfId="11" applyFont="1" applyBorder="1" applyAlignment="1">
      <alignment vertical="center"/>
    </xf>
    <xf numFmtId="0" fontId="55" fillId="0" borderId="1" xfId="5" applyFont="1" applyBorder="1" applyAlignment="1">
      <alignment horizontal="center" vertical="center" shrinkToFit="1"/>
    </xf>
    <xf numFmtId="0" fontId="54" fillId="0" borderId="25" xfId="5" applyFont="1" applyBorder="1" applyAlignment="1">
      <alignment vertical="center" shrinkToFit="1"/>
    </xf>
    <xf numFmtId="0" fontId="54" fillId="0" borderId="30" xfId="5" applyFont="1" applyBorder="1" applyAlignment="1">
      <alignment vertical="center" shrinkToFit="1"/>
    </xf>
    <xf numFmtId="0" fontId="55" fillId="0" borderId="5" xfId="12" applyNumberFormat="1" applyFont="1" applyFill="1" applyBorder="1" applyAlignment="1">
      <alignment horizontal="center" vertical="center"/>
    </xf>
    <xf numFmtId="41" fontId="51" fillId="0" borderId="18" xfId="12" applyFont="1" applyFill="1" applyBorder="1" applyAlignment="1">
      <alignment vertical="center" shrinkToFit="1"/>
    </xf>
    <xf numFmtId="0" fontId="55" fillId="0" borderId="0" xfId="11" applyFont="1" applyBorder="1" applyAlignment="1">
      <alignment vertical="center"/>
    </xf>
    <xf numFmtId="41" fontId="55" fillId="0" borderId="0" xfId="12" applyFont="1" applyBorder="1" applyAlignment="1">
      <alignment vertical="center"/>
    </xf>
    <xf numFmtId="41" fontId="55" fillId="0" borderId="0" xfId="11" applyNumberFormat="1" applyFont="1" applyBorder="1" applyAlignment="1">
      <alignment vertical="center"/>
    </xf>
    <xf numFmtId="41" fontId="54" fillId="0" borderId="0" xfId="12" applyFont="1" applyBorder="1" applyAlignment="1">
      <alignment vertical="center"/>
    </xf>
    <xf numFmtId="9" fontId="55" fillId="0" borderId="0" xfId="11" applyNumberFormat="1" applyFont="1" applyBorder="1" applyAlignment="1">
      <alignment vertical="center"/>
    </xf>
    <xf numFmtId="9" fontId="71" fillId="0" borderId="0" xfId="11" applyNumberFormat="1" applyFont="1" applyAlignment="1">
      <alignment vertical="center"/>
    </xf>
    <xf numFmtId="41" fontId="71" fillId="0" borderId="0" xfId="92" applyFont="1" applyAlignment="1">
      <alignment vertical="center"/>
    </xf>
    <xf numFmtId="0" fontId="113" fillId="0" borderId="0" xfId="11" applyFont="1" applyAlignment="1">
      <alignment vertical="center"/>
    </xf>
    <xf numFmtId="41" fontId="55" fillId="0" borderId="11" xfId="12" applyFont="1" applyFill="1" applyBorder="1" applyAlignment="1">
      <alignment vertical="center"/>
    </xf>
    <xf numFmtId="0" fontId="35" fillId="0" borderId="36" xfId="9" applyFont="1" applyBorder="1" applyAlignment="1">
      <alignment horizontal="center" vertical="center"/>
    </xf>
    <xf numFmtId="41" fontId="35" fillId="0" borderId="23" xfId="10" applyFont="1" applyBorder="1" applyAlignment="1">
      <alignment vertical="center"/>
    </xf>
    <xf numFmtId="0" fontId="35" fillId="0" borderId="23" xfId="9" applyFont="1" applyBorder="1" applyAlignment="1">
      <alignment horizontal="center" vertical="center"/>
    </xf>
    <xf numFmtId="41" fontId="35" fillId="0" borderId="38" xfId="10" applyFont="1" applyBorder="1" applyAlignment="1">
      <alignment vertical="center"/>
    </xf>
    <xf numFmtId="0" fontId="33" fillId="0" borderId="99" xfId="9" applyFont="1" applyBorder="1" applyAlignment="1">
      <alignment horizontal="center" vertical="center"/>
    </xf>
    <xf numFmtId="41" fontId="33" fillId="0" borderId="3" xfId="10" applyFont="1" applyBorder="1" applyAlignment="1">
      <alignment vertical="center"/>
    </xf>
    <xf numFmtId="0" fontId="33" fillId="0" borderId="3" xfId="9" applyFont="1" applyBorder="1" applyAlignment="1">
      <alignment horizontal="center" vertical="center"/>
    </xf>
    <xf numFmtId="41" fontId="33" fillId="0" borderId="120" xfId="10" applyFont="1" applyBorder="1" applyAlignment="1">
      <alignment vertical="center"/>
    </xf>
    <xf numFmtId="0" fontId="33" fillId="0" borderId="17" xfId="9" applyFont="1" applyBorder="1" applyAlignment="1">
      <alignment horizontal="center" vertical="center"/>
    </xf>
    <xf numFmtId="41" fontId="33" fillId="0" borderId="2" xfId="10" applyFont="1" applyBorder="1" applyAlignment="1">
      <alignment vertical="center"/>
    </xf>
    <xf numFmtId="0" fontId="33" fillId="0" borderId="2" xfId="9" applyFont="1" applyBorder="1" applyAlignment="1">
      <alignment horizontal="center" vertical="center"/>
    </xf>
    <xf numFmtId="41" fontId="33" fillId="0" borderId="123" xfId="10" applyFont="1" applyBorder="1" applyAlignment="1">
      <alignment vertical="center"/>
    </xf>
    <xf numFmtId="0" fontId="33" fillId="0" borderId="19" xfId="9" applyFont="1" applyBorder="1" applyAlignment="1">
      <alignment horizontal="center" vertical="center"/>
    </xf>
    <xf numFmtId="41" fontId="33" fillId="0" borderId="20" xfId="10" applyFont="1" applyBorder="1" applyAlignment="1">
      <alignment vertical="center"/>
    </xf>
    <xf numFmtId="0" fontId="33" fillId="0" borderId="20" xfId="9" applyFont="1" applyBorder="1" applyAlignment="1">
      <alignment horizontal="center" vertical="center"/>
    </xf>
    <xf numFmtId="41" fontId="33" fillId="0" borderId="2" xfId="10" applyFont="1" applyFill="1" applyBorder="1" applyAlignment="1">
      <alignment horizontal="right" vertical="center"/>
    </xf>
    <xf numFmtId="41" fontId="33" fillId="0" borderId="2" xfId="10" applyFont="1" applyBorder="1" applyAlignment="1">
      <alignment horizontal="right" vertical="center"/>
    </xf>
    <xf numFmtId="41" fontId="33" fillId="0" borderId="188" xfId="10" applyFont="1" applyBorder="1" applyAlignment="1">
      <alignment vertical="center"/>
    </xf>
    <xf numFmtId="41" fontId="35" fillId="0" borderId="34" xfId="10" applyFont="1" applyBorder="1" applyAlignment="1">
      <alignment horizontal="center" vertical="center"/>
    </xf>
    <xf numFmtId="41" fontId="33" fillId="0" borderId="35" xfId="10" applyFont="1" applyBorder="1" applyAlignment="1">
      <alignment horizontal="center" vertical="center"/>
    </xf>
    <xf numFmtId="41" fontId="33" fillId="0" borderId="29" xfId="10" applyFont="1" applyBorder="1" applyAlignment="1">
      <alignment horizontal="center" vertical="center"/>
    </xf>
    <xf numFmtId="41" fontId="33" fillId="0" borderId="74" xfId="10" applyFont="1" applyBorder="1" applyAlignment="1">
      <alignment horizontal="center" vertical="center"/>
    </xf>
    <xf numFmtId="0" fontId="33" fillId="0" borderId="35" xfId="9" applyFont="1" applyBorder="1" applyAlignment="1">
      <alignment horizontal="center" vertical="center"/>
    </xf>
    <xf numFmtId="0" fontId="33" fillId="0" borderId="29" xfId="9" applyFont="1" applyBorder="1" applyAlignment="1">
      <alignment horizontal="center" vertical="center"/>
    </xf>
    <xf numFmtId="181" fontId="44" fillId="0" borderId="129" xfId="9" applyNumberFormat="1" applyFont="1" applyBorder="1" applyAlignment="1">
      <alignment horizontal="center" vertical="center"/>
    </xf>
    <xf numFmtId="181" fontId="44" fillId="0" borderId="130" xfId="10" applyNumberFormat="1" applyFont="1" applyBorder="1" applyAlignment="1">
      <alignment vertical="center"/>
    </xf>
    <xf numFmtId="181" fontId="35" fillId="0" borderId="130" xfId="9" applyNumberFormat="1" applyFont="1" applyBorder="1" applyAlignment="1">
      <alignment horizontal="center" vertical="center"/>
    </xf>
    <xf numFmtId="181" fontId="35" fillId="0" borderId="146" xfId="10" applyNumberFormat="1" applyFont="1" applyBorder="1" applyAlignment="1">
      <alignment vertical="center"/>
    </xf>
    <xf numFmtId="181" fontId="44" fillId="0" borderId="129" xfId="10" applyNumberFormat="1" applyFont="1" applyBorder="1" applyAlignment="1">
      <alignment horizontal="center" vertical="center"/>
    </xf>
    <xf numFmtId="181" fontId="44" fillId="0" borderId="146" xfId="10" applyNumberFormat="1" applyFont="1" applyBorder="1" applyAlignment="1">
      <alignment vertical="center"/>
    </xf>
    <xf numFmtId="41" fontId="33" fillId="0" borderId="189" xfId="10" applyFont="1" applyBorder="1" applyAlignment="1">
      <alignment horizontal="right" vertical="center" indent="1"/>
    </xf>
    <xf numFmtId="41" fontId="33" fillId="0" borderId="190" xfId="10" applyFont="1" applyBorder="1" applyAlignment="1">
      <alignment horizontal="right" vertical="center" indent="1"/>
    </xf>
    <xf numFmtId="41" fontId="33" fillId="0" borderId="191" xfId="10" applyFont="1" applyBorder="1" applyAlignment="1">
      <alignment horizontal="right" vertical="center" indent="1"/>
    </xf>
    <xf numFmtId="0" fontId="12" fillId="0" borderId="21" xfId="2" applyNumberFormat="1" applyFont="1" applyFill="1" applyBorder="1" applyAlignment="1">
      <alignment vertical="center"/>
    </xf>
    <xf numFmtId="0" fontId="12" fillId="0" borderId="28" xfId="2" applyNumberFormat="1" applyFont="1" applyFill="1" applyBorder="1" applyAlignment="1">
      <alignment vertical="center"/>
    </xf>
    <xf numFmtId="0" fontId="12" fillId="0" borderId="27" xfId="2" applyNumberFormat="1" applyFont="1" applyFill="1" applyBorder="1" applyAlignment="1">
      <alignment vertical="center"/>
    </xf>
    <xf numFmtId="0" fontId="10" fillId="0" borderId="21" xfId="2" applyNumberFormat="1" applyFont="1" applyFill="1" applyBorder="1" applyAlignment="1">
      <alignment vertical="center"/>
    </xf>
    <xf numFmtId="176" fontId="76" fillId="0" borderId="21" xfId="3" applyNumberFormat="1" applyFont="1" applyFill="1" applyBorder="1" applyAlignment="1">
      <alignment vertical="center"/>
    </xf>
    <xf numFmtId="176" fontId="10" fillId="0" borderId="21" xfId="3" applyNumberFormat="1" applyFont="1" applyFill="1" applyBorder="1" applyAlignment="1">
      <alignment horizontal="right" vertical="center"/>
    </xf>
    <xf numFmtId="41" fontId="55" fillId="0" borderId="21" xfId="3" applyNumberFormat="1" applyFont="1" applyFill="1" applyBorder="1" applyAlignment="1">
      <alignment horizontal="left" vertical="center"/>
    </xf>
    <xf numFmtId="41" fontId="71" fillId="0" borderId="21" xfId="3" applyNumberFormat="1" applyFont="1" applyFill="1" applyBorder="1" applyAlignment="1">
      <alignment horizontal="center" vertical="center"/>
    </xf>
    <xf numFmtId="0" fontId="34" fillId="0" borderId="10" xfId="11" applyNumberFormat="1" applyFont="1" applyFill="1" applyBorder="1" applyAlignment="1">
      <alignment vertical="center"/>
    </xf>
    <xf numFmtId="0" fontId="8" fillId="0" borderId="121" xfId="2" applyNumberFormat="1" applyFont="1" applyFill="1" applyBorder="1" applyAlignment="1">
      <alignment vertical="center"/>
    </xf>
    <xf numFmtId="0" fontId="8" fillId="0" borderId="192" xfId="2" applyNumberFormat="1" applyFont="1" applyFill="1" applyBorder="1" applyAlignment="1">
      <alignment vertical="center"/>
    </xf>
    <xf numFmtId="0" fontId="9" fillId="0" borderId="36" xfId="2" applyNumberFormat="1" applyFont="1" applyFill="1" applyBorder="1" applyAlignment="1">
      <alignment vertical="center"/>
    </xf>
    <xf numFmtId="0" fontId="34" fillId="5" borderId="17" xfId="11" applyFont="1" applyFill="1" applyBorder="1" applyAlignment="1">
      <alignment vertical="center"/>
    </xf>
    <xf numFmtId="0" fontId="8" fillId="0" borderId="99" xfId="2" applyNumberFormat="1" applyFont="1" applyFill="1" applyBorder="1" applyAlignment="1">
      <alignment vertical="center"/>
    </xf>
    <xf numFmtId="0" fontId="66" fillId="0" borderId="0" xfId="11" applyNumberFormat="1" applyFont="1" applyFill="1" applyBorder="1" applyAlignment="1">
      <alignment vertical="center"/>
    </xf>
    <xf numFmtId="176" fontId="34" fillId="5" borderId="193" xfId="12" applyNumberFormat="1" applyFont="1" applyFill="1" applyBorder="1" applyAlignment="1">
      <alignment vertical="center"/>
    </xf>
    <xf numFmtId="177" fontId="34" fillId="5" borderId="7" xfId="0" applyNumberFormat="1" applyFont="1" applyFill="1" applyBorder="1" applyAlignment="1">
      <alignment vertical="center"/>
    </xf>
    <xf numFmtId="0" fontId="34" fillId="0" borderId="7" xfId="11" applyFont="1" applyBorder="1" applyAlignment="1">
      <alignment horizontal="center" vertical="center"/>
    </xf>
    <xf numFmtId="0" fontId="34" fillId="0" borderId="7" xfId="11" applyFont="1" applyBorder="1" applyAlignment="1">
      <alignment vertical="center"/>
    </xf>
    <xf numFmtId="182" fontId="51" fillId="0" borderId="125" xfId="12" applyNumberFormat="1" applyFont="1" applyBorder="1" applyAlignment="1">
      <alignment horizontal="right" vertical="center"/>
    </xf>
    <xf numFmtId="0" fontId="51" fillId="0" borderId="194" xfId="11" applyFont="1" applyBorder="1" applyAlignment="1">
      <alignment horizontal="left" vertical="center"/>
    </xf>
    <xf numFmtId="0" fontId="51" fillId="0" borderId="121" xfId="11" applyFont="1" applyBorder="1" applyAlignment="1">
      <alignment horizontal="left" vertical="center"/>
    </xf>
    <xf numFmtId="0" fontId="51" fillId="0" borderId="121" xfId="11" applyFont="1" applyBorder="1" applyAlignment="1">
      <alignment horizontal="center" vertical="center"/>
    </xf>
    <xf numFmtId="41" fontId="35" fillId="0" borderId="7" xfId="10" applyFont="1" applyBorder="1" applyAlignment="1">
      <alignment horizontal="right" vertical="center"/>
    </xf>
    <xf numFmtId="182" fontId="34" fillId="0" borderId="8" xfId="12" applyNumberFormat="1" applyFont="1" applyBorder="1" applyAlignment="1">
      <alignment horizontal="right" vertical="center"/>
    </xf>
    <xf numFmtId="176" fontId="51" fillId="6" borderId="130" xfId="12" applyNumberFormat="1" applyFont="1" applyFill="1" applyBorder="1" applyAlignment="1">
      <alignment horizontal="right" vertical="center"/>
    </xf>
    <xf numFmtId="0" fontId="77" fillId="0" borderId="0" xfId="3" applyNumberFormat="1" applyFont="1" applyFill="1" applyBorder="1" applyAlignment="1">
      <alignment horizontal="right" vertical="center"/>
    </xf>
    <xf numFmtId="188" fontId="34" fillId="5" borderId="0" xfId="11" applyNumberFormat="1" applyFont="1" applyFill="1" applyAlignment="1">
      <alignment vertical="center" shrinkToFit="1"/>
    </xf>
    <xf numFmtId="178" fontId="40" fillId="0" borderId="0" xfId="12" applyNumberFormat="1" applyFont="1" applyAlignment="1">
      <alignment vertical="center"/>
    </xf>
    <xf numFmtId="178" fontId="33" fillId="0" borderId="21" xfId="0" applyNumberFormat="1" applyFont="1" applyBorder="1" applyAlignment="1">
      <alignment vertical="center"/>
    </xf>
    <xf numFmtId="178" fontId="51" fillId="6" borderId="130" xfId="12" applyNumberFormat="1" applyFont="1" applyFill="1" applyBorder="1" applyAlignment="1">
      <alignment horizontal="right" vertical="center" wrapText="1"/>
    </xf>
    <xf numFmtId="178" fontId="34" fillId="5" borderId="2" xfId="12" applyNumberFormat="1" applyFont="1" applyFill="1" applyBorder="1" applyAlignment="1">
      <alignment vertical="center"/>
    </xf>
    <xf numFmtId="178" fontId="34" fillId="5" borderId="20" xfId="12" applyNumberFormat="1" applyFont="1" applyFill="1" applyBorder="1" applyAlignment="1">
      <alignment vertical="center"/>
    </xf>
    <xf numFmtId="178" fontId="0" fillId="0" borderId="0" xfId="0" applyNumberFormat="1">
      <alignment vertical="center"/>
    </xf>
    <xf numFmtId="0" fontId="54" fillId="5" borderId="5" xfId="11" applyFont="1" applyFill="1" applyBorder="1" applyAlignment="1">
      <alignment vertical="center" shrinkToFit="1"/>
    </xf>
    <xf numFmtId="41" fontId="54" fillId="5" borderId="11" xfId="12" applyFont="1" applyFill="1" applyBorder="1" applyAlignment="1">
      <alignment vertical="center"/>
    </xf>
    <xf numFmtId="49" fontId="33" fillId="0" borderId="60" xfId="9" applyNumberFormat="1" applyFont="1" applyBorder="1" applyAlignment="1">
      <alignment horizontal="right" vertical="center"/>
    </xf>
    <xf numFmtId="178" fontId="33" fillId="0" borderId="60" xfId="9" applyNumberFormat="1" applyFont="1" applyBorder="1" applyAlignment="1">
      <alignment horizontal="right" vertical="center"/>
    </xf>
    <xf numFmtId="0" fontId="40" fillId="0" borderId="0" xfId="93"/>
    <xf numFmtId="187" fontId="117" fillId="0" borderId="0" xfId="93" applyNumberFormat="1" applyFont="1" applyFill="1" applyAlignment="1" applyProtection="1">
      <alignment vertical="center"/>
      <protection locked="0"/>
    </xf>
    <xf numFmtId="0" fontId="40" fillId="0" borderId="0" xfId="93" applyFont="1" applyFill="1" applyBorder="1" applyAlignment="1" applyProtection="1">
      <alignment horizontal="right" vertical="center"/>
      <protection locked="0"/>
    </xf>
    <xf numFmtId="0" fontId="118" fillId="0" borderId="199" xfId="93" applyFont="1" applyFill="1" applyBorder="1" applyAlignment="1">
      <alignment horizontal="center" vertical="center" wrapText="1"/>
    </xf>
    <xf numFmtId="0" fontId="118" fillId="0" borderId="200" xfId="93" applyFont="1" applyFill="1" applyBorder="1" applyAlignment="1">
      <alignment horizontal="center" vertical="center" wrapText="1"/>
    </xf>
    <xf numFmtId="0" fontId="118" fillId="0" borderId="200" xfId="93" applyFont="1" applyFill="1" applyBorder="1" applyAlignment="1">
      <alignment horizontal="center" vertical="center"/>
    </xf>
    <xf numFmtId="0" fontId="39" fillId="0" borderId="206" xfId="93" applyFont="1" applyFill="1" applyBorder="1" applyAlignment="1" applyProtection="1">
      <alignment horizontal="left" vertical="center"/>
      <protection locked="0"/>
    </xf>
    <xf numFmtId="41" fontId="120" fillId="0" borderId="206" xfId="94" applyFont="1" applyFill="1" applyBorder="1" applyAlignment="1">
      <alignment vertical="center" shrinkToFit="1"/>
    </xf>
    <xf numFmtId="0" fontId="34" fillId="0" borderId="207" xfId="93" applyFont="1" applyFill="1" applyBorder="1" applyAlignment="1" applyProtection="1">
      <alignment horizontal="left" vertical="center"/>
      <protection locked="0"/>
    </xf>
    <xf numFmtId="41" fontId="120" fillId="0" borderId="49" xfId="94" applyFont="1" applyFill="1" applyBorder="1" applyAlignment="1">
      <alignment vertical="center" shrinkToFit="1"/>
    </xf>
    <xf numFmtId="0" fontId="51" fillId="0" borderId="50" xfId="93" applyFont="1" applyFill="1" applyBorder="1" applyAlignment="1" applyProtection="1">
      <alignment horizontal="left" vertical="center" wrapText="1"/>
      <protection locked="0"/>
    </xf>
    <xf numFmtId="0" fontId="40" fillId="0" borderId="0" xfId="93" applyBorder="1"/>
    <xf numFmtId="0" fontId="39" fillId="0" borderId="49" xfId="93" applyNumberFormat="1" applyFont="1" applyFill="1" applyBorder="1" applyAlignment="1" applyProtection="1">
      <alignment horizontal="left" vertical="center" wrapText="1"/>
      <protection locked="0"/>
    </xf>
    <xf numFmtId="0" fontId="35" fillId="0" borderId="49" xfId="93" applyFont="1" applyBorder="1" applyAlignment="1"/>
    <xf numFmtId="0" fontId="40" fillId="0" borderId="49" xfId="93" applyNumberFormat="1" applyFill="1" applyBorder="1" applyAlignment="1" applyProtection="1">
      <alignment horizontal="left" vertical="center" wrapText="1"/>
      <protection locked="0"/>
    </xf>
    <xf numFmtId="41" fontId="121" fillId="0" borderId="49" xfId="94" applyFont="1" applyFill="1" applyBorder="1" applyAlignment="1">
      <alignment vertical="center" shrinkToFit="1"/>
    </xf>
    <xf numFmtId="0" fontId="34" fillId="0" borderId="50" xfId="93" applyFont="1" applyFill="1" applyBorder="1" applyAlignment="1" applyProtection="1">
      <alignment horizontal="left" vertical="center" wrapText="1"/>
      <protection locked="0"/>
    </xf>
    <xf numFmtId="0" fontId="40" fillId="0" borderId="49" xfId="93" applyFont="1" applyFill="1" applyBorder="1" applyAlignment="1" applyProtection="1">
      <alignment vertical="center" wrapText="1"/>
      <protection locked="0"/>
    </xf>
    <xf numFmtId="0" fontId="51" fillId="0" borderId="50" xfId="93" applyFont="1" applyFill="1" applyBorder="1" applyAlignment="1" applyProtection="1">
      <alignment horizontal="left" vertical="center"/>
      <protection locked="0"/>
    </xf>
    <xf numFmtId="0" fontId="40" fillId="0" borderId="58" xfId="93" applyNumberFormat="1" applyFill="1" applyBorder="1" applyAlignment="1" applyProtection="1">
      <alignment horizontal="left" vertical="center" wrapText="1"/>
      <protection locked="0"/>
    </xf>
    <xf numFmtId="41" fontId="121" fillId="0" borderId="58" xfId="94" applyFont="1" applyFill="1" applyBorder="1" applyAlignment="1">
      <alignment vertical="center" shrinkToFit="1"/>
    </xf>
    <xf numFmtId="0" fontId="34" fillId="0" borderId="59" xfId="93" applyFont="1" applyFill="1" applyBorder="1" applyAlignment="1" applyProtection="1">
      <alignment horizontal="left" vertical="center" wrapText="1"/>
      <protection locked="0"/>
    </xf>
    <xf numFmtId="0" fontId="40" fillId="0" borderId="0" xfId="93" applyAlignment="1">
      <alignment horizontal="left"/>
    </xf>
    <xf numFmtId="0" fontId="35" fillId="0" borderId="208" xfId="93" applyFont="1" applyFill="1" applyBorder="1" applyAlignment="1" applyProtection="1">
      <alignment vertical="center"/>
      <protection locked="0"/>
    </xf>
    <xf numFmtId="0" fontId="39" fillId="0" borderId="49" xfId="93" applyFont="1" applyBorder="1" applyAlignment="1">
      <alignment horizontal="center" vertical="center" wrapText="1" shrinkToFit="1"/>
    </xf>
    <xf numFmtId="0" fontId="39" fillId="0" borderId="50" xfId="93" applyFont="1" applyBorder="1" applyAlignment="1">
      <alignment vertical="center" wrapText="1"/>
    </xf>
    <xf numFmtId="0" fontId="51" fillId="0" borderId="114" xfId="93" applyFont="1" applyFill="1" applyBorder="1" applyAlignment="1" applyProtection="1">
      <alignment horizontal="left" vertical="center"/>
      <protection locked="0"/>
    </xf>
    <xf numFmtId="0" fontId="39" fillId="0" borderId="50" xfId="93" applyFont="1" applyBorder="1"/>
    <xf numFmtId="0" fontId="12" fillId="0" borderId="0" xfId="3" applyNumberFormat="1" applyFont="1" applyFill="1" applyBorder="1" applyAlignment="1">
      <alignment horizontal="left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122" fillId="0" borderId="210" xfId="0" applyNumberFormat="1" applyFont="1" applyBorder="1" applyAlignment="1">
      <alignment vertical="center" wrapText="1"/>
    </xf>
    <xf numFmtId="0" fontId="123" fillId="0" borderId="210" xfId="0" applyNumberFormat="1" applyFont="1" applyBorder="1" applyAlignment="1">
      <alignment horizontal="center" vertical="center" wrapText="1"/>
    </xf>
    <xf numFmtId="3" fontId="123" fillId="0" borderId="210" xfId="0" applyNumberFormat="1" applyFont="1" applyBorder="1" applyAlignment="1">
      <alignment horizontal="center" vertical="center" wrapText="1"/>
    </xf>
    <xf numFmtId="178" fontId="34" fillId="0" borderId="10" xfId="3" applyNumberFormat="1" applyFont="1" applyFill="1" applyBorder="1" applyAlignment="1">
      <alignment horizontal="right" vertical="center"/>
    </xf>
    <xf numFmtId="178" fontId="51" fillId="0" borderId="10" xfId="3" applyNumberFormat="1" applyFont="1" applyFill="1" applyBorder="1" applyAlignment="1">
      <alignment horizontal="right" vertical="center"/>
    </xf>
    <xf numFmtId="178" fontId="54" fillId="0" borderId="10" xfId="3" applyNumberFormat="1" applyFont="1" applyFill="1" applyBorder="1" applyAlignment="1">
      <alignment horizontal="right" vertical="center"/>
    </xf>
    <xf numFmtId="178" fontId="55" fillId="0" borderId="10" xfId="3" applyNumberFormat="1" applyFont="1" applyFill="1" applyBorder="1" applyAlignment="1">
      <alignment horizontal="right" vertical="center"/>
    </xf>
    <xf numFmtId="178" fontId="51" fillId="0" borderId="10" xfId="3" applyNumberFormat="1" applyFont="1" applyFill="1" applyBorder="1" applyAlignment="1">
      <alignment vertical="center"/>
    </xf>
    <xf numFmtId="178" fontId="34" fillId="0" borderId="10" xfId="3" applyNumberFormat="1" applyFont="1" applyFill="1" applyBorder="1" applyAlignment="1">
      <alignment vertical="center"/>
    </xf>
    <xf numFmtId="178" fontId="54" fillId="0" borderId="10" xfId="3" applyNumberFormat="1" applyFont="1" applyFill="1" applyBorder="1" applyAlignment="1">
      <alignment vertical="center" wrapText="1"/>
    </xf>
    <xf numFmtId="178" fontId="55" fillId="0" borderId="10" xfId="3" applyNumberFormat="1" applyFont="1" applyFill="1" applyBorder="1" applyAlignment="1">
      <alignment vertical="center"/>
    </xf>
    <xf numFmtId="3" fontId="8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0" fontId="124" fillId="0" borderId="210" xfId="0" applyNumberFormat="1" applyFont="1" applyBorder="1" applyAlignment="1">
      <alignment horizontal="center" vertical="center" wrapText="1"/>
    </xf>
    <xf numFmtId="0" fontId="124" fillId="0" borderId="209" xfId="0" applyNumberFormat="1" applyFont="1" applyBorder="1" applyAlignment="1">
      <alignment horizontal="center" vertical="center" wrapText="1"/>
    </xf>
    <xf numFmtId="3" fontId="7" fillId="0" borderId="0" xfId="2" applyNumberFormat="1" applyFont="1" applyBorder="1" applyAlignment="1">
      <alignment vertical="center"/>
    </xf>
    <xf numFmtId="9" fontId="7" fillId="0" borderId="0" xfId="2" applyNumberFormat="1" applyFont="1" applyBorder="1" applyAlignment="1">
      <alignment vertical="center"/>
    </xf>
    <xf numFmtId="10" fontId="124" fillId="2" borderId="211" xfId="0" applyNumberFormat="1" applyFont="1" applyFill="1" applyBorder="1" applyAlignment="1">
      <alignment horizontal="center" vertical="center" wrapText="1"/>
    </xf>
    <xf numFmtId="3" fontId="34" fillId="0" borderId="0" xfId="2" applyNumberFormat="1" applyFont="1" applyAlignment="1">
      <alignment horizontal="center" vertical="center"/>
    </xf>
    <xf numFmtId="0" fontId="51" fillId="0" borderId="0" xfId="3" applyNumberFormat="1" applyFont="1" applyFill="1" applyBorder="1" applyAlignment="1">
      <alignment horizontal="center" vertical="center"/>
    </xf>
    <xf numFmtId="0" fontId="54" fillId="0" borderId="0" xfId="3" applyNumberFormat="1" applyFont="1" applyFill="1" applyBorder="1" applyAlignment="1">
      <alignment horizontal="center" vertical="center"/>
    </xf>
    <xf numFmtId="0" fontId="124" fillId="2" borderId="212" xfId="0" applyNumberFormat="1" applyFont="1" applyFill="1" applyBorder="1" applyAlignment="1">
      <alignment horizontal="center" vertical="center" wrapText="1"/>
    </xf>
    <xf numFmtId="0" fontId="62" fillId="0" borderId="8" xfId="11" applyNumberFormat="1" applyFont="1" applyFill="1" applyBorder="1" applyAlignment="1">
      <alignment vertical="top" wrapText="1"/>
    </xf>
    <xf numFmtId="41" fontId="34" fillId="0" borderId="10" xfId="3" applyFont="1" applyFill="1" applyBorder="1" applyAlignment="1">
      <alignment horizontal="right" vertical="center"/>
    </xf>
    <xf numFmtId="176" fontId="34" fillId="0" borderId="125" xfId="3" applyNumberFormat="1" applyFont="1" applyFill="1" applyBorder="1" applyAlignment="1">
      <alignment horizontal="right" vertical="center"/>
    </xf>
    <xf numFmtId="3" fontId="54" fillId="0" borderId="10" xfId="5" applyNumberFormat="1" applyFont="1" applyFill="1" applyBorder="1" applyAlignment="1">
      <alignment horizontal="right" vertical="center" wrapText="1"/>
    </xf>
    <xf numFmtId="0" fontId="9" fillId="0" borderId="0" xfId="5" quotePrefix="1" applyFont="1" applyFill="1" applyBorder="1" applyAlignment="1">
      <alignment horizontal="justify" vertical="center"/>
    </xf>
    <xf numFmtId="0" fontId="34" fillId="0" borderId="10" xfId="3" applyNumberFormat="1" applyFont="1" applyFill="1" applyBorder="1" applyAlignment="1">
      <alignment vertical="center"/>
    </xf>
    <xf numFmtId="3" fontId="34" fillId="0" borderId="10" xfId="3" applyNumberFormat="1" applyFont="1" applyFill="1" applyBorder="1" applyAlignment="1">
      <alignment vertical="center"/>
    </xf>
    <xf numFmtId="0" fontId="55" fillId="0" borderId="10" xfId="3" applyNumberFormat="1" applyFont="1" applyFill="1" applyBorder="1" applyAlignment="1">
      <alignment vertical="center"/>
    </xf>
    <xf numFmtId="0" fontId="55" fillId="0" borderId="10" xfId="3" applyNumberFormat="1" applyFont="1" applyFill="1" applyBorder="1" applyAlignment="1">
      <alignment horizontal="right" vertical="center"/>
    </xf>
    <xf numFmtId="0" fontId="125" fillId="0" borderId="213" xfId="0" applyFont="1" applyBorder="1" applyAlignment="1">
      <alignment vertical="center"/>
    </xf>
    <xf numFmtId="0" fontId="125" fillId="0" borderId="214" xfId="0" applyFont="1" applyBorder="1" applyAlignment="1">
      <alignment vertical="center"/>
    </xf>
    <xf numFmtId="0" fontId="125" fillId="0" borderId="215" xfId="0" applyFont="1" applyBorder="1" applyAlignment="1">
      <alignment vertical="center"/>
    </xf>
    <xf numFmtId="176" fontId="126" fillId="0" borderId="215" xfId="0" applyNumberFormat="1" applyFont="1" applyBorder="1" applyAlignment="1">
      <alignment horizontal="right" vertical="center"/>
    </xf>
    <xf numFmtId="176" fontId="125" fillId="0" borderId="215" xfId="0" applyNumberFormat="1" applyFont="1" applyBorder="1" applyAlignment="1">
      <alignment horizontal="right" vertical="center"/>
    </xf>
    <xf numFmtId="0" fontId="126" fillId="0" borderId="216" xfId="0" applyFont="1" applyBorder="1" applyAlignment="1">
      <alignment horizontal="left" vertical="center" shrinkToFit="1"/>
    </xf>
    <xf numFmtId="0" fontId="126" fillId="0" borderId="216" xfId="0" applyFont="1" applyBorder="1" applyAlignment="1">
      <alignment horizontal="center" vertical="center"/>
    </xf>
    <xf numFmtId="195" fontId="126" fillId="0" borderId="217" xfId="0" applyNumberFormat="1" applyFont="1" applyBorder="1" applyAlignment="1">
      <alignment vertical="center"/>
    </xf>
    <xf numFmtId="0" fontId="128" fillId="0" borderId="0" xfId="0" applyFont="1" applyAlignment="1">
      <alignment horizontal="center" vertical="center"/>
    </xf>
    <xf numFmtId="177" fontId="128" fillId="0" borderId="0" xfId="0" applyNumberFormat="1" applyFont="1" applyAlignment="1">
      <alignment horizontal="center" vertical="center"/>
    </xf>
    <xf numFmtId="10" fontId="128" fillId="0" borderId="0" xfId="0" applyNumberFormat="1" applyFont="1" applyAlignment="1">
      <alignment horizontal="center" vertical="center"/>
    </xf>
    <xf numFmtId="195" fontId="128" fillId="0" borderId="0" xfId="0" applyNumberFormat="1" applyFont="1" applyAlignment="1">
      <alignment horizontal="center" vertical="center"/>
    </xf>
    <xf numFmtId="0" fontId="128" fillId="0" borderId="0" xfId="0" applyFont="1" applyAlignment="1">
      <alignment vertical="center"/>
    </xf>
    <xf numFmtId="9" fontId="128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76" fontId="126" fillId="0" borderId="214" xfId="0" applyNumberFormat="1" applyFont="1" applyBorder="1" applyAlignment="1">
      <alignment horizontal="right" vertical="center"/>
    </xf>
    <xf numFmtId="176" fontId="125" fillId="0" borderId="214" xfId="0" applyNumberFormat="1" applyFont="1" applyBorder="1" applyAlignment="1">
      <alignment horizontal="right" vertical="center"/>
    </xf>
    <xf numFmtId="0" fontId="126" fillId="0" borderId="0" xfId="0" applyFont="1" applyAlignment="1">
      <alignment horizontal="left" vertical="center" shrinkToFit="1"/>
    </xf>
    <xf numFmtId="0" fontId="126" fillId="0" borderId="0" xfId="0" applyFont="1" applyAlignment="1">
      <alignment horizontal="center" vertical="center"/>
    </xf>
    <xf numFmtId="195" fontId="126" fillId="0" borderId="218" xfId="0" applyNumberFormat="1" applyFont="1" applyBorder="1" applyAlignment="1">
      <alignment vertical="center"/>
    </xf>
    <xf numFmtId="43" fontId="128" fillId="0" borderId="0" xfId="0" applyNumberFormat="1" applyFont="1" applyAlignment="1">
      <alignment vertical="center"/>
    </xf>
    <xf numFmtId="0" fontId="54" fillId="0" borderId="12" xfId="2" applyNumberFormat="1" applyFont="1" applyFill="1" applyBorder="1" applyAlignment="1">
      <alignment horizontal="left" vertical="center" shrinkToFit="1"/>
    </xf>
    <xf numFmtId="177" fontId="34" fillId="5" borderId="32" xfId="0" applyNumberFormat="1" applyFont="1" applyFill="1" applyBorder="1" applyAlignment="1">
      <alignment horizontal="left" vertical="center"/>
    </xf>
    <xf numFmtId="0" fontId="110" fillId="0" borderId="0" xfId="11" applyFont="1" applyAlignment="1">
      <alignment vertical="center"/>
    </xf>
    <xf numFmtId="0" fontId="110" fillId="0" borderId="0" xfId="2" applyNumberFormat="1" applyFont="1" applyFill="1" applyBorder="1" applyAlignment="1">
      <alignment horizontal="left" vertical="center"/>
    </xf>
    <xf numFmtId="0" fontId="53" fillId="0" borderId="0" xfId="11" applyNumberFormat="1" applyFont="1" applyFill="1" applyBorder="1" applyAlignment="1">
      <alignment horizontal="center" vertical="center"/>
    </xf>
    <xf numFmtId="0" fontId="53" fillId="0" borderId="0" xfId="3" applyNumberFormat="1" applyFont="1" applyFill="1" applyBorder="1" applyAlignment="1">
      <alignment horizontal="left" vertical="center"/>
    </xf>
    <xf numFmtId="176" fontId="34" fillId="5" borderId="29" xfId="12" applyNumberFormat="1" applyFont="1" applyFill="1" applyBorder="1" applyAlignment="1">
      <alignment horizontal="right" vertical="center"/>
    </xf>
    <xf numFmtId="41" fontId="54" fillId="0" borderId="10" xfId="12" applyFont="1" applyFill="1" applyBorder="1" applyAlignment="1">
      <alignment horizontal="left" vertical="center"/>
    </xf>
    <xf numFmtId="41" fontId="55" fillId="0" borderId="10" xfId="12" applyFont="1" applyFill="1" applyBorder="1" applyAlignment="1">
      <alignment horizontal="left" vertical="center"/>
    </xf>
    <xf numFmtId="0" fontId="54" fillId="0" borderId="0" xfId="11" applyFont="1" applyFill="1" applyBorder="1" applyAlignment="1">
      <alignment horizontal="center" vertical="center" shrinkToFit="1"/>
    </xf>
    <xf numFmtId="41" fontId="54" fillId="0" borderId="10" xfId="12" applyFont="1" applyFill="1" applyBorder="1" applyAlignment="1">
      <alignment horizontal="right" vertical="center"/>
    </xf>
    <xf numFmtId="0" fontId="55" fillId="5" borderId="219" xfId="11" applyFont="1" applyFill="1" applyBorder="1" applyAlignment="1">
      <alignment vertical="center" shrinkToFit="1"/>
    </xf>
    <xf numFmtId="0" fontId="54" fillId="0" borderId="5" xfId="11" applyFont="1" applyFill="1" applyBorder="1" applyAlignment="1">
      <alignment horizontal="center" vertical="center" shrinkToFit="1"/>
    </xf>
    <xf numFmtId="0" fontId="51" fillId="0" borderId="30" xfId="12" applyNumberFormat="1" applyFont="1" applyFill="1" applyBorder="1" applyAlignment="1">
      <alignment vertical="center" shrinkToFit="1"/>
    </xf>
    <xf numFmtId="41" fontId="111" fillId="0" borderId="0" xfId="12" applyFont="1" applyAlignment="1">
      <alignment horizontal="center" vertical="center"/>
    </xf>
    <xf numFmtId="178" fontId="49" fillId="0" borderId="12" xfId="11" applyNumberFormat="1" applyFont="1" applyFill="1" applyBorder="1" applyAlignment="1">
      <alignment vertical="center" wrapText="1" shrinkToFit="1"/>
    </xf>
    <xf numFmtId="0" fontId="52" fillId="5" borderId="3" xfId="11" applyFont="1" applyFill="1" applyBorder="1" applyAlignment="1">
      <alignment vertical="top" wrapText="1"/>
    </xf>
    <xf numFmtId="0" fontId="52" fillId="5" borderId="2" xfId="11" applyFont="1" applyFill="1" applyBorder="1" applyAlignment="1">
      <alignment vertical="top" wrapText="1"/>
    </xf>
    <xf numFmtId="0" fontId="52" fillId="0" borderId="181" xfId="11" applyFont="1" applyFill="1" applyBorder="1" applyAlignment="1">
      <alignment vertical="top" wrapText="1"/>
    </xf>
    <xf numFmtId="0" fontId="53" fillId="0" borderId="0" xfId="11" applyFont="1" applyAlignment="1">
      <alignment vertical="center"/>
    </xf>
    <xf numFmtId="41" fontId="132" fillId="0" borderId="0" xfId="1" applyFont="1">
      <alignment vertical="center"/>
    </xf>
    <xf numFmtId="0" fontId="34" fillId="0" borderId="12" xfId="12" applyNumberFormat="1" applyFont="1" applyBorder="1" applyAlignment="1">
      <alignment vertical="center"/>
    </xf>
    <xf numFmtId="0" fontId="34" fillId="0" borderId="12" xfId="13" applyFont="1" applyBorder="1" applyAlignment="1">
      <alignment vertical="center"/>
    </xf>
    <xf numFmtId="0" fontId="34" fillId="0" borderId="12" xfId="13" applyFont="1" applyBorder="1" applyAlignment="1">
      <alignment horizontal="left" vertical="center" shrinkToFit="1"/>
    </xf>
    <xf numFmtId="176" fontId="55" fillId="0" borderId="35" xfId="12" applyNumberFormat="1" applyFont="1" applyBorder="1" applyAlignment="1">
      <alignment vertical="center"/>
    </xf>
    <xf numFmtId="0" fontId="131" fillId="0" borderId="12" xfId="11" applyFont="1" applyBorder="1" applyAlignment="1">
      <alignment horizontal="left" vertical="center" shrinkToFit="1"/>
    </xf>
    <xf numFmtId="176" fontId="34" fillId="0" borderId="12" xfId="12" applyNumberFormat="1" applyFont="1" applyBorder="1" applyAlignment="1">
      <alignment vertical="center"/>
    </xf>
    <xf numFmtId="0" fontId="34" fillId="0" borderId="0" xfId="11" applyFont="1" applyBorder="1" applyAlignment="1">
      <alignment horizontal="center" vertical="center"/>
    </xf>
    <xf numFmtId="41" fontId="34" fillId="0" borderId="0" xfId="12" applyFont="1" applyBorder="1" applyAlignment="1">
      <alignment horizontal="right" vertical="center"/>
    </xf>
    <xf numFmtId="41" fontId="132" fillId="0" borderId="121" xfId="1" applyFont="1" applyBorder="1">
      <alignment vertical="center"/>
    </xf>
    <xf numFmtId="41" fontId="34" fillId="0" borderId="11" xfId="12" applyFont="1" applyBorder="1" applyAlignment="1">
      <alignment horizontal="right" vertical="center"/>
    </xf>
    <xf numFmtId="41" fontId="34" fillId="0" borderId="0" xfId="12" applyNumberFormat="1" applyFont="1" applyBorder="1" applyAlignment="1">
      <alignment horizontal="left" vertical="center" shrinkToFit="1"/>
    </xf>
    <xf numFmtId="176" fontId="55" fillId="0" borderId="9" xfId="12" applyNumberFormat="1" applyFont="1" applyBorder="1" applyAlignment="1">
      <alignment vertical="center"/>
    </xf>
    <xf numFmtId="0" fontId="55" fillId="0" borderId="7" xfId="11" applyFont="1" applyFill="1" applyBorder="1" applyAlignment="1">
      <alignment vertical="center"/>
    </xf>
    <xf numFmtId="0" fontId="54" fillId="0" borderId="25" xfId="11" applyFont="1" applyFill="1" applyBorder="1" applyAlignment="1">
      <alignment vertical="center"/>
    </xf>
    <xf numFmtId="41" fontId="54" fillId="0" borderId="16" xfId="12" applyFont="1" applyBorder="1" applyAlignment="1">
      <alignment vertical="center"/>
    </xf>
    <xf numFmtId="0" fontId="55" fillId="0" borderId="25" xfId="11" applyFont="1" applyBorder="1" applyAlignment="1">
      <alignment vertical="center" shrinkToFit="1"/>
    </xf>
    <xf numFmtId="41" fontId="55" fillId="0" borderId="16" xfId="12" applyFont="1" applyBorder="1" applyAlignment="1">
      <alignment vertical="center"/>
    </xf>
    <xf numFmtId="178" fontId="8" fillId="0" borderId="0" xfId="2" applyNumberFormat="1" applyFont="1" applyFill="1" applyBorder="1" applyAlignment="1">
      <alignment vertical="center"/>
    </xf>
    <xf numFmtId="178" fontId="55" fillId="0" borderId="0" xfId="11" applyNumberFormat="1" applyFont="1" applyBorder="1" applyAlignment="1">
      <alignment vertical="center"/>
    </xf>
    <xf numFmtId="0" fontId="34" fillId="0" borderId="0" xfId="12" applyNumberFormat="1" applyFont="1" applyBorder="1" applyAlignment="1">
      <alignment horizontal="center" vertical="center"/>
    </xf>
    <xf numFmtId="41" fontId="51" fillId="0" borderId="10" xfId="12" applyFont="1" applyBorder="1" applyAlignment="1">
      <alignment vertical="center"/>
    </xf>
    <xf numFmtId="178" fontId="33" fillId="0" borderId="0" xfId="11" applyNumberFormat="1" applyFont="1" applyAlignment="1">
      <alignment vertical="center"/>
    </xf>
    <xf numFmtId="41" fontId="34" fillId="0" borderId="10" xfId="12" applyFont="1" applyBorder="1" applyAlignment="1">
      <alignment horizontal="right" vertical="center"/>
    </xf>
    <xf numFmtId="178" fontId="113" fillId="0" borderId="0" xfId="11" applyNumberFormat="1" applyFont="1" applyAlignment="1">
      <alignment vertical="center"/>
    </xf>
    <xf numFmtId="178" fontId="71" fillId="0" borderId="0" xfId="12" applyNumberFormat="1" applyFont="1" applyAlignment="1">
      <alignment vertical="center"/>
    </xf>
    <xf numFmtId="41" fontId="34" fillId="0" borderId="12" xfId="12" applyNumberFormat="1" applyFont="1" applyFill="1" applyBorder="1" applyAlignment="1">
      <alignment horizontal="left" vertical="center" shrinkToFit="1"/>
    </xf>
    <xf numFmtId="178" fontId="33" fillId="0" borderId="0" xfId="12" applyNumberFormat="1" applyFont="1" applyAlignment="1">
      <alignment vertical="center"/>
    </xf>
    <xf numFmtId="0" fontId="34" fillId="0" borderId="0" xfId="11" applyFont="1" applyBorder="1" applyAlignment="1">
      <alignment vertical="center" shrinkToFit="1"/>
    </xf>
    <xf numFmtId="41" fontId="51" fillId="0" borderId="1" xfId="12" applyNumberFormat="1" applyFont="1" applyBorder="1" applyAlignment="1">
      <alignment horizontal="left" vertical="center" shrinkToFit="1"/>
    </xf>
    <xf numFmtId="0" fontId="34" fillId="0" borderId="1" xfId="11" applyFont="1" applyBorder="1" applyAlignment="1">
      <alignment horizontal="center" vertical="center"/>
    </xf>
    <xf numFmtId="41" fontId="51" fillId="0" borderId="18" xfId="12" applyFont="1" applyBorder="1" applyAlignment="1">
      <alignment horizontal="right" vertical="center"/>
    </xf>
    <xf numFmtId="41" fontId="34" fillId="0" borderId="12" xfId="12" applyNumberFormat="1" applyFont="1" applyBorder="1" applyAlignment="1">
      <alignment horizontal="left" vertical="center" shrinkToFit="1"/>
    </xf>
    <xf numFmtId="0" fontId="61" fillId="0" borderId="0" xfId="11" applyFont="1" applyAlignment="1">
      <alignment vertical="center"/>
    </xf>
    <xf numFmtId="0" fontId="34" fillId="0" borderId="12" xfId="11" applyFont="1" applyBorder="1" applyAlignment="1">
      <alignment horizontal="left" vertical="center" shrinkToFit="1"/>
    </xf>
    <xf numFmtId="0" fontId="34" fillId="0" borderId="0" xfId="11" applyFont="1" applyBorder="1" applyAlignment="1">
      <alignment horizontal="center" vertical="center" shrinkToFit="1"/>
    </xf>
    <xf numFmtId="0" fontId="51" fillId="0" borderId="30" xfId="11" applyFont="1" applyBorder="1" applyAlignment="1">
      <alignment horizontal="left" vertical="center" shrinkToFit="1"/>
    </xf>
    <xf numFmtId="0" fontId="34" fillId="0" borderId="1" xfId="11" applyFont="1" applyBorder="1" applyAlignment="1">
      <alignment horizontal="center" vertical="center" shrinkToFit="1"/>
    </xf>
    <xf numFmtId="41" fontId="51" fillId="0" borderId="18" xfId="12" applyFont="1" applyBorder="1" applyAlignment="1">
      <alignment vertical="center"/>
    </xf>
    <xf numFmtId="178" fontId="112" fillId="0" borderId="0" xfId="11" applyNumberFormat="1" applyFont="1" applyAlignment="1">
      <alignment horizontal="center" vertical="center"/>
    </xf>
    <xf numFmtId="0" fontId="34" fillId="0" borderId="4" xfId="12" applyNumberFormat="1" applyFont="1" applyFill="1" applyBorder="1" applyAlignment="1">
      <alignment vertical="center"/>
    </xf>
    <xf numFmtId="0" fontId="34" fillId="0" borderId="5" xfId="11" applyFont="1" applyBorder="1" applyAlignment="1">
      <alignment horizontal="center" vertical="center"/>
    </xf>
    <xf numFmtId="0" fontId="51" fillId="0" borderId="12" xfId="11" applyFont="1" applyBorder="1" applyAlignment="1">
      <alignment horizontal="left" vertical="center" shrinkToFit="1"/>
    </xf>
    <xf numFmtId="0" fontId="34" fillId="0" borderId="6" xfId="11" applyFont="1" applyBorder="1" applyAlignment="1">
      <alignment vertical="center" shrinkToFit="1"/>
    </xf>
    <xf numFmtId="0" fontId="34" fillId="0" borderId="6" xfId="11" applyFont="1" applyBorder="1" applyAlignment="1">
      <alignment horizontal="center" vertical="center"/>
    </xf>
    <xf numFmtId="41" fontId="34" fillId="0" borderId="16" xfId="12" applyFont="1" applyBorder="1" applyAlignment="1">
      <alignment horizontal="right" vertical="center"/>
    </xf>
    <xf numFmtId="0" fontId="51" fillId="0" borderId="0" xfId="11" applyFont="1" applyBorder="1" applyAlignment="1">
      <alignment vertical="center" shrinkToFit="1"/>
    </xf>
    <xf numFmtId="41" fontId="51" fillId="0" borderId="10" xfId="12" applyFont="1" applyBorder="1" applyAlignment="1">
      <alignment horizontal="right" vertical="center"/>
    </xf>
    <xf numFmtId="0" fontId="34" fillId="0" borderId="5" xfId="12" applyNumberFormat="1" applyFont="1" applyFill="1" applyBorder="1" applyAlignment="1">
      <alignment horizontal="center" vertical="center"/>
    </xf>
    <xf numFmtId="0" fontId="34" fillId="0" borderId="6" xfId="2" applyNumberFormat="1" applyFont="1" applyFill="1" applyBorder="1" applyAlignment="1">
      <alignment horizontal="left" vertical="center" shrinkToFit="1"/>
    </xf>
    <xf numFmtId="0" fontId="34" fillId="0" borderId="6" xfId="2" applyNumberFormat="1" applyFont="1" applyFill="1" applyBorder="1" applyAlignment="1">
      <alignment horizontal="center" vertical="center" shrinkToFit="1"/>
    </xf>
    <xf numFmtId="41" fontId="51" fillId="0" borderId="16" xfId="3" applyNumberFormat="1" applyFont="1" applyFill="1" applyBorder="1" applyAlignment="1">
      <alignment vertical="center"/>
    </xf>
    <xf numFmtId="0" fontId="51" fillId="0" borderId="1" xfId="2" applyNumberFormat="1" applyFont="1" applyFill="1" applyBorder="1" applyAlignment="1">
      <alignment horizontal="left" vertical="center" shrinkToFit="1"/>
    </xf>
    <xf numFmtId="0" fontId="34" fillId="0" borderId="1" xfId="2" applyNumberFormat="1" applyFont="1" applyFill="1" applyBorder="1" applyAlignment="1">
      <alignment horizontal="center" vertical="center" shrinkToFit="1"/>
    </xf>
    <xf numFmtId="41" fontId="51" fillId="0" borderId="18" xfId="3" applyNumberFormat="1" applyFont="1" applyFill="1" applyBorder="1" applyAlignment="1">
      <alignment vertical="center"/>
    </xf>
    <xf numFmtId="0" fontId="51" fillId="0" borderId="30" xfId="11" applyFont="1" applyFill="1" applyBorder="1" applyAlignment="1">
      <alignment vertical="center"/>
    </xf>
    <xf numFmtId="0" fontId="34" fillId="0" borderId="25" xfId="3" applyNumberFormat="1" applyFont="1" applyFill="1" applyBorder="1" applyAlignment="1">
      <alignment horizontal="left" vertical="center"/>
    </xf>
    <xf numFmtId="41" fontId="34" fillId="0" borderId="6" xfId="3" applyNumberFormat="1" applyFont="1" applyFill="1" applyBorder="1" applyAlignment="1">
      <alignment horizontal="center" vertical="center"/>
    </xf>
    <xf numFmtId="41" fontId="34" fillId="0" borderId="16" xfId="3" applyNumberFormat="1" applyFont="1" applyFill="1" applyBorder="1" applyAlignment="1">
      <alignment horizontal="right" vertical="center"/>
    </xf>
    <xf numFmtId="0" fontId="51" fillId="0" borderId="6" xfId="2" applyNumberFormat="1" applyFont="1" applyFill="1" applyBorder="1" applyAlignment="1">
      <alignment horizontal="left" vertical="center" shrinkToFit="1"/>
    </xf>
    <xf numFmtId="0" fontId="51" fillId="0" borderId="6" xfId="2" applyNumberFormat="1" applyFont="1" applyFill="1" applyBorder="1" applyAlignment="1">
      <alignment horizontal="center" vertical="center"/>
    </xf>
    <xf numFmtId="178" fontId="34" fillId="0" borderId="25" xfId="12" applyNumberFormat="1" applyFont="1" applyFill="1" applyBorder="1" applyAlignment="1">
      <alignment vertical="center"/>
    </xf>
    <xf numFmtId="178" fontId="34" fillId="0" borderId="6" xfId="11" quotePrefix="1" applyNumberFormat="1" applyFont="1" applyFill="1" applyBorder="1" applyAlignment="1">
      <alignment horizontal="center" vertical="center"/>
    </xf>
    <xf numFmtId="178" fontId="34" fillId="0" borderId="16" xfId="12" applyNumberFormat="1" applyFont="1" applyFill="1" applyBorder="1" applyAlignment="1">
      <alignment vertical="center"/>
    </xf>
    <xf numFmtId="178" fontId="51" fillId="0" borderId="12" xfId="12" applyNumberFormat="1" applyFont="1" applyFill="1" applyBorder="1" applyAlignment="1">
      <alignment vertical="center"/>
    </xf>
    <xf numFmtId="178" fontId="34" fillId="0" borderId="0" xfId="11" quotePrefix="1" applyNumberFormat="1" applyFont="1" applyFill="1" applyBorder="1" applyAlignment="1">
      <alignment horizontal="center" vertical="center"/>
    </xf>
    <xf numFmtId="178" fontId="51" fillId="0" borderId="10" xfId="12" applyNumberFormat="1" applyFont="1" applyFill="1" applyBorder="1" applyAlignment="1">
      <alignment vertical="center"/>
    </xf>
    <xf numFmtId="178" fontId="34" fillId="0" borderId="10" xfId="12" applyNumberFormat="1" applyFont="1" applyFill="1" applyBorder="1" applyAlignment="1">
      <alignment vertical="center"/>
    </xf>
    <xf numFmtId="0" fontId="34" fillId="0" borderId="20" xfId="11" applyFont="1" applyBorder="1" applyAlignment="1">
      <alignment vertical="center"/>
    </xf>
    <xf numFmtId="0" fontId="34" fillId="0" borderId="74" xfId="11" applyFont="1" applyBorder="1" applyAlignment="1">
      <alignment vertical="center"/>
    </xf>
    <xf numFmtId="0" fontId="55" fillId="0" borderId="74" xfId="11" applyFont="1" applyFill="1" applyBorder="1" applyAlignment="1">
      <alignment vertical="center"/>
    </xf>
    <xf numFmtId="177" fontId="51" fillId="0" borderId="0" xfId="5" applyNumberFormat="1" applyFont="1" applyBorder="1" applyAlignment="1">
      <alignment horizontal="center" vertical="center"/>
    </xf>
    <xf numFmtId="177" fontId="51" fillId="0" borderId="10" xfId="12" applyNumberFormat="1" applyFont="1" applyBorder="1" applyAlignment="1">
      <alignment vertical="center"/>
    </xf>
    <xf numFmtId="177" fontId="34" fillId="0" borderId="0" xfId="5" applyNumberFormat="1" applyFont="1" applyBorder="1" applyAlignment="1">
      <alignment vertical="center"/>
    </xf>
    <xf numFmtId="177" fontId="34" fillId="0" borderId="12" xfId="5" applyNumberFormat="1" applyFont="1" applyBorder="1" applyAlignment="1">
      <alignment vertical="center"/>
    </xf>
    <xf numFmtId="177" fontId="34" fillId="0" borderId="220" xfId="5" applyNumberFormat="1" applyFont="1" applyBorder="1" applyAlignment="1">
      <alignment vertical="center"/>
    </xf>
    <xf numFmtId="176" fontId="55" fillId="0" borderId="220" xfId="12" applyNumberFormat="1" applyFont="1" applyBorder="1" applyAlignment="1">
      <alignment vertical="center"/>
    </xf>
    <xf numFmtId="177" fontId="34" fillId="0" borderId="221" xfId="5" applyNumberFormat="1" applyFont="1" applyBorder="1" applyAlignment="1">
      <alignment vertical="center"/>
    </xf>
    <xf numFmtId="177" fontId="34" fillId="0" borderId="222" xfId="5" applyNumberFormat="1" applyFont="1" applyBorder="1" applyAlignment="1">
      <alignment horizontal="center" vertical="center"/>
    </xf>
    <xf numFmtId="177" fontId="51" fillId="0" borderId="223" xfId="12" applyNumberFormat="1" applyFont="1" applyBorder="1" applyAlignment="1">
      <alignment vertical="center"/>
    </xf>
    <xf numFmtId="41" fontId="34" fillId="0" borderId="0" xfId="3" applyNumberFormat="1" applyFont="1" applyFill="1" applyBorder="1" applyAlignment="1">
      <alignment horizontal="center" vertical="center"/>
    </xf>
    <xf numFmtId="41" fontId="34" fillId="0" borderId="11" xfId="3" applyNumberFormat="1" applyFont="1" applyFill="1" applyBorder="1" applyAlignment="1">
      <alignment horizontal="right" vertical="center"/>
    </xf>
    <xf numFmtId="177" fontId="34" fillId="0" borderId="173" xfId="5" applyNumberFormat="1" applyFont="1" applyBorder="1" applyAlignment="1">
      <alignment vertical="center"/>
    </xf>
    <xf numFmtId="176" fontId="55" fillId="0" borderId="173" xfId="12" applyNumberFormat="1" applyFont="1" applyBorder="1" applyAlignment="1">
      <alignment vertical="center"/>
    </xf>
    <xf numFmtId="177" fontId="51" fillId="0" borderId="224" xfId="5" applyNumberFormat="1" applyFont="1" applyBorder="1" applyAlignment="1">
      <alignment vertical="center"/>
    </xf>
    <xf numFmtId="177" fontId="34" fillId="0" borderId="225" xfId="5" applyNumberFormat="1" applyFont="1" applyBorder="1" applyAlignment="1">
      <alignment horizontal="center" vertical="center"/>
    </xf>
    <xf numFmtId="177" fontId="51" fillId="0" borderId="226" xfId="12" applyNumberFormat="1" applyFont="1" applyBorder="1" applyAlignment="1">
      <alignment vertical="center"/>
    </xf>
    <xf numFmtId="177" fontId="34" fillId="0" borderId="227" xfId="12" applyNumberFormat="1" applyFont="1" applyBorder="1" applyAlignment="1">
      <alignment vertical="center"/>
    </xf>
    <xf numFmtId="177" fontId="34" fillId="0" borderId="228" xfId="5" applyNumberFormat="1" applyFont="1" applyBorder="1" applyAlignment="1">
      <alignment vertical="center"/>
    </xf>
    <xf numFmtId="177" fontId="34" fillId="0" borderId="28" xfId="5" applyNumberFormat="1" applyFont="1" applyBorder="1" applyAlignment="1">
      <alignment vertical="center"/>
    </xf>
    <xf numFmtId="176" fontId="55" fillId="0" borderId="20" xfId="12" applyNumberFormat="1" applyFont="1" applyBorder="1" applyAlignment="1">
      <alignment vertical="center"/>
    </xf>
    <xf numFmtId="177" fontId="34" fillId="0" borderId="229" xfId="12" applyNumberFormat="1" applyFont="1" applyBorder="1" applyAlignment="1">
      <alignment vertical="center"/>
    </xf>
    <xf numFmtId="177" fontId="34" fillId="0" borderId="21" xfId="5" applyNumberFormat="1" applyFont="1" applyBorder="1" applyAlignment="1">
      <alignment horizontal="center" vertical="center"/>
    </xf>
    <xf numFmtId="177" fontId="34" fillId="0" borderId="230" xfId="5" applyNumberFormat="1" applyFont="1" applyBorder="1" applyAlignment="1">
      <alignment vertical="center"/>
    </xf>
    <xf numFmtId="177" fontId="64" fillId="0" borderId="21" xfId="11" applyNumberFormat="1" applyFont="1" applyFill="1" applyBorder="1" applyAlignment="1">
      <alignment vertical="center"/>
    </xf>
    <xf numFmtId="41" fontId="55" fillId="0" borderId="21" xfId="12" applyNumberFormat="1" applyFont="1" applyFill="1" applyBorder="1" applyAlignment="1">
      <alignment vertical="center"/>
    </xf>
    <xf numFmtId="176" fontId="62" fillId="0" borderId="21" xfId="12" applyNumberFormat="1" applyFont="1" applyFill="1" applyBorder="1" applyAlignment="1">
      <alignment vertical="center"/>
    </xf>
    <xf numFmtId="0" fontId="62" fillId="0" borderId="21" xfId="12" applyNumberFormat="1" applyFont="1" applyFill="1" applyBorder="1" applyAlignment="1">
      <alignment vertical="center"/>
    </xf>
    <xf numFmtId="41" fontId="62" fillId="0" borderId="21" xfId="12" applyNumberFormat="1" applyFont="1" applyFill="1" applyBorder="1" applyAlignment="1">
      <alignment horizontal="center" vertical="center"/>
    </xf>
    <xf numFmtId="41" fontId="55" fillId="0" borderId="21" xfId="3" applyNumberFormat="1" applyFont="1" applyFill="1" applyBorder="1" applyAlignment="1">
      <alignment horizontal="right" vertical="center"/>
    </xf>
    <xf numFmtId="0" fontId="55" fillId="0" borderId="5" xfId="3" applyNumberFormat="1" applyFont="1" applyFill="1" applyBorder="1" applyAlignment="1">
      <alignment horizontal="left" vertical="center"/>
    </xf>
    <xf numFmtId="41" fontId="131" fillId="6" borderId="44" xfId="3" applyNumberFormat="1" applyFont="1" applyFill="1" applyBorder="1" applyAlignment="1">
      <alignment horizontal="center" vertical="center"/>
    </xf>
    <xf numFmtId="10" fontId="131" fillId="6" borderId="47" xfId="3" applyNumberFormat="1" applyFont="1" applyFill="1" applyBorder="1" applyAlignment="1">
      <alignment horizontal="center" vertical="center"/>
    </xf>
    <xf numFmtId="41" fontId="54" fillId="0" borderId="0" xfId="3" applyNumberFormat="1" applyFont="1" applyFill="1" applyBorder="1" applyAlignment="1">
      <alignment horizontal="center" vertical="center"/>
    </xf>
    <xf numFmtId="10" fontId="54" fillId="0" borderId="0" xfId="3" applyNumberFormat="1" applyFont="1" applyFill="1" applyBorder="1" applyAlignment="1">
      <alignment horizontal="center" vertical="center"/>
    </xf>
    <xf numFmtId="41" fontId="64" fillId="0" borderId="48" xfId="80" applyNumberFormat="1" applyFont="1" applyFill="1" applyBorder="1" applyAlignment="1">
      <alignment horizontal="center" vertical="center"/>
    </xf>
    <xf numFmtId="41" fontId="64" fillId="0" borderId="50" xfId="80" applyNumberFormat="1" applyFont="1" applyFill="1" applyBorder="1" applyAlignment="1">
      <alignment horizontal="center" vertical="center"/>
    </xf>
    <xf numFmtId="41" fontId="62" fillId="0" borderId="0" xfId="80" applyNumberFormat="1" applyFont="1" applyFill="1" applyBorder="1" applyAlignment="1">
      <alignment horizontal="center" vertical="center"/>
    </xf>
    <xf numFmtId="10" fontId="64" fillId="0" borderId="231" xfId="12" applyNumberFormat="1" applyFont="1" applyFill="1" applyBorder="1" applyAlignment="1">
      <alignment horizontal="center" vertical="center" shrinkToFit="1"/>
    </xf>
    <xf numFmtId="10" fontId="64" fillId="0" borderId="59" xfId="12" applyNumberFormat="1" applyFont="1" applyFill="1" applyBorder="1" applyAlignment="1">
      <alignment horizontal="center" vertical="center" shrinkToFit="1"/>
    </xf>
    <xf numFmtId="10" fontId="64" fillId="0" borderId="0" xfId="12" applyNumberFormat="1" applyFont="1" applyFill="1" applyBorder="1" applyAlignment="1">
      <alignment horizontal="center" vertical="center" shrinkToFit="1"/>
    </xf>
    <xf numFmtId="41" fontId="64" fillId="0" borderId="0" xfId="12" applyNumberFormat="1" applyFont="1" applyFill="1" applyBorder="1" applyAlignment="1">
      <alignment horizontal="center" vertical="center" shrinkToFit="1"/>
    </xf>
    <xf numFmtId="180" fontId="64" fillId="0" borderId="10" xfId="12" applyNumberFormat="1" applyFont="1" applyFill="1" applyBorder="1" applyAlignment="1">
      <alignment horizontal="left" vertical="center" shrinkToFit="1"/>
    </xf>
    <xf numFmtId="180" fontId="34" fillId="0" borderId="10" xfId="12" applyNumberFormat="1" applyFont="1" applyFill="1" applyBorder="1" applyAlignment="1">
      <alignment horizontal="left" vertical="center" shrinkToFit="1"/>
    </xf>
    <xf numFmtId="41" fontId="131" fillId="0" borderId="13" xfId="85" applyNumberFormat="1" applyFont="1" applyFill="1" applyBorder="1" applyAlignment="1">
      <alignment horizontal="right" vertical="center"/>
    </xf>
    <xf numFmtId="41" fontId="131" fillId="0" borderId="14" xfId="85" applyNumberFormat="1" applyFont="1" applyFill="1" applyBorder="1" applyAlignment="1">
      <alignment horizontal="right" vertical="center"/>
    </xf>
    <xf numFmtId="41" fontId="34" fillId="0" borderId="14" xfId="85" applyNumberFormat="1" applyFont="1" applyFill="1" applyBorder="1" applyAlignment="1">
      <alignment horizontal="right" vertical="center"/>
    </xf>
    <xf numFmtId="41" fontId="34" fillId="0" borderId="14" xfId="12" applyNumberFormat="1" applyFont="1" applyFill="1" applyBorder="1" applyAlignment="1">
      <alignment horizontal="right" vertical="center" shrinkToFit="1"/>
    </xf>
    <xf numFmtId="41" fontId="34" fillId="0" borderId="15" xfId="12" applyNumberFormat="1" applyFont="1" applyFill="1" applyBorder="1" applyAlignment="1">
      <alignment horizontal="right" vertical="center" shrinkToFit="1"/>
    </xf>
    <xf numFmtId="180" fontId="34" fillId="0" borderId="10" xfId="85" applyNumberFormat="1" applyFont="1" applyFill="1" applyBorder="1" applyAlignment="1">
      <alignment horizontal="left" vertical="center" shrinkToFit="1"/>
    </xf>
    <xf numFmtId="41" fontId="131" fillId="0" borderId="121" xfId="85" applyNumberFormat="1" applyFont="1" applyFill="1" applyBorder="1" applyAlignment="1">
      <alignment horizontal="right" vertical="center"/>
    </xf>
    <xf numFmtId="41" fontId="34" fillId="0" borderId="0" xfId="85" applyNumberFormat="1" applyFont="1" applyFill="1" applyBorder="1" applyAlignment="1">
      <alignment horizontal="right" vertical="center" shrinkToFit="1"/>
    </xf>
    <xf numFmtId="180" fontId="34" fillId="0" borderId="0" xfId="85" applyNumberFormat="1" applyFont="1" applyFill="1" applyBorder="1" applyAlignment="1">
      <alignment horizontal="right" vertical="center" shrinkToFit="1"/>
    </xf>
    <xf numFmtId="9" fontId="34" fillId="0" borderId="0" xfId="85" applyNumberFormat="1" applyFont="1" applyFill="1" applyBorder="1" applyAlignment="1">
      <alignment horizontal="right" vertical="center"/>
    </xf>
    <xf numFmtId="41" fontId="58" fillId="0" borderId="121" xfId="85" applyNumberFormat="1" applyFont="1" applyFill="1" applyBorder="1" applyAlignment="1">
      <alignment horizontal="right" vertical="center"/>
    </xf>
    <xf numFmtId="41" fontId="131" fillId="0" borderId="121" xfId="85" applyFont="1" applyFill="1" applyBorder="1" applyAlignment="1">
      <alignment horizontal="right" vertical="center"/>
    </xf>
    <xf numFmtId="41" fontId="131" fillId="0" borderId="0" xfId="85" applyFont="1" applyFill="1" applyBorder="1" applyAlignment="1">
      <alignment horizontal="right" vertical="center"/>
    </xf>
    <xf numFmtId="41" fontId="34" fillId="0" borderId="0" xfId="5" applyNumberFormat="1" applyFont="1" applyFill="1" applyBorder="1" applyAlignment="1">
      <alignment horizontal="right" vertical="center"/>
    </xf>
    <xf numFmtId="41" fontId="34" fillId="0" borderId="10" xfId="5" applyNumberFormat="1" applyFont="1" applyFill="1" applyBorder="1" applyAlignment="1">
      <alignment horizontal="right" vertical="center"/>
    </xf>
    <xf numFmtId="41" fontId="51" fillId="0" borderId="0" xfId="85" applyNumberFormat="1" applyFont="1" applyFill="1" applyBorder="1" applyAlignment="1">
      <alignment horizontal="right" vertical="center" shrinkToFit="1"/>
    </xf>
    <xf numFmtId="41" fontId="51" fillId="0" borderId="10" xfId="85" applyNumberFormat="1" applyFont="1" applyFill="1" applyBorder="1" applyAlignment="1">
      <alignment horizontal="right" vertical="center" shrinkToFit="1"/>
    </xf>
    <xf numFmtId="9" fontId="34" fillId="0" borderId="0" xfId="85" applyNumberFormat="1" applyFont="1" applyFill="1" applyBorder="1" applyAlignment="1">
      <alignment horizontal="right" vertical="center" shrinkToFit="1"/>
    </xf>
    <xf numFmtId="0" fontId="51" fillId="0" borderId="12" xfId="80" applyNumberFormat="1" applyFont="1" applyFill="1" applyBorder="1" applyAlignment="1">
      <alignment horizontal="left" vertical="center"/>
    </xf>
    <xf numFmtId="0" fontId="34" fillId="0" borderId="30" xfId="11" applyNumberFormat="1" applyFont="1" applyFill="1" applyBorder="1" applyAlignment="1">
      <alignment vertical="center"/>
    </xf>
    <xf numFmtId="41" fontId="34" fillId="0" borderId="0" xfId="80" applyNumberFormat="1" applyFont="1" applyFill="1" applyBorder="1" applyAlignment="1">
      <alignment horizontal="right" vertical="center" shrinkToFit="1"/>
    </xf>
    <xf numFmtId="41" fontId="34" fillId="0" borderId="10" xfId="80" applyNumberFormat="1" applyFont="1" applyFill="1" applyBorder="1" applyAlignment="1">
      <alignment horizontal="right" vertical="center" shrinkToFit="1"/>
    </xf>
    <xf numFmtId="41" fontId="34" fillId="0" borderId="0" xfId="12" applyNumberFormat="1" applyFont="1" applyFill="1" applyBorder="1" applyAlignment="1">
      <alignment horizontal="right" vertical="center" shrinkToFit="1"/>
    </xf>
    <xf numFmtId="41" fontId="34" fillId="0" borderId="10" xfId="12" applyNumberFormat="1" applyFont="1" applyFill="1" applyBorder="1" applyAlignment="1">
      <alignment horizontal="right" vertical="center" shrinkToFit="1"/>
    </xf>
    <xf numFmtId="0" fontId="55" fillId="0" borderId="0" xfId="5" applyNumberFormat="1" applyFont="1" applyFill="1" applyBorder="1" applyAlignment="1">
      <alignment vertical="center"/>
    </xf>
    <xf numFmtId="180" fontId="34" fillId="0" borderId="10" xfId="12" applyNumberFormat="1" applyFont="1" applyFill="1" applyBorder="1" applyAlignment="1">
      <alignment horizontal="right" vertical="center" shrinkToFit="1"/>
    </xf>
    <xf numFmtId="178" fontId="55" fillId="0" borderId="0" xfId="5" quotePrefix="1" applyNumberFormat="1" applyFont="1" applyFill="1" applyBorder="1" applyAlignment="1">
      <alignment horizontal="center" vertical="center"/>
    </xf>
    <xf numFmtId="41" fontId="55" fillId="0" borderId="10" xfId="12" applyFont="1" applyFill="1" applyBorder="1" applyAlignment="1">
      <alignment vertical="center" shrinkToFit="1"/>
    </xf>
    <xf numFmtId="41" fontId="34" fillId="0" borderId="121" xfId="85" applyNumberFormat="1" applyFont="1" applyFill="1" applyBorder="1" applyAlignment="1">
      <alignment vertical="center"/>
    </xf>
    <xf numFmtId="41" fontId="34" fillId="0" borderId="0" xfId="85" applyNumberFormat="1" applyFont="1" applyFill="1" applyBorder="1" applyAlignment="1">
      <alignment vertical="center"/>
    </xf>
    <xf numFmtId="41" fontId="34" fillId="0" borderId="0" xfId="12" applyFont="1" applyFill="1" applyBorder="1" applyAlignment="1">
      <alignment horizontal="right" vertical="center" shrinkToFit="1"/>
    </xf>
    <xf numFmtId="41" fontId="34" fillId="0" borderId="10" xfId="12" applyFont="1" applyFill="1" applyBorder="1" applyAlignment="1">
      <alignment horizontal="right" vertical="center" shrinkToFit="1"/>
    </xf>
    <xf numFmtId="41" fontId="51" fillId="0" borderId="0" xfId="12" applyNumberFormat="1" applyFont="1" applyFill="1" applyBorder="1" applyAlignment="1">
      <alignment horizontal="right" vertical="center" shrinkToFit="1"/>
    </xf>
    <xf numFmtId="41" fontId="51" fillId="0" borderId="10" xfId="12" applyNumberFormat="1" applyFont="1" applyFill="1" applyBorder="1" applyAlignment="1">
      <alignment horizontal="right" vertical="center" shrinkToFit="1"/>
    </xf>
    <xf numFmtId="41" fontId="51" fillId="0" borderId="0" xfId="80" applyNumberFormat="1" applyFont="1" applyFill="1" applyBorder="1" applyAlignment="1">
      <alignment horizontal="right" vertical="center" shrinkToFit="1"/>
    </xf>
    <xf numFmtId="41" fontId="51" fillId="0" borderId="10" xfId="80" applyNumberFormat="1" applyFont="1" applyFill="1" applyBorder="1" applyAlignment="1">
      <alignment horizontal="right" vertical="center" shrinkToFit="1"/>
    </xf>
    <xf numFmtId="10" fontId="34" fillId="0" borderId="0" xfId="85" applyNumberFormat="1" applyFont="1" applyFill="1" applyBorder="1" applyAlignment="1">
      <alignment vertical="center"/>
    </xf>
    <xf numFmtId="176" fontId="34" fillId="0" borderId="2" xfId="80" applyNumberFormat="1" applyFont="1" applyFill="1" applyBorder="1" applyAlignment="1">
      <alignment horizontal="right" vertical="center"/>
    </xf>
    <xf numFmtId="196" fontId="34" fillId="0" borderId="0" xfId="12" applyNumberFormat="1" applyFont="1" applyFill="1" applyBorder="1" applyAlignment="1">
      <alignment horizontal="right" vertical="center" shrinkToFit="1"/>
    </xf>
    <xf numFmtId="0" fontId="55" fillId="0" borderId="5" xfId="5" applyNumberFormat="1" applyFont="1" applyFill="1" applyBorder="1" applyAlignment="1">
      <alignment vertical="center" shrinkToFit="1"/>
    </xf>
    <xf numFmtId="0" fontId="34" fillId="0" borderId="30" xfId="12" applyNumberFormat="1" applyFont="1" applyFill="1" applyBorder="1" applyAlignment="1">
      <alignment vertical="center"/>
    </xf>
    <xf numFmtId="0" fontId="34" fillId="0" borderId="12" xfId="85" applyNumberFormat="1" applyFont="1" applyFill="1" applyBorder="1" applyAlignment="1">
      <alignment vertical="center"/>
    </xf>
    <xf numFmtId="41" fontId="34" fillId="0" borderId="0" xfId="12" applyNumberFormat="1" applyFont="1" applyFill="1" applyBorder="1" applyAlignment="1">
      <alignment vertical="center" shrinkToFit="1"/>
    </xf>
    <xf numFmtId="0" fontId="34" fillId="0" borderId="30" xfId="11" applyNumberFormat="1" applyFont="1" applyFill="1" applyBorder="1" applyAlignment="1">
      <alignment vertical="center" shrinkToFit="1"/>
    </xf>
    <xf numFmtId="180" fontId="51" fillId="0" borderId="18" xfId="80" applyNumberFormat="1" applyFont="1" applyFill="1" applyBorder="1" applyAlignment="1">
      <alignment horizontal="right" vertical="center" shrinkToFit="1"/>
    </xf>
    <xf numFmtId="41" fontId="51" fillId="0" borderId="0" xfId="80" applyNumberFormat="1" applyFont="1" applyFill="1" applyBorder="1" applyAlignment="1">
      <alignment vertical="center" shrinkToFit="1"/>
    </xf>
    <xf numFmtId="41" fontId="55" fillId="0" borderId="0" xfId="12" applyNumberFormat="1" applyFont="1" applyFill="1" applyBorder="1" applyAlignment="1">
      <alignment horizontal="right" vertical="center" shrinkToFit="1"/>
    </xf>
    <xf numFmtId="41" fontId="55" fillId="0" borderId="10" xfId="12" applyNumberFormat="1" applyFont="1" applyFill="1" applyBorder="1" applyAlignment="1">
      <alignment horizontal="right" vertical="center" shrinkToFit="1"/>
    </xf>
    <xf numFmtId="178" fontId="55" fillId="0" borderId="0" xfId="12" applyNumberFormat="1" applyFont="1" applyFill="1" applyBorder="1" applyAlignment="1">
      <alignment vertical="center" shrinkToFit="1"/>
    </xf>
    <xf numFmtId="178" fontId="55" fillId="0" borderId="0" xfId="12" applyNumberFormat="1" applyFont="1" applyFill="1" applyBorder="1" applyAlignment="1">
      <alignment horizontal="right" vertical="center" shrinkToFit="1"/>
    </xf>
    <xf numFmtId="41" fontId="55" fillId="0" borderId="0" xfId="12" applyNumberFormat="1" applyFont="1" applyFill="1" applyBorder="1" applyAlignment="1">
      <alignment vertical="center" shrinkToFit="1"/>
    </xf>
    <xf numFmtId="41" fontId="55" fillId="0" borderId="0" xfId="12" applyFont="1" applyFill="1" applyBorder="1" applyAlignment="1">
      <alignment horizontal="right" vertical="center" shrinkToFit="1"/>
    </xf>
    <xf numFmtId="178" fontId="55" fillId="0" borderId="0" xfId="5" applyNumberFormat="1" applyFont="1" applyFill="1" applyBorder="1" applyAlignment="1">
      <alignment horizontal="center" vertical="center"/>
    </xf>
    <xf numFmtId="178" fontId="55" fillId="0" borderId="10" xfId="12" applyNumberFormat="1" applyFont="1" applyFill="1" applyBorder="1" applyAlignment="1">
      <alignment horizontal="right" vertical="center" shrinkToFit="1"/>
    </xf>
    <xf numFmtId="0" fontId="55" fillId="0" borderId="0" xfId="5" quotePrefix="1" applyNumberFormat="1" applyFont="1" applyFill="1" applyBorder="1" applyAlignment="1">
      <alignment horizontal="center" vertical="center"/>
    </xf>
    <xf numFmtId="41" fontId="54" fillId="0" borderId="0" xfId="3" applyNumberFormat="1" applyFont="1" applyFill="1" applyBorder="1" applyAlignment="1">
      <alignment horizontal="right" vertical="center"/>
    </xf>
    <xf numFmtId="41" fontId="55" fillId="0" borderId="0" xfId="3" applyNumberFormat="1" applyFont="1" applyFill="1" applyBorder="1" applyAlignment="1">
      <alignment horizontal="right" vertical="center"/>
    </xf>
    <xf numFmtId="0" fontId="34" fillId="0" borderId="1" xfId="5" applyNumberFormat="1" applyFont="1" applyFill="1" applyBorder="1" applyAlignment="1">
      <alignment vertical="center" shrinkToFit="1"/>
    </xf>
    <xf numFmtId="178" fontId="34" fillId="0" borderId="7" xfId="12" applyNumberFormat="1" applyFont="1" applyFill="1" applyBorder="1" applyAlignment="1">
      <alignment horizontal="right" vertical="center" shrinkToFit="1"/>
    </xf>
    <xf numFmtId="0" fontId="62" fillId="0" borderId="35" xfId="5" applyNumberFormat="1" applyFont="1" applyFill="1" applyBorder="1" applyAlignment="1">
      <alignment vertical="center" wrapText="1"/>
    </xf>
    <xf numFmtId="0" fontId="34" fillId="0" borderId="0" xfId="5" applyFont="1" applyFill="1" applyBorder="1" applyAlignment="1">
      <alignment vertical="center" shrinkToFit="1"/>
    </xf>
    <xf numFmtId="0" fontId="34" fillId="0" borderId="0" xfId="5" applyFont="1" applyFill="1" applyBorder="1" applyAlignment="1">
      <alignment horizontal="center" vertical="center"/>
    </xf>
    <xf numFmtId="0" fontId="62" fillId="0" borderId="121" xfId="5" applyNumberFormat="1" applyFont="1" applyFill="1" applyBorder="1" applyAlignment="1">
      <alignment vertical="center"/>
    </xf>
    <xf numFmtId="0" fontId="62" fillId="0" borderId="9" xfId="5" applyNumberFormat="1" applyFont="1" applyFill="1" applyBorder="1" applyAlignment="1">
      <alignment vertical="center" wrapText="1"/>
    </xf>
    <xf numFmtId="0" fontId="60" fillId="0" borderId="2" xfId="5" applyNumberFormat="1" applyFont="1" applyFill="1" applyBorder="1" applyAlignment="1">
      <alignment vertical="center" wrapText="1"/>
    </xf>
    <xf numFmtId="0" fontId="65" fillId="0" borderId="35" xfId="5" applyNumberFormat="1" applyFont="1" applyFill="1" applyBorder="1" applyAlignment="1">
      <alignment vertical="center" shrinkToFit="1"/>
    </xf>
    <xf numFmtId="0" fontId="62" fillId="0" borderId="8" xfId="5" applyNumberFormat="1" applyFont="1" applyFill="1" applyBorder="1" applyAlignment="1">
      <alignment vertical="center" wrapText="1"/>
    </xf>
    <xf numFmtId="178" fontId="34" fillId="0" borderId="7" xfId="14" applyNumberFormat="1" applyFont="1" applyFill="1" applyBorder="1" applyAlignment="1">
      <alignment horizontal="right" vertical="center" shrinkToFit="1"/>
    </xf>
    <xf numFmtId="176" fontId="34" fillId="0" borderId="3" xfId="14" applyNumberFormat="1" applyFont="1" applyFill="1" applyBorder="1" applyAlignment="1">
      <alignment horizontal="right" vertical="center"/>
    </xf>
    <xf numFmtId="178" fontId="34" fillId="0" borderId="3" xfId="14" applyNumberFormat="1" applyFont="1" applyFill="1" applyBorder="1" applyAlignment="1">
      <alignment horizontal="right" vertical="center" shrinkToFit="1"/>
    </xf>
    <xf numFmtId="178" fontId="34" fillId="0" borderId="2" xfId="14" applyNumberFormat="1" applyFont="1" applyFill="1" applyBorder="1" applyAlignment="1">
      <alignment horizontal="right" vertical="center" shrinkToFit="1"/>
    </xf>
    <xf numFmtId="176" fontId="34" fillId="0" borderId="2" xfId="14" applyNumberFormat="1" applyFont="1" applyFill="1" applyBorder="1" applyAlignment="1">
      <alignment horizontal="right" vertical="center"/>
    </xf>
    <xf numFmtId="41" fontId="55" fillId="0" borderId="7" xfId="12" applyNumberFormat="1" applyFont="1" applyFill="1" applyBorder="1" applyAlignment="1">
      <alignment vertical="center" shrinkToFit="1"/>
    </xf>
    <xf numFmtId="178" fontId="54" fillId="0" borderId="16" xfId="12" applyNumberFormat="1" applyFont="1" applyFill="1" applyBorder="1" applyAlignment="1">
      <alignment horizontal="right" vertical="center" shrinkToFit="1"/>
    </xf>
    <xf numFmtId="41" fontId="34" fillId="0" borderId="3" xfId="14" applyNumberFormat="1" applyFont="1" applyFill="1" applyBorder="1" applyAlignment="1">
      <alignment vertical="center" shrinkToFit="1"/>
    </xf>
    <xf numFmtId="181" fontId="34" fillId="0" borderId="35" xfId="14" applyNumberFormat="1" applyFont="1" applyFill="1" applyBorder="1" applyAlignment="1">
      <alignment horizontal="right" vertical="center"/>
    </xf>
    <xf numFmtId="41" fontId="51" fillId="0" borderId="18" xfId="14" applyFont="1" applyFill="1" applyBorder="1" applyAlignment="1">
      <alignment horizontal="right" vertical="center"/>
    </xf>
    <xf numFmtId="41" fontId="34" fillId="0" borderId="2" xfId="14" applyNumberFormat="1" applyFont="1" applyFill="1" applyBorder="1" applyAlignment="1">
      <alignment vertical="center" shrinkToFit="1"/>
    </xf>
    <xf numFmtId="181" fontId="34" fillId="0" borderId="29" xfId="14" applyNumberFormat="1" applyFont="1" applyFill="1" applyBorder="1" applyAlignment="1">
      <alignment horizontal="right" vertical="center"/>
    </xf>
    <xf numFmtId="178" fontId="34" fillId="0" borderId="0" xfId="14" applyNumberFormat="1" applyFont="1" applyFill="1" applyBorder="1" applyAlignment="1">
      <alignment vertical="center" shrinkToFit="1"/>
    </xf>
    <xf numFmtId="178" fontId="34" fillId="0" borderId="10" xfId="14" applyNumberFormat="1" applyFont="1" applyFill="1" applyBorder="1" applyAlignment="1">
      <alignment horizontal="right" vertical="center"/>
    </xf>
    <xf numFmtId="0" fontId="55" fillId="0" borderId="22" xfId="3" applyNumberFormat="1" applyFont="1" applyFill="1" applyBorder="1" applyAlignment="1">
      <alignment horizontal="left" vertical="center"/>
    </xf>
    <xf numFmtId="41" fontId="55" fillId="0" borderId="121" xfId="3" applyNumberFormat="1" applyFont="1" applyFill="1" applyBorder="1" applyAlignment="1">
      <alignment horizontal="right" vertical="center"/>
    </xf>
    <xf numFmtId="0" fontId="133" fillId="0" borderId="0" xfId="5" applyFont="1">
      <alignment vertical="center"/>
    </xf>
    <xf numFmtId="41" fontId="62" fillId="0" borderId="0" xfId="80" applyNumberFormat="1" applyFont="1" applyFill="1" applyBorder="1" applyAlignment="1">
      <alignment horizontal="right" vertical="center"/>
    </xf>
    <xf numFmtId="41" fontId="62" fillId="0" borderId="10" xfId="80" applyNumberFormat="1" applyFont="1" applyFill="1" applyBorder="1" applyAlignment="1">
      <alignment horizontal="right" vertical="center"/>
    </xf>
    <xf numFmtId="41" fontId="54" fillId="0" borderId="121" xfId="3" applyNumberFormat="1" applyFont="1" applyFill="1" applyBorder="1" applyAlignment="1">
      <alignment horizontal="right" vertical="center"/>
    </xf>
    <xf numFmtId="41" fontId="51" fillId="0" borderId="0" xfId="12" applyNumberFormat="1" applyFont="1" applyFill="1" applyBorder="1" applyAlignment="1">
      <alignment horizontal="right" vertical="center"/>
    </xf>
    <xf numFmtId="41" fontId="62" fillId="0" borderId="121" xfId="80" applyNumberFormat="1" applyFont="1" applyFill="1" applyBorder="1" applyAlignment="1">
      <alignment horizontal="right" vertical="center"/>
    </xf>
    <xf numFmtId="41" fontId="34" fillId="0" borderId="0" xfId="12" applyNumberFormat="1" applyFont="1" applyFill="1" applyBorder="1" applyAlignment="1">
      <alignment horizontal="right" vertical="center"/>
    </xf>
    <xf numFmtId="41" fontId="34" fillId="0" borderId="10" xfId="12" applyNumberFormat="1" applyFont="1" applyFill="1" applyBorder="1" applyAlignment="1">
      <alignment horizontal="right" vertical="center"/>
    </xf>
    <xf numFmtId="41" fontId="51" fillId="0" borderId="121" xfId="12" applyNumberFormat="1" applyFont="1" applyFill="1" applyBorder="1" applyAlignment="1">
      <alignment horizontal="right" vertical="center"/>
    </xf>
    <xf numFmtId="41" fontId="62" fillId="0" borderId="10" xfId="12" applyNumberFormat="1" applyFont="1" applyFill="1" applyBorder="1" applyAlignment="1">
      <alignment horizontal="right" vertical="center" shrinkToFit="1"/>
    </xf>
    <xf numFmtId="41" fontId="62" fillId="0" borderId="10" xfId="12" applyFont="1" applyFill="1" applyBorder="1" applyAlignment="1">
      <alignment vertical="center" shrinkToFit="1"/>
    </xf>
    <xf numFmtId="41" fontId="64" fillId="0" borderId="0" xfId="11" applyNumberFormat="1" applyFont="1" applyFill="1" applyBorder="1" applyAlignment="1">
      <alignment horizontal="right" vertical="center"/>
    </xf>
    <xf numFmtId="41" fontId="64" fillId="0" borderId="10" xfId="11" applyNumberFormat="1" applyFont="1" applyFill="1" applyBorder="1" applyAlignment="1">
      <alignment horizontal="right" vertical="center"/>
    </xf>
    <xf numFmtId="41" fontId="62" fillId="0" borderId="0" xfId="11" applyNumberFormat="1" applyFont="1" applyFill="1" applyBorder="1" applyAlignment="1">
      <alignment horizontal="right" vertical="center"/>
    </xf>
    <xf numFmtId="41" fontId="64" fillId="0" borderId="121" xfId="11" applyNumberFormat="1" applyFont="1" applyFill="1" applyBorder="1" applyAlignment="1">
      <alignment horizontal="right" vertical="center"/>
    </xf>
    <xf numFmtId="0" fontId="62" fillId="0" borderId="8" xfId="11" applyNumberFormat="1" applyFont="1" applyFill="1" applyBorder="1" applyAlignment="1">
      <alignment vertical="center" shrinkToFit="1"/>
    </xf>
    <xf numFmtId="41" fontId="62" fillId="0" borderId="11" xfId="11" applyNumberFormat="1" applyFont="1" applyFill="1" applyBorder="1" applyAlignment="1">
      <alignment vertical="center"/>
    </xf>
    <xf numFmtId="0" fontId="14" fillId="0" borderId="0" xfId="5" applyBorder="1">
      <alignment vertical="center"/>
    </xf>
    <xf numFmtId="0" fontId="14" fillId="0" borderId="10" xfId="5" applyBorder="1">
      <alignment vertical="center"/>
    </xf>
    <xf numFmtId="176" fontId="34" fillId="0" borderId="3" xfId="80" applyNumberFormat="1" applyFont="1" applyFill="1" applyBorder="1" applyAlignment="1">
      <alignment horizontal="right" vertical="center" shrinkToFit="1"/>
    </xf>
    <xf numFmtId="176" fontId="34" fillId="0" borderId="3" xfId="80" applyNumberFormat="1" applyFont="1" applyFill="1" applyBorder="1" applyAlignment="1">
      <alignment horizontal="right" vertical="center"/>
    </xf>
    <xf numFmtId="0" fontId="67" fillId="0" borderId="0" xfId="12" applyNumberFormat="1" applyFont="1" applyFill="1" applyAlignment="1">
      <alignment vertical="center"/>
    </xf>
    <xf numFmtId="41" fontId="66" fillId="0" borderId="0" xfId="12" applyNumberFormat="1" applyFont="1" applyFill="1" applyBorder="1" applyAlignment="1">
      <alignment horizontal="center" vertical="center"/>
    </xf>
    <xf numFmtId="0" fontId="134" fillId="0" borderId="0" xfId="11" applyNumberFormat="1" applyFont="1" applyFill="1" applyBorder="1" applyAlignment="1">
      <alignment vertical="center"/>
    </xf>
    <xf numFmtId="0" fontId="54" fillId="0" borderId="0" xfId="5" applyFont="1" applyFill="1" applyBorder="1" applyAlignment="1">
      <alignment horizontal="center" vertical="center"/>
    </xf>
    <xf numFmtId="0" fontId="55" fillId="0" borderId="6" xfId="5" quotePrefix="1" applyNumberFormat="1" applyFont="1" applyFill="1" applyBorder="1" applyAlignment="1">
      <alignment horizontal="center" vertical="center"/>
    </xf>
    <xf numFmtId="3" fontId="8" fillId="0" borderId="10" xfId="5" applyNumberFormat="1" applyFont="1" applyFill="1" applyBorder="1" applyAlignment="1">
      <alignment horizontal="right" vertical="center"/>
    </xf>
    <xf numFmtId="0" fontId="8" fillId="0" borderId="12" xfId="5" quotePrefix="1" applyNumberFormat="1" applyFont="1" applyFill="1" applyBorder="1" applyAlignment="1">
      <alignment horizontal="justify" vertical="center"/>
    </xf>
    <xf numFmtId="178" fontId="8" fillId="0" borderId="0" xfId="5" applyNumberFormat="1" applyFont="1" applyFill="1" applyBorder="1" applyAlignment="1">
      <alignment vertical="center"/>
    </xf>
    <xf numFmtId="0" fontId="8" fillId="0" borderId="0" xfId="5" applyNumberFormat="1" applyFont="1" applyAlignment="1">
      <alignment vertical="center"/>
    </xf>
    <xf numFmtId="0" fontId="8" fillId="0" borderId="131" xfId="5" applyNumberFormat="1" applyFont="1" applyFill="1" applyBorder="1" applyAlignment="1">
      <alignment horizontal="justify" vertical="center" wrapText="1"/>
    </xf>
    <xf numFmtId="0" fontId="8" fillId="0" borderId="0" xfId="5" applyNumberFormat="1" applyFont="1" applyFill="1" applyAlignment="1"/>
    <xf numFmtId="0" fontId="8" fillId="0" borderId="0" xfId="5" applyNumberFormat="1" applyFont="1" applyFill="1" applyBorder="1" applyAlignment="1">
      <alignment horizontal="center" vertical="center"/>
    </xf>
    <xf numFmtId="0" fontId="8" fillId="0" borderId="131" xfId="5" applyNumberFormat="1" applyFont="1" applyFill="1" applyBorder="1" applyAlignment="1">
      <alignment vertical="center"/>
    </xf>
    <xf numFmtId="0" fontId="8" fillId="0" borderId="5" xfId="5" applyNumberFormat="1" applyFont="1" applyFill="1" applyBorder="1" applyAlignment="1">
      <alignment horizontal="center" vertical="center"/>
    </xf>
    <xf numFmtId="0" fontId="8" fillId="0" borderId="134" xfId="5" applyNumberFormat="1" applyFont="1" applyFill="1" applyBorder="1" applyAlignment="1">
      <alignment vertical="center"/>
    </xf>
    <xf numFmtId="0" fontId="12" fillId="0" borderId="0" xfId="96" applyNumberFormat="1" applyFont="1" applyFill="1" applyBorder="1" applyAlignment="1">
      <alignment vertical="center"/>
    </xf>
    <xf numFmtId="0" fontId="12" fillId="0" borderId="0" xfId="96" applyNumberFormat="1" applyFont="1" applyFill="1" applyAlignment="1">
      <alignment vertical="center"/>
    </xf>
    <xf numFmtId="0" fontId="6" fillId="0" borderId="0" xfId="96" applyNumberFormat="1" applyFill="1" applyAlignment="1"/>
    <xf numFmtId="0" fontId="6" fillId="0" borderId="0" xfId="96" applyNumberFormat="1" applyFont="1" applyFill="1" applyAlignment="1"/>
    <xf numFmtId="41" fontId="10" fillId="0" borderId="21" xfId="3" applyNumberFormat="1" applyFont="1" applyFill="1" applyBorder="1" applyAlignment="1">
      <alignment horizontal="right" vertical="center"/>
    </xf>
    <xf numFmtId="0" fontId="6" fillId="0" borderId="0" xfId="96" applyNumberFormat="1" applyFill="1"/>
    <xf numFmtId="0" fontId="7" fillId="0" borderId="0" xfId="96" applyNumberFormat="1" applyFont="1" applyAlignment="1">
      <alignment vertical="center"/>
    </xf>
    <xf numFmtId="0" fontId="7" fillId="0" borderId="89" xfId="2" applyNumberFormat="1" applyFont="1" applyFill="1" applyBorder="1" applyAlignment="1">
      <alignment horizontal="left" vertical="center"/>
    </xf>
    <xf numFmtId="0" fontId="8" fillId="42" borderId="125" xfId="2" applyNumberFormat="1" applyFont="1" applyFill="1" applyBorder="1" applyAlignment="1">
      <alignment horizontal="center" vertical="center"/>
    </xf>
    <xf numFmtId="0" fontId="7" fillId="0" borderId="131" xfId="2" applyNumberFormat="1" applyFont="1" applyFill="1" applyBorder="1" applyAlignment="1">
      <alignment horizontal="left" vertical="center"/>
    </xf>
    <xf numFmtId="176" fontId="9" fillId="42" borderId="130" xfId="97" applyNumberFormat="1" applyFont="1" applyFill="1" applyBorder="1" applyAlignment="1">
      <alignment horizontal="right" vertical="center"/>
    </xf>
    <xf numFmtId="0" fontId="8" fillId="42" borderId="136" xfId="96" applyNumberFormat="1" applyFont="1" applyFill="1" applyBorder="1" applyAlignment="1">
      <alignment horizontal="center" vertical="center"/>
    </xf>
    <xf numFmtId="0" fontId="8" fillId="42" borderId="64" xfId="96" applyNumberFormat="1" applyFont="1" applyFill="1" applyBorder="1" applyAlignment="1">
      <alignment horizontal="center" vertical="center"/>
    </xf>
    <xf numFmtId="41" fontId="8" fillId="42" borderId="65" xfId="96" applyNumberFormat="1" applyFont="1" applyFill="1" applyBorder="1" applyAlignment="1">
      <alignment horizontal="center" vertical="center"/>
    </xf>
    <xf numFmtId="0" fontId="8" fillId="0" borderId="131" xfId="96" applyNumberFormat="1" applyFont="1" applyFill="1" applyBorder="1" applyAlignment="1">
      <alignment horizontal="center" vertical="center"/>
    </xf>
    <xf numFmtId="178" fontId="8" fillId="0" borderId="0" xfId="96" applyNumberFormat="1" applyFont="1" applyFill="1" applyBorder="1" applyAlignment="1">
      <alignment vertical="center"/>
    </xf>
    <xf numFmtId="177" fontId="59" fillId="0" borderId="0" xfId="96" applyNumberFormat="1" applyFont="1" applyFill="1" applyBorder="1" applyAlignment="1">
      <alignment vertical="center" shrinkToFit="1"/>
    </xf>
    <xf numFmtId="190" fontId="8" fillId="0" borderId="0" xfId="97" applyNumberFormat="1" applyFont="1" applyFill="1" applyBorder="1" applyAlignment="1">
      <alignment vertical="center" shrinkToFit="1"/>
    </xf>
    <xf numFmtId="178" fontId="8" fillId="0" borderId="0" xfId="96" applyNumberFormat="1" applyFont="1" applyFill="1" applyBorder="1" applyAlignment="1">
      <alignment vertical="center" shrinkToFit="1"/>
    </xf>
    <xf numFmtId="0" fontId="8" fillId="0" borderId="0" xfId="96" applyNumberFormat="1" applyFont="1" applyFill="1" applyBorder="1" applyAlignment="1">
      <alignment vertical="center"/>
    </xf>
    <xf numFmtId="0" fontId="8" fillId="0" borderId="0" xfId="96" applyNumberFormat="1" applyFont="1" applyFill="1" applyAlignment="1">
      <alignment vertical="center"/>
    </xf>
    <xf numFmtId="176" fontId="9" fillId="0" borderId="8" xfId="3" applyNumberFormat="1" applyFont="1" applyFill="1" applyBorder="1" applyAlignment="1">
      <alignment horizontal="right" vertical="center"/>
    </xf>
    <xf numFmtId="41" fontId="8" fillId="0" borderId="5" xfId="3" applyNumberFormat="1" applyFont="1" applyFill="1" applyBorder="1" applyAlignment="1">
      <alignment horizontal="left" vertical="center"/>
    </xf>
    <xf numFmtId="41" fontId="8" fillId="0" borderId="5" xfId="3" applyNumberFormat="1" applyFont="1" applyFill="1" applyBorder="1" applyAlignment="1">
      <alignment horizontal="center" vertical="center"/>
    </xf>
    <xf numFmtId="41" fontId="8" fillId="0" borderId="11" xfId="3" applyNumberFormat="1" applyFont="1" applyFill="1" applyBorder="1" applyAlignment="1">
      <alignment horizontal="right" vertical="center"/>
    </xf>
    <xf numFmtId="0" fontId="8" fillId="0" borderId="131" xfId="3" applyNumberFormat="1" applyFont="1" applyFill="1" applyBorder="1" applyAlignment="1">
      <alignment horizontal="left" vertical="center"/>
    </xf>
    <xf numFmtId="177" fontId="9" fillId="43" borderId="25" xfId="5" applyNumberFormat="1" applyFont="1" applyFill="1" applyBorder="1" applyAlignment="1">
      <alignment vertical="center"/>
    </xf>
    <xf numFmtId="0" fontId="9" fillId="0" borderId="131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vertical="center"/>
    </xf>
    <xf numFmtId="176" fontId="9" fillId="0" borderId="7" xfId="3" applyNumberFormat="1" applyFont="1" applyFill="1" applyBorder="1" applyAlignment="1">
      <alignment vertical="center"/>
    </xf>
    <xf numFmtId="0" fontId="9" fillId="0" borderId="232" xfId="2" applyNumberFormat="1" applyFont="1" applyFill="1" applyBorder="1" applyAlignment="1">
      <alignment vertical="center"/>
    </xf>
    <xf numFmtId="0" fontId="9" fillId="0" borderId="6" xfId="2" applyNumberFormat="1" applyFont="1" applyFill="1" applyBorder="1" applyAlignment="1">
      <alignment horizontal="left" vertical="center" shrinkToFit="1"/>
    </xf>
    <xf numFmtId="0" fontId="9" fillId="0" borderId="6" xfId="2" applyNumberFormat="1" applyFont="1" applyFill="1" applyBorder="1" applyAlignment="1">
      <alignment horizontal="center" vertical="center"/>
    </xf>
    <xf numFmtId="41" fontId="9" fillId="0" borderId="16" xfId="3" applyNumberFormat="1" applyFont="1" applyFill="1" applyBorder="1" applyAlignment="1">
      <alignment vertical="center"/>
    </xf>
    <xf numFmtId="0" fontId="8" fillId="0" borderId="17" xfId="96" applyNumberFormat="1" applyFont="1" applyFill="1" applyBorder="1" applyAlignment="1">
      <alignment vertical="center"/>
    </xf>
    <xf numFmtId="0" fontId="8" fillId="0" borderId="2" xfId="96" applyNumberFormat="1" applyFont="1" applyFill="1" applyBorder="1" applyAlignment="1">
      <alignment vertical="center"/>
    </xf>
    <xf numFmtId="0" fontId="9" fillId="0" borderId="12" xfId="96" applyNumberFormat="1" applyFont="1" applyFill="1" applyBorder="1" applyAlignment="1">
      <alignment horizontal="left" vertical="center"/>
    </xf>
    <xf numFmtId="0" fontId="9" fillId="0" borderId="2" xfId="96" applyNumberFormat="1" applyFont="1" applyFill="1" applyBorder="1" applyAlignment="1">
      <alignment horizontal="left" vertical="center"/>
    </xf>
    <xf numFmtId="0" fontId="9" fillId="0" borderId="1" xfId="96" applyNumberFormat="1" applyFont="1" applyFill="1" applyBorder="1" applyAlignment="1">
      <alignment horizontal="left" vertical="center"/>
    </xf>
    <xf numFmtId="0" fontId="8" fillId="0" borderId="25" xfId="96" applyNumberFormat="1" applyFont="1" applyFill="1" applyBorder="1" applyAlignment="1">
      <alignment vertical="center"/>
    </xf>
    <xf numFmtId="0" fontId="9" fillId="0" borderId="32" xfId="96" applyNumberFormat="1" applyFont="1" applyFill="1" applyBorder="1" applyAlignment="1">
      <alignment horizontal="left" vertical="center"/>
    </xf>
    <xf numFmtId="181" fontId="8" fillId="0" borderId="7" xfId="98" applyNumberFormat="1" applyFont="1" applyFill="1" applyBorder="1" applyAlignment="1">
      <alignment horizontal="right" vertical="center"/>
    </xf>
    <xf numFmtId="181" fontId="8" fillId="0" borderId="8" xfId="98" applyNumberFormat="1" applyFont="1" applyFill="1" applyBorder="1" applyAlignment="1">
      <alignment horizontal="right" vertical="center"/>
    </xf>
    <xf numFmtId="41" fontId="8" fillId="0" borderId="30" xfId="98" applyNumberFormat="1" applyFont="1" applyFill="1" applyBorder="1" applyAlignment="1">
      <alignment vertical="center"/>
    </xf>
    <xf numFmtId="41" fontId="8" fillId="0" borderId="1" xfId="98" applyNumberFormat="1" applyFont="1" applyFill="1" applyBorder="1" applyAlignment="1">
      <alignment horizontal="center" vertical="center"/>
    </xf>
    <xf numFmtId="41" fontId="8" fillId="0" borderId="16" xfId="98" applyNumberFormat="1" applyFont="1" applyFill="1" applyBorder="1" applyAlignment="1">
      <alignment horizontal="right" vertical="center"/>
    </xf>
    <xf numFmtId="0" fontId="8" fillId="0" borderId="131" xfId="96" applyNumberFormat="1" applyFont="1" applyFill="1" applyBorder="1" applyAlignment="1">
      <alignment vertical="center"/>
    </xf>
    <xf numFmtId="0" fontId="8" fillId="0" borderId="2" xfId="96" applyNumberFormat="1" applyFont="1" applyFill="1" applyBorder="1" applyAlignment="1">
      <alignment vertical="top"/>
    </xf>
    <xf numFmtId="0" fontId="8" fillId="0" borderId="29" xfId="96" applyNumberFormat="1" applyFont="1" applyFill="1" applyBorder="1" applyAlignment="1">
      <alignment vertical="top"/>
    </xf>
    <xf numFmtId="0" fontId="8" fillId="0" borderId="35" xfId="96" applyNumberFormat="1" applyFont="1" applyFill="1" applyBorder="1" applyAlignment="1">
      <alignment vertical="center"/>
    </xf>
    <xf numFmtId="181" fontId="8" fillId="0" borderId="3" xfId="98" applyNumberFormat="1" applyFont="1" applyFill="1" applyBorder="1" applyAlignment="1">
      <alignment horizontal="right" vertical="center"/>
    </xf>
    <xf numFmtId="0" fontId="9" fillId="0" borderId="30" xfId="98" applyNumberFormat="1" applyFont="1" applyFill="1" applyBorder="1" applyAlignment="1">
      <alignment horizontal="left" vertical="center"/>
    </xf>
    <xf numFmtId="0" fontId="8" fillId="0" borderId="1" xfId="96" applyNumberFormat="1" applyFont="1" applyFill="1" applyBorder="1" applyAlignment="1">
      <alignment horizontal="center" vertical="center"/>
    </xf>
    <xf numFmtId="41" fontId="9" fillId="0" borderId="18" xfId="98" applyNumberFormat="1" applyFont="1" applyFill="1" applyBorder="1" applyAlignment="1">
      <alignment horizontal="left" vertical="center"/>
    </xf>
    <xf numFmtId="0" fontId="8" fillId="0" borderId="132" xfId="96" applyNumberFormat="1" applyFont="1" applyFill="1" applyBorder="1" applyAlignment="1">
      <alignment vertical="center"/>
    </xf>
    <xf numFmtId="0" fontId="8" fillId="0" borderId="29" xfId="96" applyNumberFormat="1" applyFont="1" applyFill="1" applyBorder="1" applyAlignment="1">
      <alignment vertical="center"/>
    </xf>
    <xf numFmtId="181" fontId="8" fillId="0" borderId="2" xfId="98" applyNumberFormat="1" applyFont="1" applyFill="1" applyBorder="1" applyAlignment="1">
      <alignment horizontal="right" vertical="center"/>
    </xf>
    <xf numFmtId="0" fontId="8" fillId="0" borderId="0" xfId="96" applyNumberFormat="1" applyFont="1" applyFill="1" applyBorder="1" applyAlignment="1">
      <alignment horizontal="center" vertical="center"/>
    </xf>
    <xf numFmtId="0" fontId="13" fillId="0" borderId="0" xfId="96" applyNumberFormat="1" applyFont="1" applyFill="1" applyAlignment="1">
      <alignment vertical="center"/>
    </xf>
    <xf numFmtId="0" fontId="8" fillId="0" borderId="0" xfId="99" applyNumberFormat="1" applyFont="1" applyFill="1" applyBorder="1" applyAlignment="1">
      <alignment horizontal="center" vertical="center" shrinkToFit="1"/>
    </xf>
    <xf numFmtId="0" fontId="8" fillId="0" borderId="0" xfId="96" applyNumberFormat="1" applyFont="1" applyBorder="1" applyAlignment="1">
      <alignment vertical="center"/>
    </xf>
    <xf numFmtId="0" fontId="8" fillId="0" borderId="1" xfId="96" applyNumberFormat="1" applyFont="1" applyFill="1" applyBorder="1" applyAlignment="1">
      <alignment vertical="center"/>
    </xf>
    <xf numFmtId="0" fontId="8" fillId="0" borderId="32" xfId="96" applyNumberFormat="1" applyFont="1" applyFill="1" applyBorder="1" applyAlignment="1">
      <alignment vertical="center"/>
    </xf>
    <xf numFmtId="181" fontId="8" fillId="0" borderId="35" xfId="98" applyNumberFormat="1" applyFont="1" applyFill="1" applyBorder="1" applyAlignment="1">
      <alignment horizontal="right" vertical="center"/>
    </xf>
    <xf numFmtId="0" fontId="8" fillId="0" borderId="30" xfId="100" applyNumberFormat="1" applyFont="1" applyFill="1" applyBorder="1" applyAlignment="1">
      <alignment horizontal="left" vertical="center" shrinkToFit="1"/>
    </xf>
    <xf numFmtId="41" fontId="8" fillId="0" borderId="18" xfId="98" applyNumberFormat="1" applyFont="1" applyFill="1" applyBorder="1" applyAlignment="1">
      <alignment vertical="center"/>
    </xf>
    <xf numFmtId="0" fontId="8" fillId="0" borderId="0" xfId="96" applyNumberFormat="1" applyFont="1" applyFill="1"/>
    <xf numFmtId="0" fontId="9" fillId="0" borderId="1" xfId="96" applyNumberFormat="1" applyFont="1" applyFill="1" applyBorder="1" applyAlignment="1">
      <alignment vertical="center" shrinkToFit="1"/>
    </xf>
    <xf numFmtId="0" fontId="8" fillId="0" borderId="1" xfId="96" applyNumberFormat="1" applyFont="1" applyFill="1" applyBorder="1" applyAlignment="1">
      <alignment horizontal="center" vertical="center" shrinkToFit="1"/>
    </xf>
    <xf numFmtId="41" fontId="9" fillId="0" borderId="18" xfId="98" applyNumberFormat="1" applyFont="1" applyFill="1" applyBorder="1" applyAlignment="1">
      <alignment horizontal="right" vertical="center"/>
    </xf>
    <xf numFmtId="181" fontId="8" fillId="0" borderId="29" xfId="98" applyNumberFormat="1" applyFont="1" applyFill="1" applyBorder="1" applyAlignment="1">
      <alignment horizontal="right" vertical="center"/>
    </xf>
    <xf numFmtId="41" fontId="8" fillId="0" borderId="12" xfId="97" applyNumberFormat="1" applyFont="1" applyFill="1" applyBorder="1" applyAlignment="1">
      <alignment horizontal="left" vertical="center" shrinkToFit="1"/>
    </xf>
    <xf numFmtId="41" fontId="8" fillId="0" borderId="10" xfId="97" applyNumberFormat="1" applyFont="1" applyFill="1" applyBorder="1" applyAlignment="1">
      <alignment horizontal="left" vertical="center"/>
    </xf>
    <xf numFmtId="0" fontId="8" fillId="0" borderId="66" xfId="96" applyNumberFormat="1" applyFont="1" applyFill="1" applyBorder="1" applyAlignment="1">
      <alignment vertical="center"/>
    </xf>
    <xf numFmtId="0" fontId="8" fillId="0" borderId="8" xfId="96" applyNumberFormat="1" applyFont="1" applyFill="1" applyBorder="1" applyAlignment="1">
      <alignment vertical="center"/>
    </xf>
    <xf numFmtId="0" fontId="8" fillId="0" borderId="8" xfId="96" applyNumberFormat="1" applyFont="1" applyFill="1" applyBorder="1" applyAlignment="1">
      <alignment vertical="top"/>
    </xf>
    <xf numFmtId="181" fontId="8" fillId="0" borderId="9" xfId="98" applyNumberFormat="1" applyFont="1" applyFill="1" applyBorder="1" applyAlignment="1">
      <alignment horizontal="right" vertical="center"/>
    </xf>
    <xf numFmtId="41" fontId="8" fillId="0" borderId="4" xfId="97" applyNumberFormat="1" applyFont="1" applyFill="1" applyBorder="1" applyAlignment="1">
      <alignment horizontal="left" vertical="center" shrinkToFit="1"/>
    </xf>
    <xf numFmtId="41" fontId="8" fillId="0" borderId="11" xfId="97" applyNumberFormat="1" applyFont="1" applyFill="1" applyBorder="1" applyAlignment="1">
      <alignment horizontal="left" vertical="center"/>
    </xf>
    <xf numFmtId="0" fontId="8" fillId="0" borderId="5" xfId="96" applyNumberFormat="1" applyFont="1" applyFill="1" applyBorder="1"/>
    <xf numFmtId="41" fontId="8" fillId="0" borderId="10" xfId="97" applyNumberFormat="1" applyFont="1" applyFill="1" applyBorder="1" applyAlignment="1">
      <alignment horizontal="right" vertical="center"/>
    </xf>
    <xf numFmtId="0" fontId="8" fillId="0" borderId="3" xfId="96" applyNumberFormat="1" applyFont="1" applyFill="1" applyBorder="1" applyAlignment="1">
      <alignment vertical="center"/>
    </xf>
    <xf numFmtId="0" fontId="8" fillId="0" borderId="131" xfId="96" applyNumberFormat="1" applyFont="1" applyFill="1" applyBorder="1"/>
    <xf numFmtId="41" fontId="8" fillId="0" borderId="0" xfId="97" applyNumberFormat="1" applyFont="1" applyFill="1" applyAlignment="1">
      <alignment vertical="center"/>
    </xf>
    <xf numFmtId="0" fontId="8" fillId="0" borderId="0" xfId="5" applyNumberFormat="1" applyFont="1" applyFill="1" applyAlignment="1">
      <alignment vertical="center"/>
    </xf>
    <xf numFmtId="0" fontId="9" fillId="0" borderId="0" xfId="5" applyNumberFormat="1" applyFont="1" applyFill="1" applyBorder="1" applyAlignment="1">
      <alignment horizontal="center" vertical="center"/>
    </xf>
    <xf numFmtId="0" fontId="8" fillId="0" borderId="131" xfId="5" applyNumberFormat="1" applyFont="1" applyFill="1" applyBorder="1" applyAlignment="1">
      <alignment vertical="center" wrapText="1"/>
    </xf>
    <xf numFmtId="0" fontId="8" fillId="0" borderId="0" xfId="96" applyNumberFormat="1" applyFont="1" applyFill="1" applyBorder="1"/>
    <xf numFmtId="0" fontId="13" fillId="0" borderId="17" xfId="96" applyNumberFormat="1" applyFont="1" applyFill="1" applyBorder="1" applyAlignment="1">
      <alignment vertical="center"/>
    </xf>
    <xf numFmtId="0" fontId="13" fillId="0" borderId="2" xfId="96" applyNumberFormat="1" applyFont="1" applyFill="1" applyBorder="1" applyAlignment="1">
      <alignment vertical="center"/>
    </xf>
    <xf numFmtId="0" fontId="13" fillId="0" borderId="2" xfId="96" applyNumberFormat="1" applyFont="1" applyFill="1" applyBorder="1" applyAlignment="1">
      <alignment vertical="top"/>
    </xf>
    <xf numFmtId="0" fontId="13" fillId="0" borderId="29" xfId="96" applyNumberFormat="1" applyFont="1" applyFill="1" applyBorder="1" applyAlignment="1">
      <alignment vertical="top"/>
    </xf>
    <xf numFmtId="0" fontId="13" fillId="0" borderId="0" xfId="96" applyNumberFormat="1" applyFont="1" applyFill="1"/>
    <xf numFmtId="181" fontId="8" fillId="0" borderId="2" xfId="98" applyNumberFormat="1" applyFont="1" applyFill="1" applyBorder="1" applyAlignment="1">
      <alignment vertical="center"/>
    </xf>
    <xf numFmtId="0" fontId="8" fillId="0" borderId="12" xfId="96" applyNumberFormat="1" applyFont="1" applyFill="1" applyBorder="1" applyAlignment="1">
      <alignment vertical="top"/>
    </xf>
    <xf numFmtId="181" fontId="8" fillId="0" borderId="8" xfId="98" applyNumberFormat="1" applyFont="1" applyFill="1" applyBorder="1" applyAlignment="1">
      <alignment vertical="center"/>
    </xf>
    <xf numFmtId="0" fontId="8" fillId="0" borderId="5" xfId="96" applyNumberFormat="1" applyFont="1" applyFill="1" applyBorder="1" applyAlignment="1">
      <alignment vertical="center"/>
    </xf>
    <xf numFmtId="0" fontId="8" fillId="0" borderId="5" xfId="5" applyNumberFormat="1" applyFont="1" applyFill="1" applyBorder="1" applyAlignment="1">
      <alignment vertical="center"/>
    </xf>
    <xf numFmtId="0" fontId="13" fillId="0" borderId="5" xfId="96" applyNumberFormat="1" applyFont="1" applyFill="1" applyBorder="1"/>
    <xf numFmtId="0" fontId="9" fillId="0" borderId="0" xfId="96" applyNumberFormat="1" applyFont="1" applyFill="1" applyBorder="1" applyAlignment="1">
      <alignment vertical="center" shrinkToFit="1"/>
    </xf>
    <xf numFmtId="0" fontId="8" fillId="0" borderId="0" xfId="96" applyNumberFormat="1" applyFont="1" applyFill="1" applyBorder="1" applyAlignment="1">
      <alignment horizontal="center" vertical="center" shrinkToFit="1"/>
    </xf>
    <xf numFmtId="41" fontId="9" fillId="0" borderId="10" xfId="98" applyNumberFormat="1" applyFont="1" applyFill="1" applyBorder="1" applyAlignment="1">
      <alignment horizontal="right" vertical="center"/>
    </xf>
    <xf numFmtId="41" fontId="8" fillId="0" borderId="0" xfId="97" applyNumberFormat="1" applyFont="1" applyFill="1" applyBorder="1" applyAlignment="1">
      <alignment horizontal="left" vertical="center" shrinkToFit="1"/>
    </xf>
    <xf numFmtId="180" fontId="8" fillId="0" borderId="10" xfId="97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shrinkToFit="1"/>
    </xf>
    <xf numFmtId="0" fontId="8" fillId="0" borderId="0" xfId="97" applyNumberFormat="1" applyFont="1" applyFill="1" applyBorder="1" applyAlignment="1">
      <alignment vertical="center"/>
    </xf>
    <xf numFmtId="0" fontId="8" fillId="0" borderId="12" xfId="5" applyNumberFormat="1" applyFont="1" applyFill="1" applyBorder="1" applyAlignment="1">
      <alignment vertical="center" shrinkToFit="1"/>
    </xf>
    <xf numFmtId="0" fontId="9" fillId="0" borderId="5" xfId="5" applyNumberFormat="1" applyFont="1" applyFill="1" applyBorder="1" applyAlignment="1">
      <alignment horizontal="center" vertical="center"/>
    </xf>
    <xf numFmtId="0" fontId="8" fillId="0" borderId="0" xfId="96" applyNumberFormat="1" applyFont="1"/>
    <xf numFmtId="0" fontId="8" fillId="0" borderId="9" xfId="96" applyNumberFormat="1" applyFont="1" applyFill="1" applyBorder="1" applyAlignment="1">
      <alignment vertical="center"/>
    </xf>
    <xf numFmtId="41" fontId="8" fillId="0" borderId="5" xfId="97" applyNumberFormat="1" applyFont="1" applyFill="1" applyBorder="1" applyAlignment="1">
      <alignment vertical="center"/>
    </xf>
    <xf numFmtId="181" fontId="8" fillId="0" borderId="8" xfId="96" applyNumberFormat="1" applyFont="1" applyFill="1" applyBorder="1" applyAlignment="1">
      <alignment horizontal="right" vertical="center"/>
    </xf>
    <xf numFmtId="0" fontId="8" fillId="0" borderId="4" xfId="96" applyNumberFormat="1" applyFont="1" applyFill="1" applyBorder="1" applyAlignment="1">
      <alignment vertical="center"/>
    </xf>
    <xf numFmtId="0" fontId="8" fillId="0" borderId="5" xfId="96" applyNumberFormat="1" applyFont="1" applyFill="1" applyBorder="1" applyAlignment="1">
      <alignment horizontal="center" vertical="center"/>
    </xf>
    <xf numFmtId="41" fontId="9" fillId="0" borderId="11" xfId="98" applyNumberFormat="1" applyFont="1" applyFill="1" applyBorder="1" applyAlignment="1">
      <alignment vertical="center"/>
    </xf>
    <xf numFmtId="0" fontId="8" fillId="0" borderId="134" xfId="96" applyNumberFormat="1" applyFont="1" applyFill="1" applyBorder="1" applyAlignment="1">
      <alignment vertical="center"/>
    </xf>
    <xf numFmtId="41" fontId="8" fillId="0" borderId="5" xfId="98" applyNumberFormat="1" applyFont="1" applyFill="1" applyBorder="1" applyAlignment="1">
      <alignment vertical="center"/>
    </xf>
    <xf numFmtId="0" fontId="8" fillId="0" borderId="12" xfId="96" applyNumberFormat="1" applyFont="1" applyFill="1" applyBorder="1" applyAlignment="1">
      <alignment vertical="center"/>
    </xf>
    <xf numFmtId="181" fontId="8" fillId="0" borderId="32" xfId="98" applyNumberFormat="1" applyFont="1" applyFill="1" applyBorder="1" applyAlignment="1">
      <alignment horizontal="right" vertical="center"/>
    </xf>
    <xf numFmtId="0" fontId="8" fillId="0" borderId="6" xfId="96" applyNumberFormat="1" applyFont="1" applyFill="1" applyBorder="1" applyAlignment="1">
      <alignment vertical="center" shrinkToFit="1"/>
    </xf>
    <xf numFmtId="0" fontId="8" fillId="0" borderId="6" xfId="96" applyNumberFormat="1" applyFont="1" applyFill="1" applyBorder="1" applyAlignment="1">
      <alignment horizontal="center" vertical="center"/>
    </xf>
    <xf numFmtId="0" fontId="9" fillId="0" borderId="133" xfId="96" applyNumberFormat="1" applyFont="1" applyFill="1" applyBorder="1" applyAlignment="1">
      <alignment horizontal="left" vertical="center" wrapText="1"/>
    </xf>
    <xf numFmtId="41" fontId="8" fillId="0" borderId="0" xfId="98" applyNumberFormat="1" applyFont="1" applyFill="1" applyBorder="1" applyAlignment="1">
      <alignment vertical="center"/>
    </xf>
    <xf numFmtId="41" fontId="8" fillId="0" borderId="0" xfId="97" applyNumberFormat="1" applyFont="1" applyFill="1" applyBorder="1" applyAlignment="1">
      <alignment horizontal="center" vertical="center"/>
    </xf>
    <xf numFmtId="41" fontId="8" fillId="0" borderId="10" xfId="97" applyNumberFormat="1" applyFont="1" applyFill="1" applyBorder="1" applyAlignment="1">
      <alignment vertical="center"/>
    </xf>
    <xf numFmtId="0" fontId="8" fillId="0" borderId="4" xfId="5" applyNumberFormat="1" applyFont="1" applyFill="1" applyBorder="1" applyAlignment="1">
      <alignment vertical="center" shrinkToFit="1"/>
    </xf>
    <xf numFmtId="41" fontId="8" fillId="0" borderId="5" xfId="97" applyNumberFormat="1" applyFont="1" applyFill="1" applyBorder="1" applyAlignment="1">
      <alignment horizontal="center" vertical="center"/>
    </xf>
    <xf numFmtId="41" fontId="8" fillId="0" borderId="11" xfId="97" applyNumberFormat="1" applyFont="1" applyFill="1" applyBorder="1" applyAlignment="1">
      <alignment vertical="center"/>
    </xf>
    <xf numFmtId="0" fontId="8" fillId="0" borderId="5" xfId="96" applyNumberFormat="1" applyFont="1" applyBorder="1"/>
    <xf numFmtId="0" fontId="9" fillId="0" borderId="6" xfId="96" applyNumberFormat="1" applyFont="1" applyFill="1" applyBorder="1" applyAlignment="1">
      <alignment vertical="center" shrinkToFit="1"/>
    </xf>
    <xf numFmtId="0" fontId="8" fillId="0" borderId="6" xfId="98" applyNumberFormat="1" applyFont="1" applyFill="1" applyBorder="1" applyAlignment="1">
      <alignment horizontal="center" vertical="center" shrinkToFit="1"/>
    </xf>
    <xf numFmtId="41" fontId="9" fillId="0" borderId="16" xfId="98" applyNumberFormat="1" applyFont="1" applyFill="1" applyBorder="1" applyAlignment="1">
      <alignment vertical="center"/>
    </xf>
    <xf numFmtId="0" fontId="13" fillId="0" borderId="132" xfId="96" applyNumberFormat="1" applyFont="1" applyFill="1" applyBorder="1" applyAlignment="1">
      <alignment vertical="center"/>
    </xf>
    <xf numFmtId="0" fontId="9" fillId="0" borderId="30" xfId="98" applyNumberFormat="1" applyFont="1" applyFill="1" applyBorder="1" applyAlignment="1">
      <alignment vertical="center" shrinkToFit="1"/>
    </xf>
    <xf numFmtId="0" fontId="8" fillId="0" borderId="1" xfId="98" applyNumberFormat="1" applyFont="1" applyFill="1" applyBorder="1" applyAlignment="1">
      <alignment horizontal="center" vertical="center" shrinkToFit="1"/>
    </xf>
    <xf numFmtId="41" fontId="9" fillId="0" borderId="18" xfId="98" applyNumberFormat="1" applyFont="1" applyFill="1" applyBorder="1" applyAlignment="1">
      <alignment vertical="center"/>
    </xf>
    <xf numFmtId="41" fontId="8" fillId="0" borderId="4" xfId="98" applyNumberFormat="1" applyFont="1" applyFill="1" applyBorder="1" applyAlignment="1">
      <alignment horizontal="left" vertical="center" shrinkToFit="1"/>
    </xf>
    <xf numFmtId="41" fontId="8" fillId="0" borderId="11" xfId="98" applyNumberFormat="1" applyFont="1" applyFill="1" applyBorder="1" applyAlignment="1">
      <alignment horizontal="left" vertical="center"/>
    </xf>
    <xf numFmtId="187" fontId="8" fillId="0" borderId="0" xfId="96" applyNumberFormat="1" applyFont="1"/>
    <xf numFmtId="0" fontId="9" fillId="0" borderId="12" xfId="98" applyNumberFormat="1" applyFont="1" applyFill="1" applyBorder="1" applyAlignment="1">
      <alignment vertical="center" shrinkToFit="1"/>
    </xf>
    <xf numFmtId="0" fontId="8" fillId="0" borderId="0" xfId="98" applyNumberFormat="1" applyFont="1" applyFill="1" applyBorder="1" applyAlignment="1">
      <alignment horizontal="center" vertical="center" shrinkToFit="1"/>
    </xf>
    <xf numFmtId="41" fontId="9" fillId="0" borderId="10" xfId="98" applyNumberFormat="1" applyFont="1" applyFill="1" applyBorder="1" applyAlignment="1">
      <alignment vertical="center"/>
    </xf>
    <xf numFmtId="0" fontId="8" fillId="0" borderId="0" xfId="5" applyNumberFormat="1" applyFont="1" applyAlignment="1"/>
    <xf numFmtId="38" fontId="8" fillId="0" borderId="25" xfId="96" applyNumberFormat="1" applyFont="1" applyFill="1" applyBorder="1" applyAlignment="1">
      <alignment vertical="center" shrinkToFit="1"/>
    </xf>
    <xf numFmtId="38" fontId="8" fillId="0" borderId="6" xfId="96" applyNumberFormat="1" applyFont="1" applyFill="1" applyBorder="1" applyAlignment="1">
      <alignment horizontal="center" vertical="center"/>
    </xf>
    <xf numFmtId="38" fontId="9" fillId="0" borderId="16" xfId="98" applyNumberFormat="1" applyFont="1" applyFill="1" applyBorder="1" applyAlignment="1">
      <alignment horizontal="right" vertical="center"/>
    </xf>
    <xf numFmtId="3" fontId="8" fillId="0" borderId="0" xfId="96" applyNumberFormat="1" applyFont="1"/>
    <xf numFmtId="0" fontId="8" fillId="0" borderId="0" xfId="96" applyNumberFormat="1" applyFont="1" applyBorder="1"/>
    <xf numFmtId="3" fontId="8" fillId="0" borderId="0" xfId="5" applyNumberFormat="1" applyFont="1" applyAlignment="1"/>
    <xf numFmtId="3" fontId="137" fillId="43" borderId="0" xfId="96" applyNumberFormat="1" applyFont="1" applyFill="1"/>
    <xf numFmtId="0" fontId="13" fillId="43" borderId="0" xfId="96" applyNumberFormat="1" applyFont="1" applyFill="1"/>
    <xf numFmtId="0" fontId="62" fillId="0" borderId="17" xfId="96" applyNumberFormat="1" applyFont="1" applyFill="1" applyBorder="1" applyAlignment="1">
      <alignment vertical="center"/>
    </xf>
    <xf numFmtId="0" fontId="62" fillId="0" borderId="2" xfId="96" applyNumberFormat="1" applyFont="1" applyFill="1" applyBorder="1" applyAlignment="1">
      <alignment vertical="center"/>
    </xf>
    <xf numFmtId="0" fontId="64" fillId="0" borderId="12" xfId="96" applyNumberFormat="1" applyFont="1" applyFill="1" applyBorder="1" applyAlignment="1">
      <alignment horizontal="left" vertical="center"/>
    </xf>
    <xf numFmtId="0" fontId="64" fillId="0" borderId="2" xfId="96" applyNumberFormat="1" applyFont="1" applyFill="1" applyBorder="1" applyAlignment="1">
      <alignment horizontal="left" vertical="center"/>
    </xf>
    <xf numFmtId="0" fontId="64" fillId="0" borderId="1" xfId="96" applyNumberFormat="1" applyFont="1" applyFill="1" applyBorder="1" applyAlignment="1">
      <alignment horizontal="left" vertical="center"/>
    </xf>
    <xf numFmtId="0" fontId="62" fillId="0" borderId="25" xfId="96" applyNumberFormat="1" applyFont="1" applyFill="1" applyBorder="1" applyAlignment="1">
      <alignment vertical="center"/>
    </xf>
    <xf numFmtId="0" fontId="64" fillId="0" borderId="32" xfId="96" applyNumberFormat="1" applyFont="1" applyFill="1" applyBorder="1" applyAlignment="1">
      <alignment horizontal="left" vertical="center"/>
    </xf>
    <xf numFmtId="181" fontId="55" fillId="0" borderId="7" xfId="98" applyNumberFormat="1" applyFont="1" applyFill="1" applyBorder="1" applyAlignment="1">
      <alignment horizontal="right" vertical="center"/>
    </xf>
    <xf numFmtId="181" fontId="62" fillId="0" borderId="8" xfId="98" applyNumberFormat="1" applyFont="1" applyFill="1" applyBorder="1" applyAlignment="1">
      <alignment horizontal="right" vertical="center"/>
    </xf>
    <xf numFmtId="41" fontId="62" fillId="0" borderId="30" xfId="98" applyNumberFormat="1" applyFont="1" applyFill="1" applyBorder="1" applyAlignment="1">
      <alignment vertical="center"/>
    </xf>
    <xf numFmtId="41" fontId="62" fillId="0" borderId="1" xfId="98" applyNumberFormat="1" applyFont="1" applyFill="1" applyBorder="1" applyAlignment="1">
      <alignment horizontal="center" vertical="center"/>
    </xf>
    <xf numFmtId="0" fontId="62" fillId="0" borderId="131" xfId="96" applyNumberFormat="1" applyFont="1" applyFill="1" applyBorder="1" applyAlignment="1">
      <alignment vertical="center"/>
    </xf>
    <xf numFmtId="0" fontId="62" fillId="0" borderId="0" xfId="96" applyNumberFormat="1" applyFont="1" applyFill="1" applyAlignment="1">
      <alignment vertical="center"/>
    </xf>
    <xf numFmtId="0" fontId="55" fillId="0" borderId="17" xfId="96" applyFont="1" applyFill="1" applyBorder="1" applyAlignment="1">
      <alignment vertical="center"/>
    </xf>
    <xf numFmtId="0" fontId="55" fillId="0" borderId="2" xfId="96" applyFont="1" applyFill="1" applyBorder="1" applyAlignment="1">
      <alignment vertical="center"/>
    </xf>
    <xf numFmtId="0" fontId="55" fillId="0" borderId="2" xfId="99" applyFont="1" applyFill="1" applyBorder="1" applyAlignment="1">
      <alignment horizontal="left" vertical="top"/>
    </xf>
    <xf numFmtId="0" fontId="55" fillId="0" borderId="3" xfId="99" applyFont="1" applyFill="1" applyBorder="1" applyAlignment="1">
      <alignment horizontal="left" vertical="top"/>
    </xf>
    <xf numFmtId="0" fontId="55" fillId="0" borderId="7" xfId="99" applyFont="1" applyFill="1" applyBorder="1" applyAlignment="1">
      <alignment vertical="center"/>
    </xf>
    <xf numFmtId="38" fontId="55" fillId="0" borderId="7" xfId="101" applyNumberFormat="1" applyFont="1" applyFill="1" applyBorder="1" applyAlignment="1">
      <alignment horizontal="right" vertical="center"/>
    </xf>
    <xf numFmtId="181" fontId="55" fillId="0" borderId="7" xfId="101" applyNumberFormat="1" applyFont="1" applyFill="1" applyBorder="1" applyAlignment="1">
      <alignment horizontal="right" vertical="center"/>
    </xf>
    <xf numFmtId="0" fontId="54" fillId="0" borderId="25" xfId="101" applyNumberFormat="1" applyFont="1" applyFill="1" applyBorder="1" applyAlignment="1">
      <alignment horizontal="left" vertical="center"/>
    </xf>
    <xf numFmtId="0" fontId="55" fillId="0" borderId="6" xfId="101" applyNumberFormat="1" applyFont="1" applyFill="1" applyBorder="1" applyAlignment="1">
      <alignment horizontal="center" vertical="center"/>
    </xf>
    <xf numFmtId="0" fontId="55" fillId="0" borderId="131" xfId="96" applyFont="1" applyFill="1" applyBorder="1" applyAlignment="1">
      <alignment vertical="center"/>
    </xf>
    <xf numFmtId="0" fontId="34" fillId="0" borderId="0" xfId="96" applyFont="1" applyBorder="1" applyAlignment="1">
      <alignment vertical="center"/>
    </xf>
    <xf numFmtId="38" fontId="34" fillId="0" borderId="0" xfId="96" applyNumberFormat="1" applyFont="1" applyFill="1" applyBorder="1" applyAlignment="1">
      <alignment vertical="center"/>
    </xf>
    <xf numFmtId="0" fontId="34" fillId="0" borderId="0" xfId="96" applyNumberFormat="1" applyFont="1" applyAlignment="1">
      <alignment vertical="center"/>
    </xf>
    <xf numFmtId="0" fontId="34" fillId="0" borderId="0" xfId="96" applyFont="1" applyAlignment="1">
      <alignment vertical="center"/>
    </xf>
    <xf numFmtId="0" fontId="34" fillId="0" borderId="0" xfId="96" applyFont="1"/>
    <xf numFmtId="0" fontId="62" fillId="0" borderId="2" xfId="96" applyNumberFormat="1" applyFont="1" applyFill="1" applyBorder="1" applyAlignment="1">
      <alignment vertical="top"/>
    </xf>
    <xf numFmtId="0" fontId="62" fillId="0" borderId="29" xfId="96" applyNumberFormat="1" applyFont="1" applyFill="1" applyBorder="1" applyAlignment="1">
      <alignment vertical="top"/>
    </xf>
    <xf numFmtId="0" fontId="62" fillId="0" borderId="35" xfId="96" applyNumberFormat="1" applyFont="1" applyFill="1" applyBorder="1" applyAlignment="1">
      <alignment vertical="center"/>
    </xf>
    <xf numFmtId="181" fontId="55" fillId="0" borderId="3" xfId="98" applyNumberFormat="1" applyFont="1" applyFill="1" applyBorder="1" applyAlignment="1">
      <alignment horizontal="right" vertical="center"/>
    </xf>
    <xf numFmtId="181" fontId="62" fillId="0" borderId="3" xfId="98" applyNumberFormat="1" applyFont="1" applyFill="1" applyBorder="1" applyAlignment="1">
      <alignment horizontal="right" vertical="center"/>
    </xf>
    <xf numFmtId="0" fontId="54" fillId="0" borderId="30" xfId="98" applyNumberFormat="1" applyFont="1" applyFill="1" applyBorder="1" applyAlignment="1">
      <alignment horizontal="left" vertical="center"/>
    </xf>
    <xf numFmtId="0" fontId="55" fillId="0" borderId="1" xfId="96" applyNumberFormat="1" applyFont="1" applyFill="1" applyBorder="1" applyAlignment="1">
      <alignment horizontal="center" vertical="center"/>
    </xf>
    <xf numFmtId="0" fontId="62" fillId="0" borderId="0" xfId="96" applyNumberFormat="1" applyFont="1" applyFill="1" applyBorder="1" applyAlignment="1">
      <alignment vertical="center"/>
    </xf>
    <xf numFmtId="0" fontId="62" fillId="0" borderId="29" xfId="96" applyNumberFormat="1" applyFont="1" applyFill="1" applyBorder="1" applyAlignment="1">
      <alignment vertical="center"/>
    </xf>
    <xf numFmtId="181" fontId="55" fillId="0" borderId="2" xfId="98" applyNumberFormat="1" applyFont="1" applyFill="1" applyBorder="1" applyAlignment="1">
      <alignment horizontal="right" vertical="center"/>
    </xf>
    <xf numFmtId="181" fontId="62" fillId="0" borderId="2" xfId="98" applyNumberFormat="1" applyFont="1" applyFill="1" applyBorder="1" applyAlignment="1">
      <alignment horizontal="right" vertical="center"/>
    </xf>
    <xf numFmtId="0" fontId="55" fillId="0" borderId="12" xfId="96" applyFont="1" applyFill="1" applyBorder="1" applyAlignment="1">
      <alignment horizontal="justify" vertical="center"/>
    </xf>
    <xf numFmtId="0" fontId="55" fillId="0" borderId="0" xfId="96" applyNumberFormat="1" applyFont="1" applyFill="1" applyBorder="1" applyAlignment="1">
      <alignment horizontal="center" vertical="center"/>
    </xf>
    <xf numFmtId="0" fontId="34" fillId="0" borderId="131" xfId="96" applyNumberFormat="1" applyFont="1" applyFill="1" applyBorder="1" applyAlignment="1">
      <alignment vertical="center"/>
    </xf>
    <xf numFmtId="0" fontId="55" fillId="0" borderId="0" xfId="99" applyFont="1" applyFill="1" applyBorder="1" applyAlignment="1">
      <alignment horizontal="center" vertical="center" shrinkToFit="1"/>
    </xf>
    <xf numFmtId="0" fontId="62" fillId="0" borderId="17" xfId="96" applyFont="1" applyFill="1" applyBorder="1" applyAlignment="1">
      <alignment vertical="center"/>
    </xf>
    <xf numFmtId="0" fontId="62" fillId="0" borderId="2" xfId="96" applyFont="1" applyFill="1" applyBorder="1" applyAlignment="1">
      <alignment vertical="center"/>
    </xf>
    <xf numFmtId="0" fontId="62" fillId="0" borderId="1" xfId="96" applyNumberFormat="1" applyFont="1" applyFill="1" applyBorder="1" applyAlignment="1">
      <alignment vertical="center"/>
    </xf>
    <xf numFmtId="0" fontId="62" fillId="0" borderId="32" xfId="96" applyNumberFormat="1" applyFont="1" applyFill="1" applyBorder="1" applyAlignment="1">
      <alignment vertical="center"/>
    </xf>
    <xf numFmtId="181" fontId="55" fillId="0" borderId="35" xfId="98" applyNumberFormat="1" applyFont="1" applyFill="1" applyBorder="1" applyAlignment="1">
      <alignment horizontal="right" vertical="center"/>
    </xf>
    <xf numFmtId="0" fontId="55" fillId="0" borderId="30" xfId="100" applyFont="1" applyFill="1" applyBorder="1" applyAlignment="1">
      <alignment horizontal="left" vertical="center" shrinkToFit="1"/>
    </xf>
    <xf numFmtId="0" fontId="55" fillId="0" borderId="1" xfId="96" applyFont="1" applyFill="1" applyBorder="1" applyAlignment="1">
      <alignment horizontal="center" vertical="center"/>
    </xf>
    <xf numFmtId="0" fontId="62" fillId="0" borderId="131" xfId="96" applyFont="1" applyFill="1" applyBorder="1" applyAlignment="1">
      <alignment vertical="center"/>
    </xf>
    <xf numFmtId="0" fontId="34" fillId="0" borderId="0" xfId="96" applyFont="1" applyFill="1"/>
    <xf numFmtId="0" fontId="54" fillId="0" borderId="1" xfId="96" applyFont="1" applyFill="1" applyBorder="1" applyAlignment="1">
      <alignment vertical="center" shrinkToFit="1"/>
    </xf>
    <xf numFmtId="0" fontId="55" fillId="0" borderId="1" xfId="96" applyFont="1" applyFill="1" applyBorder="1" applyAlignment="1">
      <alignment horizontal="center" vertical="center" shrinkToFit="1"/>
    </xf>
    <xf numFmtId="0" fontId="62" fillId="0" borderId="2" xfId="96" applyFont="1" applyFill="1" applyBorder="1" applyAlignment="1">
      <alignment vertical="top"/>
    </xf>
    <xf numFmtId="181" fontId="55" fillId="0" borderId="29" xfId="98" applyNumberFormat="1" applyFont="1" applyFill="1" applyBorder="1" applyAlignment="1">
      <alignment horizontal="right" vertical="center"/>
    </xf>
    <xf numFmtId="0" fontId="55" fillId="0" borderId="12" xfId="5" applyFont="1" applyFill="1" applyBorder="1" applyAlignment="1">
      <alignment horizontal="justify" vertical="center" wrapText="1"/>
    </xf>
    <xf numFmtId="181" fontId="62" fillId="0" borderId="29" xfId="98" applyNumberFormat="1" applyFont="1" applyFill="1" applyBorder="1" applyAlignment="1">
      <alignment horizontal="right" vertical="center"/>
    </xf>
    <xf numFmtId="0" fontId="139" fillId="0" borderId="12" xfId="5" applyFont="1" applyFill="1" applyBorder="1" applyAlignment="1">
      <alignment horizontal="justify" vertical="center"/>
    </xf>
    <xf numFmtId="0" fontId="62" fillId="0" borderId="3" xfId="96" applyNumberFormat="1" applyFont="1" applyFill="1" applyBorder="1" applyAlignment="1">
      <alignment vertical="center"/>
    </xf>
    <xf numFmtId="181" fontId="34" fillId="0" borderId="3" xfId="98" applyNumberFormat="1" applyFont="1" applyFill="1" applyBorder="1" applyAlignment="1">
      <alignment horizontal="right" vertical="center"/>
    </xf>
    <xf numFmtId="0" fontId="34" fillId="0" borderId="131" xfId="96" applyFont="1" applyFill="1" applyBorder="1"/>
    <xf numFmtId="181" fontId="34" fillId="0" borderId="2" xfId="98" applyNumberFormat="1" applyFont="1" applyFill="1" applyBorder="1" applyAlignment="1">
      <alignment horizontal="right" vertical="center"/>
    </xf>
    <xf numFmtId="0" fontId="62" fillId="0" borderId="29" xfId="96" applyFont="1" applyFill="1" applyBorder="1" applyAlignment="1">
      <alignment vertical="top"/>
    </xf>
    <xf numFmtId="0" fontId="55" fillId="0" borderId="131" xfId="5" applyNumberFormat="1" applyFont="1" applyFill="1" applyBorder="1" applyAlignment="1">
      <alignment vertical="center" wrapText="1"/>
    </xf>
    <xf numFmtId="0" fontId="34" fillId="0" borderId="0" xfId="96" applyFont="1" applyFill="1" applyBorder="1"/>
    <xf numFmtId="0" fontId="13" fillId="0" borderId="17" xfId="96" applyFont="1" applyFill="1" applyBorder="1" applyAlignment="1">
      <alignment vertical="center"/>
    </xf>
    <xf numFmtId="0" fontId="13" fillId="0" borderId="2" xfId="96" applyFont="1" applyFill="1" applyBorder="1" applyAlignment="1">
      <alignment vertical="center"/>
    </xf>
    <xf numFmtId="0" fontId="13" fillId="0" borderId="2" xfId="96" applyFont="1" applyFill="1" applyBorder="1" applyAlignment="1">
      <alignment vertical="top"/>
    </xf>
    <xf numFmtId="0" fontId="13" fillId="0" borderId="29" xfId="96" applyFont="1" applyFill="1" applyBorder="1" applyAlignment="1">
      <alignment vertical="top"/>
    </xf>
    <xf numFmtId="0" fontId="13" fillId="0" borderId="0" xfId="96" applyFont="1" applyFill="1"/>
    <xf numFmtId="0" fontId="139" fillId="0" borderId="12" xfId="5" applyFont="1" applyFill="1" applyBorder="1" applyAlignment="1">
      <alignment horizontal="justify" vertical="center" wrapText="1"/>
    </xf>
    <xf numFmtId="181" fontId="62" fillId="0" borderId="2" xfId="98" applyNumberFormat="1" applyFont="1" applyFill="1" applyBorder="1" applyAlignment="1">
      <alignment vertical="center"/>
    </xf>
    <xf numFmtId="0" fontId="54" fillId="0" borderId="1" xfId="96" applyNumberFormat="1" applyFont="1" applyFill="1" applyBorder="1" applyAlignment="1">
      <alignment vertical="center" shrinkToFit="1"/>
    </xf>
    <xf numFmtId="0" fontId="54" fillId="0" borderId="12" xfId="5" applyFont="1" applyFill="1" applyBorder="1" applyAlignment="1">
      <alignment horizontal="justify" vertical="center" wrapText="1"/>
    </xf>
    <xf numFmtId="0" fontId="62" fillId="0" borderId="29" xfId="96" applyFont="1" applyFill="1" applyBorder="1" applyAlignment="1">
      <alignment vertical="center"/>
    </xf>
    <xf numFmtId="0" fontId="55" fillId="0" borderId="4" xfId="5" quotePrefix="1" applyFont="1" applyFill="1" applyBorder="1" applyAlignment="1">
      <alignment horizontal="justify" vertical="center" wrapText="1"/>
    </xf>
    <xf numFmtId="0" fontId="62" fillId="0" borderId="8" xfId="96" applyNumberFormat="1" applyFont="1" applyFill="1" applyBorder="1" applyAlignment="1">
      <alignment vertical="center"/>
    </xf>
    <xf numFmtId="181" fontId="55" fillId="0" borderId="8" xfId="98" applyNumberFormat="1" applyFont="1" applyFill="1" applyBorder="1" applyAlignment="1">
      <alignment horizontal="right" vertical="center"/>
    </xf>
    <xf numFmtId="0" fontId="55" fillId="0" borderId="4" xfId="5" applyFont="1" applyFill="1" applyBorder="1" applyAlignment="1">
      <alignment horizontal="justify" vertical="center" wrapText="1"/>
    </xf>
    <xf numFmtId="181" fontId="34" fillId="0" borderId="7" xfId="98" applyNumberFormat="1" applyFont="1" applyFill="1" applyBorder="1" applyAlignment="1">
      <alignment horizontal="right" vertical="center"/>
    </xf>
    <xf numFmtId="0" fontId="54" fillId="0" borderId="6" xfId="96" applyFont="1" applyFill="1" applyBorder="1" applyAlignment="1">
      <alignment vertical="center" shrinkToFit="1"/>
    </xf>
    <xf numFmtId="0" fontId="55" fillId="0" borderId="6" xfId="98" applyNumberFormat="1" applyFont="1" applyFill="1" applyBorder="1" applyAlignment="1">
      <alignment horizontal="center" vertical="center" shrinkToFit="1"/>
    </xf>
    <xf numFmtId="0" fontId="13" fillId="0" borderId="131" xfId="96" applyFont="1" applyFill="1" applyBorder="1" applyAlignment="1">
      <alignment vertical="center"/>
    </xf>
    <xf numFmtId="0" fontId="62" fillId="0" borderId="12" xfId="96" applyNumberFormat="1" applyFont="1" applyFill="1" applyBorder="1" applyAlignment="1">
      <alignment vertical="center"/>
    </xf>
    <xf numFmtId="0" fontId="54" fillId="0" borderId="30" xfId="98" applyNumberFormat="1" applyFont="1" applyFill="1" applyBorder="1" applyAlignment="1">
      <alignment vertical="center" shrinkToFit="1"/>
    </xf>
    <xf numFmtId="0" fontId="55" fillId="0" borderId="1" xfId="98" applyNumberFormat="1" applyFont="1" applyFill="1" applyBorder="1" applyAlignment="1">
      <alignment horizontal="center" vertical="center" shrinkToFit="1"/>
    </xf>
    <xf numFmtId="0" fontId="34" fillId="0" borderId="131" xfId="96" applyFont="1" applyFill="1" applyBorder="1" applyAlignment="1">
      <alignment vertical="center"/>
    </xf>
    <xf numFmtId="181" fontId="55" fillId="0" borderId="9" xfId="98" applyNumberFormat="1" applyFont="1" applyFill="1" applyBorder="1" applyAlignment="1">
      <alignment horizontal="right" vertical="center"/>
    </xf>
    <xf numFmtId="0" fontId="54" fillId="0" borderId="12" xfId="98" applyNumberFormat="1" applyFont="1" applyFill="1" applyBorder="1" applyAlignment="1">
      <alignment vertical="center" shrinkToFit="1"/>
    </xf>
    <xf numFmtId="0" fontId="55" fillId="0" borderId="0" xfId="98" applyNumberFormat="1" applyFont="1" applyFill="1" applyBorder="1" applyAlignment="1">
      <alignment horizontal="center" vertical="center" shrinkToFit="1"/>
    </xf>
    <xf numFmtId="0" fontId="62" fillId="0" borderId="12" xfId="96" applyNumberFormat="1" applyFont="1" applyFill="1" applyBorder="1" applyAlignment="1">
      <alignment vertical="top"/>
    </xf>
    <xf numFmtId="41" fontId="55" fillId="0" borderId="12" xfId="97" applyNumberFormat="1" applyFont="1" applyFill="1" applyBorder="1" applyAlignment="1">
      <alignment horizontal="left" vertical="center" shrinkToFit="1"/>
    </xf>
    <xf numFmtId="0" fontId="55" fillId="0" borderId="131" xfId="5" applyNumberFormat="1" applyFont="1" applyFill="1" applyBorder="1" applyAlignment="1">
      <alignment vertical="center"/>
    </xf>
    <xf numFmtId="0" fontId="34" fillId="0" borderId="2" xfId="96" applyFont="1" applyFill="1" applyBorder="1" applyAlignment="1">
      <alignment vertical="center"/>
    </xf>
    <xf numFmtId="0" fontId="34" fillId="0" borderId="29" xfId="96" applyFont="1" applyFill="1" applyBorder="1" applyAlignment="1">
      <alignment vertical="center"/>
    </xf>
    <xf numFmtId="0" fontId="34" fillId="0" borderId="17" xfId="96" applyFont="1" applyFill="1" applyBorder="1" applyAlignment="1">
      <alignment vertical="center"/>
    </xf>
    <xf numFmtId="0" fontId="34" fillId="0" borderId="25" xfId="96" applyFont="1" applyFill="1" applyBorder="1" applyAlignment="1">
      <alignment vertical="center"/>
    </xf>
    <xf numFmtId="0" fontId="34" fillId="0" borderId="32" xfId="96" applyFont="1" applyFill="1" applyBorder="1" applyAlignment="1">
      <alignment vertical="center"/>
    </xf>
    <xf numFmtId="38" fontId="55" fillId="0" borderId="25" xfId="96" applyNumberFormat="1" applyFont="1" applyFill="1" applyBorder="1" applyAlignment="1">
      <alignment vertical="center" shrinkToFit="1"/>
    </xf>
    <xf numFmtId="38" fontId="55" fillId="0" borderId="6" xfId="96" applyNumberFormat="1" applyFont="1" applyFill="1" applyBorder="1" applyAlignment="1">
      <alignment horizontal="center" vertical="center"/>
    </xf>
    <xf numFmtId="0" fontId="34" fillId="0" borderId="12" xfId="96" applyFont="1" applyFill="1" applyBorder="1" applyAlignment="1">
      <alignment vertical="center"/>
    </xf>
    <xf numFmtId="0" fontId="54" fillId="0" borderId="0" xfId="96" applyFont="1" applyFill="1" applyBorder="1" applyAlignment="1">
      <alignment vertical="center" shrinkToFit="1"/>
    </xf>
    <xf numFmtId="0" fontId="55" fillId="0" borderId="0" xfId="96" applyFont="1" applyFill="1" applyBorder="1" applyAlignment="1">
      <alignment horizontal="center" vertical="center"/>
    </xf>
    <xf numFmtId="0" fontId="34" fillId="0" borderId="2" xfId="96" applyFont="1" applyFill="1" applyBorder="1" applyAlignment="1">
      <alignment vertical="top"/>
    </xf>
    <xf numFmtId="0" fontId="34" fillId="0" borderId="12" xfId="96" applyFont="1" applyFill="1" applyBorder="1" applyAlignment="1">
      <alignment vertical="top"/>
    </xf>
    <xf numFmtId="3" fontId="34" fillId="0" borderId="0" xfId="96" applyNumberFormat="1" applyFont="1"/>
    <xf numFmtId="0" fontId="6" fillId="0" borderId="0" xfId="96"/>
    <xf numFmtId="0" fontId="76" fillId="0" borderId="12" xfId="5" applyFont="1" applyFill="1" applyBorder="1" applyAlignment="1">
      <alignment horizontal="justify" vertical="center" wrapText="1"/>
    </xf>
    <xf numFmtId="3" fontId="34" fillId="0" borderId="0" xfId="96" applyNumberFormat="1" applyFont="1" applyBorder="1"/>
    <xf numFmtId="0" fontId="34" fillId="0" borderId="0" xfId="96" applyFont="1" applyBorder="1"/>
    <xf numFmtId="0" fontId="34" fillId="0" borderId="29" xfId="96" applyFont="1" applyFill="1" applyBorder="1" applyAlignment="1">
      <alignment vertical="top"/>
    </xf>
    <xf numFmtId="0" fontId="55" fillId="0" borderId="0" xfId="5" applyFont="1" applyFill="1" applyBorder="1" applyAlignment="1">
      <alignment horizontal="justify" vertical="center" wrapText="1"/>
    </xf>
    <xf numFmtId="0" fontId="55" fillId="0" borderId="17" xfId="96" applyFont="1" applyBorder="1" applyAlignment="1">
      <alignment vertical="center"/>
    </xf>
    <xf numFmtId="0" fontId="55" fillId="0" borderId="29" xfId="96" applyFont="1" applyBorder="1" applyAlignment="1">
      <alignment vertical="center"/>
    </xf>
    <xf numFmtId="0" fontId="55" fillId="5" borderId="2" xfId="96" applyFont="1" applyFill="1" applyBorder="1" applyAlignment="1">
      <alignment vertical="center"/>
    </xf>
    <xf numFmtId="0" fontId="55" fillId="5" borderId="0" xfId="96" applyFont="1" applyFill="1" applyBorder="1" applyAlignment="1">
      <alignment vertical="center"/>
    </xf>
    <xf numFmtId="0" fontId="55" fillId="5" borderId="3" xfId="96" applyFont="1" applyFill="1" applyBorder="1" applyAlignment="1">
      <alignment vertical="center"/>
    </xf>
    <xf numFmtId="41" fontId="55" fillId="0" borderId="7" xfId="97" applyFont="1" applyBorder="1" applyAlignment="1">
      <alignment horizontal="right" vertical="center"/>
    </xf>
    <xf numFmtId="181" fontId="34" fillId="0" borderId="7" xfId="97" applyNumberFormat="1" applyFont="1" applyBorder="1" applyAlignment="1">
      <alignment horizontal="right" vertical="center"/>
    </xf>
    <xf numFmtId="178" fontId="54" fillId="0" borderId="18" xfId="97" applyNumberFormat="1" applyFont="1" applyBorder="1" applyAlignment="1">
      <alignment vertical="center"/>
    </xf>
    <xf numFmtId="42" fontId="55" fillId="0" borderId="16" xfId="97" applyNumberFormat="1" applyFont="1" applyFill="1" applyBorder="1" applyAlignment="1">
      <alignment horizontal="left" vertical="center"/>
    </xf>
    <xf numFmtId="0" fontId="55" fillId="5" borderId="29" xfId="96" applyFont="1" applyFill="1" applyBorder="1" applyAlignment="1">
      <alignment vertical="center"/>
    </xf>
    <xf numFmtId="41" fontId="55" fillId="0" borderId="3" xfId="97" applyFont="1" applyBorder="1" applyAlignment="1">
      <alignment horizontal="right" vertical="center"/>
    </xf>
    <xf numFmtId="181" fontId="34" fillId="0" borderId="3" xfId="97" applyNumberFormat="1" applyFont="1" applyBorder="1" applyAlignment="1">
      <alignment horizontal="right" vertical="center"/>
    </xf>
    <xf numFmtId="42" fontId="55" fillId="0" borderId="18" xfId="97" applyNumberFormat="1" applyFont="1" applyBorder="1" applyAlignment="1">
      <alignment horizontal="left" vertical="center"/>
    </xf>
    <xf numFmtId="41" fontId="55" fillId="0" borderId="29" xfId="97" applyFont="1" applyBorder="1" applyAlignment="1">
      <alignment horizontal="right" vertical="center"/>
    </xf>
    <xf numFmtId="181" fontId="34" fillId="0" borderId="29" xfId="97" applyNumberFormat="1" applyFont="1" applyBorder="1" applyAlignment="1">
      <alignment horizontal="right" vertical="center"/>
    </xf>
    <xf numFmtId="178" fontId="55" fillId="0" borderId="10" xfId="102" applyNumberFormat="1" applyFont="1" applyFill="1" applyBorder="1" applyAlignment="1">
      <alignment horizontal="right" vertical="center"/>
    </xf>
    <xf numFmtId="42" fontId="55" fillId="0" borderId="10" xfId="97" applyNumberFormat="1" applyFont="1" applyBorder="1" applyAlignment="1">
      <alignment horizontal="left" vertical="center"/>
    </xf>
    <xf numFmtId="0" fontId="55" fillId="0" borderId="0" xfId="102" applyFont="1" applyFill="1" applyBorder="1" applyAlignment="1">
      <alignment horizontal="center" vertical="center"/>
    </xf>
    <xf numFmtId="42" fontId="55" fillId="6" borderId="10" xfId="97" applyNumberFormat="1" applyFont="1" applyFill="1" applyBorder="1" applyAlignment="1">
      <alignment horizontal="left" vertical="center"/>
    </xf>
    <xf numFmtId="0" fontId="55" fillId="0" borderId="2" xfId="96" applyFont="1" applyBorder="1" applyAlignment="1">
      <alignment vertical="center"/>
    </xf>
    <xf numFmtId="0" fontId="55" fillId="5" borderId="17" xfId="96" applyFont="1" applyFill="1" applyBorder="1" applyAlignment="1">
      <alignment vertical="center"/>
    </xf>
    <xf numFmtId="41" fontId="55" fillId="0" borderId="2" xfId="97" applyFont="1" applyBorder="1" applyAlignment="1">
      <alignment horizontal="right" vertical="center"/>
    </xf>
    <xf numFmtId="176" fontId="55" fillId="0" borderId="2" xfId="97" applyNumberFormat="1" applyFont="1" applyBorder="1" applyAlignment="1">
      <alignment horizontal="right" vertical="center"/>
    </xf>
    <xf numFmtId="0" fontId="55" fillId="0" borderId="0" xfId="102" applyFont="1" applyBorder="1" applyAlignment="1">
      <alignment horizontal="center" vertical="center"/>
    </xf>
    <xf numFmtId="178" fontId="55" fillId="0" borderId="10" xfId="102" applyNumberFormat="1" applyFont="1" applyBorder="1" applyAlignment="1">
      <alignment vertical="center"/>
    </xf>
    <xf numFmtId="178" fontId="55" fillId="0" borderId="29" xfId="97" applyNumberFormat="1" applyFont="1" applyBorder="1" applyAlignment="1">
      <alignment vertical="center"/>
    </xf>
    <xf numFmtId="176" fontId="55" fillId="0" borderId="29" xfId="97" applyNumberFormat="1" applyFont="1" applyBorder="1" applyAlignment="1">
      <alignment vertical="center"/>
    </xf>
    <xf numFmtId="178" fontId="55" fillId="0" borderId="10" xfId="102" applyNumberFormat="1" applyFont="1" applyFill="1" applyBorder="1" applyAlignment="1">
      <alignment vertical="center"/>
    </xf>
    <xf numFmtId="176" fontId="55" fillId="0" borderId="29" xfId="97" applyNumberFormat="1" applyFont="1" applyBorder="1" applyAlignment="1">
      <alignment horizontal="right" vertical="center"/>
    </xf>
    <xf numFmtId="41" fontId="55" fillId="0" borderId="35" xfId="97" applyFont="1" applyBorder="1" applyAlignment="1">
      <alignment horizontal="right" vertical="center"/>
    </xf>
    <xf numFmtId="0" fontId="54" fillId="0" borderId="1" xfId="102" applyFont="1" applyBorder="1" applyAlignment="1">
      <alignment horizontal="center" vertical="center"/>
    </xf>
    <xf numFmtId="42" fontId="34" fillId="0" borderId="18" xfId="97" applyNumberFormat="1" applyFont="1" applyBorder="1" applyAlignment="1">
      <alignment horizontal="left" vertical="center"/>
    </xf>
    <xf numFmtId="41" fontId="55" fillId="0" borderId="1" xfId="97" applyFont="1" applyBorder="1" applyAlignment="1">
      <alignment horizontal="right" vertical="center"/>
    </xf>
    <xf numFmtId="42" fontId="34" fillId="0" borderId="18" xfId="97" applyNumberFormat="1" applyFont="1" applyFill="1" applyBorder="1" applyAlignment="1">
      <alignment horizontal="left" vertical="center"/>
    </xf>
    <xf numFmtId="41" fontId="55" fillId="0" borderId="0" xfId="97" applyFont="1" applyBorder="1" applyAlignment="1">
      <alignment horizontal="right" vertical="center"/>
    </xf>
    <xf numFmtId="181" fontId="55" fillId="0" borderId="2" xfId="97" applyNumberFormat="1" applyFont="1" applyBorder="1" applyAlignment="1">
      <alignment horizontal="right" vertical="center"/>
    </xf>
    <xf numFmtId="181" fontId="55" fillId="0" borderId="3" xfId="97" applyNumberFormat="1" applyFont="1" applyBorder="1" applyAlignment="1">
      <alignment horizontal="right" vertical="center"/>
    </xf>
    <xf numFmtId="0" fontId="55" fillId="0" borderId="1" xfId="102" applyFont="1" applyBorder="1" applyAlignment="1">
      <alignment horizontal="center" vertical="center"/>
    </xf>
    <xf numFmtId="181" fontId="55" fillId="0" borderId="29" xfId="97" applyNumberFormat="1" applyFont="1" applyBorder="1" applyAlignment="1">
      <alignment horizontal="right" vertical="center"/>
    </xf>
    <xf numFmtId="181" fontId="55" fillId="0" borderId="35" xfId="97" applyNumberFormat="1" applyFont="1" applyBorder="1" applyAlignment="1">
      <alignment horizontal="right" vertical="center"/>
    </xf>
    <xf numFmtId="181" fontId="55" fillId="0" borderId="12" xfId="97" applyNumberFormat="1" applyFont="1" applyBorder="1" applyAlignment="1">
      <alignment horizontal="right" vertical="center"/>
    </xf>
    <xf numFmtId="178" fontId="55" fillId="0" borderId="10" xfId="102" applyNumberFormat="1" applyFont="1" applyBorder="1" applyAlignment="1">
      <alignment horizontal="right" vertical="center"/>
    </xf>
    <xf numFmtId="0" fontId="55" fillId="0" borderId="121" xfId="5" applyFont="1" applyFill="1" applyBorder="1" applyAlignment="1">
      <alignment horizontal="justify" vertical="center" wrapText="1"/>
    </xf>
    <xf numFmtId="0" fontId="8" fillId="0" borderId="121" xfId="5" applyNumberFormat="1" applyFont="1" applyFill="1" applyBorder="1" applyAlignment="1">
      <alignment horizontal="left" vertical="center" wrapText="1"/>
    </xf>
    <xf numFmtId="41" fontId="55" fillId="0" borderId="9" xfId="97" applyFont="1" applyBorder="1" applyAlignment="1">
      <alignment horizontal="right" vertical="center"/>
    </xf>
    <xf numFmtId="181" fontId="55" fillId="0" borderId="9" xfId="97" applyNumberFormat="1" applyFont="1" applyBorder="1" applyAlignment="1">
      <alignment horizontal="right" vertical="center"/>
    </xf>
    <xf numFmtId="0" fontId="55" fillId="0" borderId="5" xfId="102" applyFont="1" applyBorder="1" applyAlignment="1">
      <alignment horizontal="center" vertical="center"/>
    </xf>
    <xf numFmtId="178" fontId="55" fillId="0" borderId="11" xfId="102" applyNumberFormat="1" applyFont="1" applyBorder="1" applyAlignment="1">
      <alignment vertical="center"/>
    </xf>
    <xf numFmtId="176" fontId="34" fillId="0" borderId="7" xfId="97" applyNumberFormat="1" applyFont="1" applyBorder="1" applyAlignment="1">
      <alignment horizontal="right" vertical="center"/>
    </xf>
    <xf numFmtId="0" fontId="54" fillId="0" borderId="6" xfId="102" applyFont="1" applyBorder="1" applyAlignment="1">
      <alignment horizontal="center" vertical="center"/>
    </xf>
    <xf numFmtId="178" fontId="54" fillId="0" borderId="16" xfId="97" applyNumberFormat="1" applyFont="1" applyBorder="1" applyAlignment="1">
      <alignment vertical="center"/>
    </xf>
    <xf numFmtId="41" fontId="55" fillId="0" borderId="30" xfId="97" applyFont="1" applyBorder="1" applyAlignment="1">
      <alignment horizontal="right" vertical="center"/>
    </xf>
    <xf numFmtId="176" fontId="34" fillId="0" borderId="3" xfId="97" applyNumberFormat="1" applyFont="1" applyBorder="1" applyAlignment="1">
      <alignment horizontal="right" vertical="center"/>
    </xf>
    <xf numFmtId="0" fontId="54" fillId="0" borderId="30" xfId="97" applyNumberFormat="1" applyFont="1" applyBorder="1" applyAlignment="1">
      <alignment vertical="center" shrinkToFit="1"/>
    </xf>
    <xf numFmtId="176" fontId="55" fillId="0" borderId="8" xfId="97" applyNumberFormat="1" applyFont="1" applyBorder="1" applyAlignment="1">
      <alignment horizontal="right" vertical="center"/>
    </xf>
    <xf numFmtId="178" fontId="55" fillId="0" borderId="11" xfId="102" applyNumberFormat="1" applyFont="1" applyFill="1" applyBorder="1" applyAlignment="1">
      <alignment vertical="center"/>
    </xf>
    <xf numFmtId="42" fontId="55" fillId="6" borderId="91" xfId="97" applyNumberFormat="1" applyFont="1" applyFill="1" applyBorder="1" applyAlignment="1">
      <alignment horizontal="left" vertical="center"/>
    </xf>
    <xf numFmtId="0" fontId="55" fillId="5" borderId="12" xfId="96" applyFont="1" applyFill="1" applyBorder="1" applyAlignment="1">
      <alignment vertical="center"/>
    </xf>
    <xf numFmtId="41" fontId="55" fillId="0" borderId="9" xfId="97" applyFont="1" applyFill="1" applyBorder="1" applyAlignment="1">
      <alignment vertical="center"/>
    </xf>
    <xf numFmtId="178" fontId="55" fillId="0" borderId="5" xfId="97" applyNumberFormat="1" applyFont="1" applyFill="1" applyBorder="1" applyAlignment="1">
      <alignment vertical="center"/>
    </xf>
    <xf numFmtId="181" fontId="55" fillId="0" borderId="8" xfId="97" applyNumberFormat="1" applyFont="1" applyFill="1" applyBorder="1" applyAlignment="1">
      <alignment vertical="center"/>
    </xf>
    <xf numFmtId="0" fontId="54" fillId="0" borderId="5" xfId="102" applyFont="1" applyFill="1" applyBorder="1" applyAlignment="1">
      <alignment horizontal="center" vertical="center"/>
    </xf>
    <xf numFmtId="178" fontId="54" fillId="0" borderId="11" xfId="97" applyNumberFormat="1" applyFont="1" applyFill="1" applyBorder="1" applyAlignment="1">
      <alignment horizontal="right" vertical="center"/>
    </xf>
    <xf numFmtId="42" fontId="13" fillId="5" borderId="11" xfId="97" applyNumberFormat="1" applyFont="1" applyFill="1" applyBorder="1" applyAlignment="1">
      <alignment horizontal="left" vertical="center"/>
    </xf>
    <xf numFmtId="41" fontId="55" fillId="0" borderId="29" xfId="97" applyFont="1" applyBorder="1" applyAlignment="1">
      <alignment vertical="center"/>
    </xf>
    <xf numFmtId="181" fontId="55" fillId="0" borderId="2" xfId="97" applyNumberFormat="1" applyFont="1" applyBorder="1" applyAlignment="1">
      <alignment vertical="center"/>
    </xf>
    <xf numFmtId="41" fontId="54" fillId="0" borderId="18" xfId="103" applyFont="1" applyBorder="1" applyAlignment="1">
      <alignment vertical="center"/>
    </xf>
    <xf numFmtId="42" fontId="34" fillId="0" borderId="10" xfId="97" applyNumberFormat="1" applyFont="1" applyBorder="1" applyAlignment="1">
      <alignment horizontal="left" vertical="center"/>
    </xf>
    <xf numFmtId="41" fontId="13" fillId="0" borderId="29" xfId="97" applyFont="1" applyBorder="1" applyAlignment="1">
      <alignment vertical="center"/>
    </xf>
    <xf numFmtId="181" fontId="55" fillId="0" borderId="29" xfId="97" applyNumberFormat="1" applyFont="1" applyBorder="1" applyAlignment="1">
      <alignment vertical="center"/>
    </xf>
    <xf numFmtId="176" fontId="9" fillId="0" borderId="23" xfId="3" applyNumberFormat="1" applyFont="1" applyFill="1" applyBorder="1" applyAlignment="1">
      <alignment horizontal="right" vertical="center"/>
    </xf>
    <xf numFmtId="41" fontId="8" fillId="0" borderId="22" xfId="3" applyNumberFormat="1" applyFont="1" applyFill="1" applyBorder="1" applyAlignment="1">
      <alignment horizontal="left" vertical="center"/>
    </xf>
    <xf numFmtId="41" fontId="8" fillId="0" borderId="22" xfId="3" applyNumberFormat="1" applyFont="1" applyFill="1" applyBorder="1" applyAlignment="1">
      <alignment horizontal="center" vertical="center"/>
    </xf>
    <xf numFmtId="41" fontId="8" fillId="0" borderId="24" xfId="3" applyNumberFormat="1" applyFont="1" applyFill="1" applyBorder="1" applyAlignment="1">
      <alignment horizontal="right" vertical="center"/>
    </xf>
    <xf numFmtId="0" fontId="8" fillId="0" borderId="6" xfId="2" applyNumberFormat="1" applyFont="1" applyFill="1" applyBorder="1" applyAlignment="1">
      <alignment horizontal="left" vertical="center" shrinkToFit="1"/>
    </xf>
    <xf numFmtId="0" fontId="8" fillId="0" borderId="6" xfId="2" applyNumberFormat="1" applyFont="1" applyFill="1" applyBorder="1" applyAlignment="1">
      <alignment horizontal="center" vertical="center"/>
    </xf>
    <xf numFmtId="41" fontId="8" fillId="0" borderId="16" xfId="3" applyNumberFormat="1" applyFont="1" applyFill="1" applyBorder="1" applyAlignment="1">
      <alignment vertical="center"/>
    </xf>
    <xf numFmtId="0" fontId="10" fillId="0" borderId="2" xfId="96" applyNumberFormat="1" applyFont="1" applyBorder="1" applyAlignment="1">
      <alignment vertical="center"/>
    </xf>
    <xf numFmtId="41" fontId="10" fillId="0" borderId="2" xfId="97" applyNumberFormat="1" applyFont="1" applyFill="1" applyBorder="1" applyAlignment="1">
      <alignment vertical="center"/>
    </xf>
    <xf numFmtId="176" fontId="10" fillId="0" borderId="2" xfId="97" applyNumberFormat="1" applyFont="1" applyFill="1" applyBorder="1" applyAlignment="1">
      <alignment vertical="center"/>
    </xf>
    <xf numFmtId="0" fontId="8" fillId="0" borderId="0" xfId="96" applyNumberFormat="1" applyFont="1" applyAlignment="1">
      <alignment vertical="center"/>
    </xf>
    <xf numFmtId="0" fontId="8" fillId="0" borderId="91" xfId="5" applyNumberFormat="1" applyFont="1" applyFill="1" applyBorder="1" applyAlignment="1">
      <alignment vertical="center"/>
    </xf>
    <xf numFmtId="0" fontId="65" fillId="0" borderId="2" xfId="96" applyFont="1" applyBorder="1" applyAlignment="1">
      <alignment vertical="center"/>
    </xf>
    <xf numFmtId="41" fontId="76" fillId="0" borderId="2" xfId="97" applyFont="1" applyFill="1" applyBorder="1" applyAlignment="1">
      <alignment vertical="center"/>
    </xf>
    <xf numFmtId="176" fontId="65" fillId="0" borderId="2" xfId="97" applyNumberFormat="1" applyFont="1" applyFill="1" applyBorder="1" applyAlignment="1">
      <alignment vertical="center"/>
    </xf>
    <xf numFmtId="41" fontId="71" fillId="0" borderId="0" xfId="97" applyFont="1" applyFill="1" applyBorder="1" applyAlignment="1">
      <alignment horizontal="center" vertical="center"/>
    </xf>
    <xf numFmtId="0" fontId="55" fillId="0" borderId="121" xfId="5" applyFont="1" applyFill="1" applyBorder="1" applyAlignment="1">
      <alignment vertical="center"/>
    </xf>
    <xf numFmtId="0" fontId="60" fillId="0" borderId="0" xfId="96" applyFont="1" applyAlignment="1">
      <alignment vertical="center"/>
    </xf>
    <xf numFmtId="0" fontId="62" fillId="0" borderId="0" xfId="96" applyFont="1" applyAlignment="1">
      <alignment vertical="center"/>
    </xf>
    <xf numFmtId="0" fontId="65" fillId="0" borderId="17" xfId="96" applyFont="1" applyBorder="1" applyAlignment="1">
      <alignment vertical="center"/>
    </xf>
    <xf numFmtId="41" fontId="55" fillId="0" borderId="11" xfId="97" applyNumberFormat="1" applyFont="1" applyFill="1" applyBorder="1" applyAlignment="1">
      <alignment horizontal="left" vertical="center"/>
    </xf>
    <xf numFmtId="0" fontId="55" fillId="0" borderId="91" xfId="5" applyFont="1" applyFill="1" applyBorder="1" applyAlignment="1">
      <alignment vertical="center"/>
    </xf>
    <xf numFmtId="176" fontId="55" fillId="0" borderId="29" xfId="3" applyNumberFormat="1" applyFont="1" applyFill="1" applyBorder="1" applyAlignment="1">
      <alignment horizontal="right" vertical="center"/>
    </xf>
    <xf numFmtId="0" fontId="10" fillId="0" borderId="0" xfId="96" applyNumberFormat="1" applyFont="1" applyAlignment="1">
      <alignment vertical="center"/>
    </xf>
    <xf numFmtId="41" fontId="10" fillId="0" borderId="0" xfId="97" applyNumberFormat="1" applyFont="1" applyFill="1" applyAlignment="1">
      <alignment vertical="center"/>
    </xf>
    <xf numFmtId="176" fontId="10" fillId="0" borderId="0" xfId="97" applyNumberFormat="1" applyFont="1" applyFill="1" applyAlignment="1">
      <alignment vertical="center"/>
    </xf>
    <xf numFmtId="41" fontId="7" fillId="0" borderId="0" xfId="97" applyNumberFormat="1" applyFont="1" applyFill="1" applyAlignment="1">
      <alignment vertical="center"/>
    </xf>
    <xf numFmtId="41" fontId="7" fillId="0" borderId="0" xfId="97" applyNumberFormat="1" applyFont="1" applyFill="1" applyAlignment="1">
      <alignment horizontal="center" vertical="center"/>
    </xf>
    <xf numFmtId="0" fontId="7" fillId="43" borderId="0" xfId="96" applyNumberFormat="1" applyFont="1" applyFill="1" applyAlignment="1">
      <alignment vertical="center"/>
    </xf>
    <xf numFmtId="41" fontId="76" fillId="0" borderId="21" xfId="3" applyFont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41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6" borderId="125" xfId="2" applyFont="1" applyFill="1" applyBorder="1" applyAlignment="1">
      <alignment horizontal="center" vertical="center"/>
    </xf>
    <xf numFmtId="0" fontId="62" fillId="6" borderId="136" xfId="11" applyFont="1" applyFill="1" applyBorder="1" applyAlignment="1">
      <alignment horizontal="center" vertical="center"/>
    </xf>
    <xf numFmtId="0" fontId="62" fillId="6" borderId="64" xfId="11" applyFont="1" applyFill="1" applyBorder="1" applyAlignment="1">
      <alignment horizontal="center" vertical="center"/>
    </xf>
    <xf numFmtId="0" fontId="62" fillId="0" borderId="0" xfId="11" applyFont="1" applyAlignment="1">
      <alignment horizontal="center" vertical="center"/>
    </xf>
    <xf numFmtId="178" fontId="63" fillId="0" borderId="0" xfId="11" applyNumberFormat="1" applyFont="1" applyAlignment="1">
      <alignment vertical="center"/>
    </xf>
    <xf numFmtId="177" fontId="59" fillId="0" borderId="0" xfId="11" applyNumberFormat="1" applyFont="1" applyAlignment="1">
      <alignment vertical="center" shrinkToFit="1"/>
    </xf>
    <xf numFmtId="178" fontId="62" fillId="0" borderId="0" xfId="11" applyNumberFormat="1" applyFont="1" applyAlignment="1">
      <alignment vertical="center" shrinkToFit="1"/>
    </xf>
    <xf numFmtId="0" fontId="9" fillId="0" borderId="36" xfId="2" applyFont="1" applyBorder="1" applyAlignment="1">
      <alignment vertical="center"/>
    </xf>
    <xf numFmtId="0" fontId="9" fillId="0" borderId="37" xfId="2" applyFont="1" applyBorder="1" applyAlignment="1">
      <alignment vertical="center"/>
    </xf>
    <xf numFmtId="0" fontId="9" fillId="0" borderId="22" xfId="2" applyFont="1" applyBorder="1" applyAlignment="1">
      <alignment vertical="center"/>
    </xf>
    <xf numFmtId="0" fontId="9" fillId="0" borderId="34" xfId="2" applyFont="1" applyBorder="1" applyAlignment="1">
      <alignment vertical="center"/>
    </xf>
    <xf numFmtId="176" fontId="54" fillId="0" borderId="8" xfId="3" applyNumberFormat="1" applyFont="1" applyBorder="1" applyAlignment="1">
      <alignment horizontal="right" vertical="center"/>
    </xf>
    <xf numFmtId="176" fontId="51" fillId="0" borderId="8" xfId="3" applyNumberFormat="1" applyFont="1" applyBorder="1" applyAlignment="1">
      <alignment horizontal="right" vertical="center"/>
    </xf>
    <xf numFmtId="41" fontId="55" fillId="0" borderId="5" xfId="3" applyFont="1" applyBorder="1" applyAlignment="1">
      <alignment horizontal="left" vertical="center"/>
    </xf>
    <xf numFmtId="41" fontId="55" fillId="0" borderId="5" xfId="3" applyFont="1" applyBorder="1" applyAlignment="1">
      <alignment horizontal="center" vertical="center"/>
    </xf>
    <xf numFmtId="41" fontId="55" fillId="0" borderId="11" xfId="3" applyFont="1" applyBorder="1" applyAlignment="1">
      <alignment horizontal="right" vertical="center"/>
    </xf>
    <xf numFmtId="0" fontId="7" fillId="0" borderId="0" xfId="3" applyNumberFormat="1" applyFont="1" applyAlignment="1">
      <alignment horizontal="left" vertical="center"/>
    </xf>
    <xf numFmtId="0" fontId="7" fillId="0" borderId="0" xfId="3" applyNumberFormat="1" applyFont="1" applyAlignment="1">
      <alignment horizontal="center" vertical="center"/>
    </xf>
    <xf numFmtId="0" fontId="8" fillId="0" borderId="17" xfId="2" applyFont="1" applyBorder="1" applyAlignment="1">
      <alignment vertical="center"/>
    </xf>
    <xf numFmtId="0" fontId="9" fillId="0" borderId="7" xfId="2" applyFont="1" applyBorder="1" applyAlignment="1">
      <alignment vertical="center"/>
    </xf>
    <xf numFmtId="0" fontId="9" fillId="0" borderId="25" xfId="2" applyFont="1" applyBorder="1" applyAlignment="1">
      <alignment vertical="center"/>
    </xf>
    <xf numFmtId="0" fontId="9" fillId="0" borderId="6" xfId="2" applyFont="1" applyBorder="1" applyAlignment="1">
      <alignment vertical="center"/>
    </xf>
    <xf numFmtId="0" fontId="9" fillId="0" borderId="32" xfId="2" applyFont="1" applyBorder="1" applyAlignment="1">
      <alignment vertical="center"/>
    </xf>
    <xf numFmtId="0" fontId="8" fillId="0" borderId="121" xfId="2" applyFont="1" applyBorder="1" applyAlignment="1">
      <alignment vertical="center"/>
    </xf>
    <xf numFmtId="0" fontId="8" fillId="0" borderId="3" xfId="2" applyFont="1" applyBorder="1" applyAlignment="1">
      <alignment vertical="center"/>
    </xf>
    <xf numFmtId="177" fontId="51" fillId="5" borderId="6" xfId="5" applyNumberFormat="1" applyFont="1" applyFill="1" applyBorder="1">
      <alignment vertical="center"/>
    </xf>
    <xf numFmtId="0" fontId="8" fillId="0" borderId="2" xfId="2" applyFont="1" applyBorder="1" applyAlignment="1">
      <alignment vertical="center"/>
    </xf>
    <xf numFmtId="0" fontId="8" fillId="0" borderId="35" xfId="2" applyFont="1" applyBorder="1" applyAlignment="1">
      <alignment vertical="center"/>
    </xf>
    <xf numFmtId="176" fontId="54" fillId="0" borderId="7" xfId="3" applyNumberFormat="1" applyFont="1" applyBorder="1" applyAlignment="1">
      <alignment vertical="center"/>
    </xf>
    <xf numFmtId="176" fontId="9" fillId="0" borderId="7" xfId="3" applyNumberFormat="1" applyFont="1" applyBorder="1" applyAlignment="1">
      <alignment horizontal="right" vertical="center"/>
    </xf>
    <xf numFmtId="0" fontId="55" fillId="0" borderId="0" xfId="3" applyNumberFormat="1" applyFont="1" applyAlignment="1">
      <alignment horizontal="left" vertical="center"/>
    </xf>
    <xf numFmtId="41" fontId="71" fillId="0" borderId="0" xfId="3" applyFont="1" applyAlignment="1">
      <alignment horizontal="center" vertical="center"/>
    </xf>
    <xf numFmtId="41" fontId="140" fillId="0" borderId="0" xfId="12" applyFont="1" applyAlignment="1">
      <alignment horizontal="center" vertical="center"/>
    </xf>
    <xf numFmtId="0" fontId="51" fillId="5" borderId="0" xfId="11" applyFont="1" applyFill="1" applyAlignment="1">
      <alignment vertical="center" shrinkToFit="1"/>
    </xf>
    <xf numFmtId="0" fontId="34" fillId="5" borderId="0" xfId="11" quotePrefix="1" applyFont="1" applyFill="1" applyAlignment="1">
      <alignment horizontal="center" vertical="center"/>
    </xf>
    <xf numFmtId="41" fontId="51" fillId="5" borderId="10" xfId="12" applyFont="1" applyFill="1" applyBorder="1" applyAlignment="1">
      <alignment vertical="center"/>
    </xf>
    <xf numFmtId="41" fontId="34" fillId="5" borderId="132" xfId="12" applyFont="1" applyFill="1" applyBorder="1" applyAlignment="1">
      <alignment vertical="center"/>
    </xf>
    <xf numFmtId="0" fontId="34" fillId="5" borderId="0" xfId="11" applyFont="1" applyFill="1" applyAlignment="1">
      <alignment vertical="center" shrinkToFit="1"/>
    </xf>
    <xf numFmtId="178" fontId="55" fillId="5" borderId="0" xfId="11" applyNumberFormat="1" applyFont="1" applyFill="1" applyAlignment="1">
      <alignment vertical="center"/>
    </xf>
    <xf numFmtId="177" fontId="34" fillId="5" borderId="0" xfId="11" applyNumberFormat="1" applyFont="1" applyFill="1" applyAlignment="1">
      <alignment vertical="center" shrinkToFit="1"/>
    </xf>
    <xf numFmtId="0" fontId="55" fillId="5" borderId="0" xfId="11" applyFont="1" applyFill="1" applyAlignment="1">
      <alignment vertical="center" shrinkToFit="1"/>
    </xf>
    <xf numFmtId="0" fontId="55" fillId="5" borderId="0" xfId="11" quotePrefix="1" applyFont="1" applyFill="1" applyAlignment="1">
      <alignment horizontal="center" vertical="center"/>
    </xf>
    <xf numFmtId="177" fontId="55" fillId="5" borderId="0" xfId="11" applyNumberFormat="1" applyFont="1" applyFill="1" applyAlignment="1">
      <alignment vertical="center" shrinkToFit="1"/>
    </xf>
    <xf numFmtId="190" fontId="55" fillId="5" borderId="0" xfId="12" applyNumberFormat="1" applyFont="1" applyFill="1" applyBorder="1" applyAlignment="1">
      <alignment vertical="center" shrinkToFit="1"/>
    </xf>
    <xf numFmtId="178" fontId="55" fillId="5" borderId="0" xfId="11" applyNumberFormat="1" applyFont="1" applyFill="1" applyAlignment="1">
      <alignment vertical="center" shrinkToFit="1"/>
    </xf>
    <xf numFmtId="0" fontId="55" fillId="5" borderId="0" xfId="11" applyFont="1" applyFill="1" applyAlignment="1">
      <alignment horizontal="center" vertical="center"/>
    </xf>
    <xf numFmtId="0" fontId="34" fillId="5" borderId="0" xfId="11" applyFont="1" applyFill="1" applyAlignment="1">
      <alignment horizontal="center" vertical="center"/>
    </xf>
    <xf numFmtId="41" fontId="55" fillId="5" borderId="0" xfId="12" applyFont="1" applyFill="1" applyBorder="1" applyAlignment="1">
      <alignment horizontal="right" vertical="center"/>
    </xf>
    <xf numFmtId="191" fontId="34" fillId="5" borderId="0" xfId="11" applyNumberFormat="1" applyFont="1" applyFill="1" applyAlignment="1">
      <alignment vertical="center" shrinkToFit="1"/>
    </xf>
    <xf numFmtId="41" fontId="59" fillId="5" borderId="18" xfId="12" applyFont="1" applyFill="1" applyBorder="1" applyAlignment="1">
      <alignment vertical="center"/>
    </xf>
    <xf numFmtId="178" fontId="55" fillId="5" borderId="0" xfId="11" applyNumberFormat="1" applyFont="1" applyFill="1" applyAlignment="1">
      <alignment horizontal="center" vertical="center"/>
    </xf>
    <xf numFmtId="41" fontId="34" fillId="5" borderId="10" xfId="12" applyFont="1" applyFill="1" applyBorder="1" applyAlignment="1">
      <alignment vertical="center" shrinkToFit="1"/>
    </xf>
    <xf numFmtId="41" fontId="55" fillId="5" borderId="0" xfId="12" applyFont="1" applyFill="1" applyBorder="1" applyAlignment="1">
      <alignment vertical="center" shrinkToFit="1"/>
    </xf>
    <xf numFmtId="0" fontId="54" fillId="5" borderId="0" xfId="11" applyFont="1" applyFill="1" applyAlignment="1">
      <alignment vertical="center" shrinkToFit="1"/>
    </xf>
    <xf numFmtId="41" fontId="54" fillId="5" borderId="10" xfId="12" applyFont="1" applyFill="1" applyBorder="1" applyAlignment="1">
      <alignment horizontal="right" vertical="center"/>
    </xf>
    <xf numFmtId="178" fontId="54" fillId="5" borderId="0" xfId="11" applyNumberFormat="1" applyFont="1" applyFill="1" applyAlignment="1">
      <alignment vertical="center"/>
    </xf>
    <xf numFmtId="178" fontId="51" fillId="5" borderId="132" xfId="12" applyNumberFormat="1" applyFont="1" applyFill="1" applyBorder="1" applyAlignment="1">
      <alignment horizontal="right" vertical="center"/>
    </xf>
    <xf numFmtId="178" fontId="55" fillId="5" borderId="0" xfId="11" quotePrefix="1" applyNumberFormat="1" applyFont="1" applyFill="1" applyAlignment="1">
      <alignment horizontal="center" vertical="center"/>
    </xf>
    <xf numFmtId="178" fontId="13" fillId="5" borderId="0" xfId="11" applyNumberFormat="1" applyFont="1" applyFill="1" applyAlignment="1">
      <alignment vertical="center" shrinkToFit="1"/>
    </xf>
    <xf numFmtId="178" fontId="54" fillId="5" borderId="0" xfId="11" applyNumberFormat="1" applyFont="1" applyFill="1" applyAlignment="1">
      <alignment vertical="center" shrinkToFit="1"/>
    </xf>
    <xf numFmtId="177" fontId="34" fillId="5" borderId="0" xfId="11" applyNumberFormat="1" applyFont="1" applyFill="1" applyAlignment="1">
      <alignment vertical="center"/>
    </xf>
    <xf numFmtId="0" fontId="34" fillId="5" borderId="131" xfId="11" applyFont="1" applyFill="1" applyBorder="1" applyAlignment="1">
      <alignment vertical="center"/>
    </xf>
    <xf numFmtId="0" fontId="55" fillId="5" borderId="0" xfId="11" applyFont="1" applyFill="1" applyAlignment="1">
      <alignment vertical="top"/>
    </xf>
    <xf numFmtId="190" fontId="55" fillId="5" borderId="0" xfId="12" applyNumberFormat="1" applyFont="1" applyFill="1" applyBorder="1" applyAlignment="1">
      <alignment horizontal="right" vertical="center" shrinkToFit="1"/>
    </xf>
    <xf numFmtId="178" fontId="55" fillId="5" borderId="0" xfId="11" applyNumberFormat="1" applyFont="1" applyFill="1" applyAlignment="1">
      <alignment horizontal="center" vertical="center" shrinkToFit="1"/>
    </xf>
    <xf numFmtId="189" fontId="34" fillId="5" borderId="0" xfId="11" applyNumberFormat="1" applyFont="1" applyFill="1" applyAlignment="1">
      <alignment vertical="center" shrinkToFit="1"/>
    </xf>
    <xf numFmtId="0" fontId="55" fillId="5" borderId="0" xfId="11" applyFont="1" applyFill="1" applyAlignment="1">
      <alignment vertical="center"/>
    </xf>
    <xf numFmtId="41" fontId="59" fillId="5" borderId="132" xfId="12" applyFont="1" applyFill="1" applyBorder="1" applyAlignment="1">
      <alignment vertical="center"/>
    </xf>
    <xf numFmtId="41" fontId="59" fillId="5" borderId="131" xfId="12" applyFont="1" applyFill="1" applyBorder="1" applyAlignment="1">
      <alignment vertical="center"/>
    </xf>
    <xf numFmtId="187" fontId="34" fillId="5" borderId="0" xfId="11" applyNumberFormat="1" applyFont="1" applyFill="1" applyAlignment="1">
      <alignment vertical="center" shrinkToFit="1"/>
    </xf>
    <xf numFmtId="41" fontId="34" fillId="5" borderId="134" xfId="12" applyFont="1" applyFill="1" applyBorder="1" applyAlignment="1">
      <alignment vertical="center"/>
    </xf>
    <xf numFmtId="41" fontId="55" fillId="5" borderId="131" xfId="12" applyFont="1" applyFill="1" applyBorder="1" applyAlignment="1">
      <alignment vertical="center"/>
    </xf>
    <xf numFmtId="41" fontId="55" fillId="5" borderId="134" xfId="12" applyFont="1" applyFill="1" applyBorder="1" applyAlignment="1">
      <alignment vertical="center" shrinkToFit="1"/>
    </xf>
    <xf numFmtId="178" fontId="13" fillId="5" borderId="0" xfId="11" applyNumberFormat="1" applyFont="1" applyFill="1" applyAlignment="1">
      <alignment vertical="center"/>
    </xf>
    <xf numFmtId="190" fontId="51" fillId="5" borderId="0" xfId="12" applyNumberFormat="1" applyFont="1" applyFill="1" applyBorder="1" applyAlignment="1">
      <alignment vertical="center" shrinkToFit="1"/>
    </xf>
    <xf numFmtId="178" fontId="34" fillId="5" borderId="132" xfId="12" applyNumberFormat="1" applyFont="1" applyFill="1" applyBorder="1" applyAlignment="1">
      <alignment horizontal="left" vertical="center"/>
    </xf>
    <xf numFmtId="190" fontId="34" fillId="5" borderId="0" xfId="12" applyNumberFormat="1" applyFont="1" applyFill="1" applyBorder="1" applyAlignment="1">
      <alignment horizontal="center" vertical="center" shrinkToFit="1"/>
    </xf>
    <xf numFmtId="178" fontId="34" fillId="5" borderId="0" xfId="11" applyNumberFormat="1" applyFont="1" applyFill="1" applyAlignment="1">
      <alignment horizontal="center" vertical="center" shrinkToFit="1"/>
    </xf>
    <xf numFmtId="178" fontId="34" fillId="5" borderId="134" xfId="12" applyNumberFormat="1" applyFont="1" applyFill="1" applyBorder="1" applyAlignment="1">
      <alignment horizontal="left" vertical="center"/>
    </xf>
    <xf numFmtId="0" fontId="8" fillId="0" borderId="29" xfId="2" applyFont="1" applyBorder="1" applyAlignment="1">
      <alignment vertical="center"/>
    </xf>
    <xf numFmtId="0" fontId="55" fillId="5" borderId="0" xfId="3" applyNumberFormat="1" applyFont="1" applyFill="1" applyAlignment="1">
      <alignment horizontal="left" vertical="center"/>
    </xf>
    <xf numFmtId="41" fontId="71" fillId="5" borderId="0" xfId="3" applyFont="1" applyFill="1" applyAlignment="1">
      <alignment horizontal="center" vertical="center"/>
    </xf>
    <xf numFmtId="41" fontId="55" fillId="5" borderId="11" xfId="3" applyFont="1" applyFill="1" applyBorder="1" applyAlignment="1">
      <alignment horizontal="right" vertical="center"/>
    </xf>
    <xf numFmtId="0" fontId="7" fillId="5" borderId="0" xfId="3" applyNumberFormat="1" applyFont="1" applyFill="1" applyAlignment="1">
      <alignment horizontal="left" vertical="center"/>
    </xf>
    <xf numFmtId="0" fontId="7" fillId="5" borderId="0" xfId="3" applyNumberFormat="1" applyFont="1" applyFill="1" applyAlignment="1">
      <alignment horizontal="center" vertical="center"/>
    </xf>
    <xf numFmtId="177" fontId="7" fillId="5" borderId="0" xfId="1" applyNumberFormat="1" applyFont="1" applyFill="1" applyAlignment="1">
      <alignment horizontal="center" vertical="center"/>
    </xf>
    <xf numFmtId="0" fontId="7" fillId="5" borderId="0" xfId="2" applyFont="1" applyFill="1" applyAlignment="1">
      <alignment horizontal="center" vertical="center"/>
    </xf>
    <xf numFmtId="41" fontId="49" fillId="5" borderId="0" xfId="12" applyFont="1" applyFill="1" applyAlignment="1">
      <alignment vertical="center"/>
    </xf>
    <xf numFmtId="178" fontId="71" fillId="5" borderId="0" xfId="11" applyNumberFormat="1" applyFont="1" applyFill="1" applyAlignment="1">
      <alignment vertical="center"/>
    </xf>
    <xf numFmtId="177" fontId="33" fillId="5" borderId="0" xfId="11" applyNumberFormat="1" applyFont="1" applyFill="1" applyAlignment="1">
      <alignment vertical="center" shrinkToFit="1"/>
    </xf>
    <xf numFmtId="190" fontId="33" fillId="5" borderId="0" xfId="12" applyNumberFormat="1" applyFont="1" applyFill="1" applyBorder="1" applyAlignment="1">
      <alignment vertical="center" shrinkToFit="1"/>
    </xf>
    <xf numFmtId="178" fontId="33" fillId="5" borderId="0" xfId="11" applyNumberFormat="1" applyFont="1" applyFill="1" applyAlignment="1">
      <alignment vertical="center" shrinkToFit="1"/>
    </xf>
    <xf numFmtId="41" fontId="34" fillId="5" borderId="132" xfId="12" applyFont="1" applyFill="1" applyBorder="1" applyAlignment="1">
      <alignment horizontal="left" vertical="center"/>
    </xf>
    <xf numFmtId="197" fontId="34" fillId="5" borderId="0" xfId="11" applyNumberFormat="1" applyFont="1" applyFill="1" applyAlignment="1">
      <alignment vertical="center" shrinkToFit="1"/>
    </xf>
    <xf numFmtId="198" fontId="34" fillId="5" borderId="0" xfId="12" applyNumberFormat="1" applyFont="1" applyFill="1" applyBorder="1" applyAlignment="1">
      <alignment vertical="center" shrinkToFit="1"/>
    </xf>
    <xf numFmtId="41" fontId="59" fillId="5" borderId="131" xfId="12" applyFont="1" applyFill="1" applyBorder="1" applyAlignment="1">
      <alignment vertical="center" shrinkToFit="1"/>
    </xf>
    <xf numFmtId="0" fontId="55" fillId="5" borderId="0" xfId="5" applyFont="1" applyFill="1" applyAlignment="1">
      <alignment vertical="center" shrinkToFit="1"/>
    </xf>
    <xf numFmtId="0" fontId="49" fillId="5" borderId="121" xfId="11" applyFont="1" applyFill="1" applyBorder="1" applyAlignment="1">
      <alignment vertical="center"/>
    </xf>
    <xf numFmtId="0" fontId="49" fillId="5" borderId="2" xfId="11" applyFont="1" applyFill="1" applyBorder="1" applyAlignment="1">
      <alignment vertical="center"/>
    </xf>
    <xf numFmtId="0" fontId="49" fillId="5" borderId="29" xfId="11" applyFont="1" applyFill="1" applyBorder="1" applyAlignment="1">
      <alignment vertical="center"/>
    </xf>
    <xf numFmtId="41" fontId="33" fillId="5" borderId="0" xfId="12" applyFont="1" applyFill="1" applyBorder="1" applyAlignment="1">
      <alignment vertical="center" shrinkToFit="1"/>
    </xf>
    <xf numFmtId="188" fontId="33" fillId="5" borderId="0" xfId="11" applyNumberFormat="1" applyFont="1" applyFill="1" applyAlignment="1">
      <alignment vertical="center"/>
    </xf>
    <xf numFmtId="41" fontId="59" fillId="5" borderId="134" xfId="12" applyFont="1" applyFill="1" applyBorder="1" applyAlignment="1">
      <alignment vertical="center"/>
    </xf>
    <xf numFmtId="41" fontId="49" fillId="5" borderId="131" xfId="12" applyFont="1" applyFill="1" applyBorder="1" applyAlignment="1">
      <alignment vertical="center"/>
    </xf>
    <xf numFmtId="178" fontId="55" fillId="5" borderId="12" xfId="12" applyNumberFormat="1" applyFont="1" applyFill="1" applyBorder="1" applyAlignment="1">
      <alignment vertical="center" shrinkToFit="1"/>
    </xf>
    <xf numFmtId="178" fontId="34" fillId="5" borderId="131" xfId="12" applyNumberFormat="1" applyFont="1" applyFill="1" applyBorder="1" applyAlignment="1">
      <alignment vertical="center"/>
    </xf>
    <xf numFmtId="192" fontId="34" fillId="5" borderId="0" xfId="11" applyNumberFormat="1" applyFont="1" applyFill="1" applyAlignment="1">
      <alignment vertical="center" shrinkToFit="1"/>
    </xf>
    <xf numFmtId="178" fontId="106" fillId="5" borderId="131" xfId="12" applyNumberFormat="1" applyFont="1" applyFill="1" applyBorder="1" applyAlignment="1">
      <alignment vertical="center"/>
    </xf>
    <xf numFmtId="178" fontId="34" fillId="5" borderId="131" xfId="12" applyNumberFormat="1" applyFont="1" applyFill="1" applyBorder="1" applyAlignment="1">
      <alignment horizontal="left" vertical="center"/>
    </xf>
    <xf numFmtId="178" fontId="55" fillId="5" borderId="12" xfId="11" quotePrefix="1" applyNumberFormat="1" applyFont="1" applyFill="1" applyBorder="1" applyAlignment="1">
      <alignment vertical="center" shrinkToFit="1"/>
    </xf>
    <xf numFmtId="178" fontId="55" fillId="5" borderId="12" xfId="12" quotePrefix="1" applyNumberFormat="1" applyFont="1" applyFill="1" applyBorder="1" applyAlignment="1">
      <alignment vertical="center"/>
    </xf>
    <xf numFmtId="0" fontId="55" fillId="5" borderId="0" xfId="11" applyFont="1" applyFill="1" applyAlignment="1">
      <alignment horizontal="center" vertical="center" shrinkToFit="1"/>
    </xf>
    <xf numFmtId="176" fontId="55" fillId="5" borderId="0" xfId="12" applyNumberFormat="1" applyFont="1" applyFill="1" applyBorder="1" applyAlignment="1">
      <alignment horizontal="right" vertical="center"/>
    </xf>
    <xf numFmtId="41" fontId="34" fillId="5" borderId="131" xfId="12" applyFont="1" applyFill="1" applyBorder="1" applyAlignment="1">
      <alignment horizontal="left" vertical="center" shrinkToFit="1"/>
    </xf>
    <xf numFmtId="180" fontId="34" fillId="5" borderId="0" xfId="11" applyNumberFormat="1" applyFont="1" applyFill="1" applyAlignment="1">
      <alignment vertical="center" shrinkToFit="1"/>
    </xf>
    <xf numFmtId="0" fontId="54" fillId="5" borderId="0" xfId="11" applyFont="1" applyFill="1" applyAlignment="1">
      <alignment horizontal="left" vertical="center"/>
    </xf>
    <xf numFmtId="41" fontId="34" fillId="5" borderId="134" xfId="12" applyFont="1" applyFill="1" applyBorder="1" applyAlignment="1">
      <alignment horizontal="left" vertical="center"/>
    </xf>
    <xf numFmtId="176" fontId="54" fillId="0" borderId="23" xfId="3" applyNumberFormat="1" applyFont="1" applyBorder="1" applyAlignment="1">
      <alignment horizontal="right" vertical="center"/>
    </xf>
    <xf numFmtId="176" fontId="51" fillId="0" borderId="23" xfId="3" applyNumberFormat="1" applyFont="1" applyBorder="1" applyAlignment="1">
      <alignment horizontal="right" vertical="center"/>
    </xf>
    <xf numFmtId="41" fontId="55" fillId="0" borderId="22" xfId="3" applyFont="1" applyBorder="1" applyAlignment="1">
      <alignment horizontal="left" vertical="center"/>
    </xf>
    <xf numFmtId="41" fontId="55" fillId="0" borderId="22" xfId="3" applyFont="1" applyBorder="1" applyAlignment="1">
      <alignment horizontal="center" vertical="center"/>
    </xf>
    <xf numFmtId="41" fontId="55" fillId="0" borderId="24" xfId="3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176" fontId="54" fillId="0" borderId="7" xfId="3" applyNumberFormat="1" applyFont="1" applyBorder="1" applyAlignment="1">
      <alignment horizontal="right" vertical="center"/>
    </xf>
    <xf numFmtId="176" fontId="51" fillId="0" borderId="7" xfId="3" applyNumberFormat="1" applyFont="1" applyBorder="1" applyAlignment="1">
      <alignment horizontal="right" vertical="center"/>
    </xf>
    <xf numFmtId="0" fontId="54" fillId="0" borderId="6" xfId="2" applyFont="1" applyBorder="1" applyAlignment="1">
      <alignment horizontal="left" vertical="center" shrinkToFit="1"/>
    </xf>
    <xf numFmtId="0" fontId="54" fillId="0" borderId="6" xfId="2" applyFont="1" applyBorder="1" applyAlignment="1">
      <alignment horizontal="center" vertical="center"/>
    </xf>
    <xf numFmtId="41" fontId="54" fillId="0" borderId="16" xfId="3" applyFont="1" applyBorder="1" applyAlignment="1">
      <alignment vertical="center"/>
    </xf>
    <xf numFmtId="41" fontId="7" fillId="0" borderId="0" xfId="3" applyFont="1" applyAlignment="1">
      <alignment horizontal="right" vertical="center"/>
    </xf>
    <xf numFmtId="0" fontId="62" fillId="0" borderId="17" xfId="11" applyFont="1" applyBorder="1" applyAlignment="1">
      <alignment vertical="center"/>
    </xf>
    <xf numFmtId="0" fontId="62" fillId="0" borderId="2" xfId="11" applyFont="1" applyBorder="1" applyAlignment="1">
      <alignment vertical="center"/>
    </xf>
    <xf numFmtId="0" fontId="62" fillId="0" borderId="3" xfId="11" applyFont="1" applyBorder="1" applyAlignment="1">
      <alignment vertical="center"/>
    </xf>
    <xf numFmtId="0" fontId="62" fillId="0" borderId="7" xfId="11" applyFont="1" applyBorder="1" applyAlignment="1">
      <alignment vertical="center"/>
    </xf>
    <xf numFmtId="41" fontId="62" fillId="0" borderId="16" xfId="80" applyFont="1" applyFill="1" applyBorder="1" applyAlignment="1">
      <alignment vertical="center"/>
    </xf>
    <xf numFmtId="38" fontId="63" fillId="0" borderId="0" xfId="11" applyNumberFormat="1" applyFont="1" applyAlignment="1">
      <alignment vertical="center"/>
    </xf>
    <xf numFmtId="177" fontId="62" fillId="0" borderId="0" xfId="11" applyNumberFormat="1" applyFont="1" applyAlignment="1">
      <alignment vertical="center" shrinkToFit="1"/>
    </xf>
    <xf numFmtId="38" fontId="62" fillId="0" borderId="0" xfId="11" applyNumberFormat="1" applyFont="1" applyAlignment="1">
      <alignment vertical="center" shrinkToFit="1"/>
    </xf>
    <xf numFmtId="41" fontId="62" fillId="0" borderId="0" xfId="80" applyFont="1" applyFill="1" applyBorder="1" applyAlignment="1">
      <alignment vertical="center" shrinkToFit="1"/>
    </xf>
    <xf numFmtId="0" fontId="62" fillId="0" borderId="2" xfId="11" applyFont="1" applyBorder="1" applyAlignment="1">
      <alignment vertical="top"/>
    </xf>
    <xf numFmtId="0" fontId="55" fillId="0" borderId="25" xfId="3" applyNumberFormat="1" applyFont="1" applyBorder="1" applyAlignment="1">
      <alignment horizontal="left" vertical="center"/>
    </xf>
    <xf numFmtId="41" fontId="71" fillId="0" borderId="6" xfId="3" applyFont="1" applyBorder="1" applyAlignment="1">
      <alignment horizontal="center" vertical="center"/>
    </xf>
    <xf numFmtId="41" fontId="55" fillId="0" borderId="16" xfId="3" applyFont="1" applyBorder="1" applyAlignment="1">
      <alignment horizontal="right" vertical="center"/>
    </xf>
    <xf numFmtId="0" fontId="62" fillId="0" borderId="3" xfId="11" applyFont="1" applyBorder="1" applyAlignment="1">
      <alignment vertical="center" shrinkToFit="1"/>
    </xf>
    <xf numFmtId="41" fontId="64" fillId="0" borderId="18" xfId="11" applyNumberFormat="1" applyFont="1" applyBorder="1" applyAlignment="1">
      <alignment vertical="center"/>
    </xf>
    <xf numFmtId="41" fontId="62" fillId="0" borderId="132" xfId="80" applyFont="1" applyFill="1" applyBorder="1" applyAlignment="1">
      <alignment vertical="center" shrinkToFit="1"/>
    </xf>
    <xf numFmtId="0" fontId="62" fillId="0" borderId="2" xfId="11" applyFont="1" applyBorder="1" applyAlignment="1">
      <alignment vertical="center" shrinkToFit="1"/>
    </xf>
    <xf numFmtId="177" fontId="55" fillId="5" borderId="0" xfId="5" applyNumberFormat="1" applyFont="1" applyFill="1">
      <alignment vertical="center"/>
    </xf>
    <xf numFmtId="177" fontId="55" fillId="5" borderId="0" xfId="5" applyNumberFormat="1" applyFont="1" applyFill="1" applyAlignment="1">
      <alignment horizontal="center" vertical="center"/>
    </xf>
    <xf numFmtId="0" fontId="55" fillId="5" borderId="10" xfId="5" applyFont="1" applyFill="1" applyBorder="1" applyAlignment="1">
      <alignment horizontal="justify" vertical="center"/>
    </xf>
    <xf numFmtId="177" fontId="55" fillId="5" borderId="0" xfId="5" applyNumberFormat="1" applyFont="1" applyFill="1" applyAlignment="1">
      <alignment vertical="center" shrinkToFit="1"/>
    </xf>
    <xf numFmtId="41" fontId="62" fillId="0" borderId="131" xfId="80" applyFont="1" applyFill="1" applyBorder="1" applyAlignment="1">
      <alignment vertical="center" shrinkToFit="1"/>
    </xf>
    <xf numFmtId="41" fontId="76" fillId="0" borderId="131" xfId="12" applyFont="1" applyBorder="1" applyAlignment="1">
      <alignment vertical="center"/>
    </xf>
    <xf numFmtId="0" fontId="62" fillId="0" borderId="19" xfId="11" applyFont="1" applyBorder="1" applyAlignment="1">
      <alignment vertical="center"/>
    </xf>
    <xf numFmtId="0" fontId="62" fillId="0" borderId="20" xfId="11" applyFont="1" applyBorder="1" applyAlignment="1">
      <alignment vertical="center"/>
    </xf>
    <xf numFmtId="0" fontId="62" fillId="0" borderId="20" xfId="11" applyFont="1" applyBorder="1" applyAlignment="1">
      <alignment vertical="top"/>
    </xf>
    <xf numFmtId="0" fontId="62" fillId="0" borderId="20" xfId="11" applyFont="1" applyBorder="1" applyAlignment="1">
      <alignment vertical="center" shrinkToFit="1"/>
    </xf>
    <xf numFmtId="0" fontId="8" fillId="0" borderId="132" xfId="96" applyNumberFormat="1" applyFont="1" applyFill="1" applyBorder="1"/>
    <xf numFmtId="178" fontId="51" fillId="5" borderId="23" xfId="12" applyNumberFormat="1" applyFont="1" applyFill="1" applyBorder="1" applyAlignment="1">
      <alignment vertical="center"/>
    </xf>
    <xf numFmtId="176" fontId="51" fillId="5" borderId="23" xfId="12" applyNumberFormat="1" applyFont="1" applyFill="1" applyBorder="1" applyAlignment="1">
      <alignment horizontal="right" vertical="center" shrinkToFit="1"/>
    </xf>
    <xf numFmtId="178" fontId="51" fillId="5" borderId="8" xfId="12" applyNumberFormat="1" applyFont="1" applyFill="1" applyBorder="1" applyAlignment="1">
      <alignment vertical="center"/>
    </xf>
    <xf numFmtId="176" fontId="51" fillId="5" borderId="8" xfId="12" applyNumberFormat="1" applyFont="1" applyFill="1" applyBorder="1" applyAlignment="1">
      <alignment horizontal="right" vertical="center" shrinkToFit="1"/>
    </xf>
    <xf numFmtId="178" fontId="51" fillId="5" borderId="7" xfId="12" applyNumberFormat="1" applyFont="1" applyFill="1" applyBorder="1" applyAlignment="1">
      <alignment vertical="center"/>
    </xf>
    <xf numFmtId="176" fontId="51" fillId="5" borderId="7" xfId="12" applyNumberFormat="1" applyFont="1" applyFill="1" applyBorder="1" applyAlignment="1">
      <alignment horizontal="right" vertical="center" shrinkToFit="1"/>
    </xf>
    <xf numFmtId="185" fontId="51" fillId="5" borderId="3" xfId="12" applyNumberFormat="1" applyFont="1" applyFill="1" applyBorder="1" applyAlignment="1">
      <alignment vertical="center"/>
    </xf>
    <xf numFmtId="176" fontId="51" fillId="5" borderId="3" xfId="12" applyNumberFormat="1" applyFont="1" applyFill="1" applyBorder="1" applyAlignment="1">
      <alignment horizontal="right" vertical="center" shrinkToFit="1"/>
    </xf>
    <xf numFmtId="181" fontId="51" fillId="5" borderId="3" xfId="12" applyNumberFormat="1" applyFont="1" applyFill="1" applyBorder="1" applyAlignment="1">
      <alignment vertical="center"/>
    </xf>
    <xf numFmtId="182" fontId="51" fillId="5" borderId="2" xfId="12" applyNumberFormat="1" applyFont="1" applyFill="1" applyBorder="1" applyAlignment="1">
      <alignment vertical="center"/>
    </xf>
    <xf numFmtId="182" fontId="51" fillId="5" borderId="3" xfId="12" applyNumberFormat="1" applyFont="1" applyFill="1" applyBorder="1" applyAlignment="1">
      <alignment vertical="center"/>
    </xf>
    <xf numFmtId="182" fontId="51" fillId="5" borderId="7" xfId="12" applyNumberFormat="1" applyFont="1" applyFill="1" applyBorder="1" applyAlignment="1">
      <alignment vertical="center"/>
    </xf>
    <xf numFmtId="178" fontId="51" fillId="5" borderId="2" xfId="12" applyNumberFormat="1" applyFont="1" applyFill="1" applyBorder="1" applyAlignment="1">
      <alignment vertical="center"/>
    </xf>
    <xf numFmtId="176" fontId="51" fillId="5" borderId="2" xfId="12" applyNumberFormat="1" applyFont="1" applyFill="1" applyBorder="1" applyAlignment="1">
      <alignment vertical="center"/>
    </xf>
    <xf numFmtId="0" fontId="62" fillId="0" borderId="17" xfId="0" applyNumberFormat="1" applyFont="1" applyFill="1" applyBorder="1" applyAlignment="1">
      <alignment vertical="center"/>
    </xf>
    <xf numFmtId="0" fontId="62" fillId="0" borderId="2" xfId="0" applyNumberFormat="1" applyFont="1" applyFill="1" applyBorder="1" applyAlignment="1">
      <alignment vertical="center" wrapText="1"/>
    </xf>
    <xf numFmtId="0" fontId="62" fillId="0" borderId="29" xfId="0" applyNumberFormat="1" applyFont="1" applyFill="1" applyBorder="1" applyAlignment="1">
      <alignment vertical="center" wrapText="1"/>
    </xf>
    <xf numFmtId="0" fontId="0" fillId="0" borderId="0" xfId="0">
      <alignment vertical="center"/>
    </xf>
    <xf numFmtId="41" fontId="55" fillId="0" borderId="0" xfId="12" quotePrefix="1" applyNumberFormat="1" applyFont="1" applyFill="1" applyBorder="1" applyAlignment="1">
      <alignment horizontal="left" vertical="center" shrinkToFit="1"/>
    </xf>
    <xf numFmtId="0" fontId="55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shrinkToFit="1"/>
    </xf>
    <xf numFmtId="0" fontId="34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55" fillId="0" borderId="0" xfId="0" applyNumberFormat="1" applyFont="1" applyFill="1" applyBorder="1" applyAlignment="1">
      <alignment vertical="center"/>
    </xf>
    <xf numFmtId="0" fontId="54" fillId="0" borderId="0" xfId="0" applyFont="1" applyFill="1" applyBorder="1" applyAlignment="1">
      <alignment horizontal="center" vertical="center"/>
    </xf>
    <xf numFmtId="0" fontId="55" fillId="0" borderId="25" xfId="5" applyNumberFormat="1" applyFont="1" applyFill="1" applyBorder="1" applyAlignment="1">
      <alignment vertical="center" shrinkToFit="1"/>
    </xf>
    <xf numFmtId="41" fontId="55" fillId="0" borderId="16" xfId="14" applyNumberFormat="1" applyFont="1" applyFill="1" applyBorder="1" applyAlignment="1">
      <alignment vertical="center" shrinkToFit="1"/>
    </xf>
    <xf numFmtId="41" fontId="54" fillId="0" borderId="10" xfId="14" applyNumberFormat="1" applyFont="1" applyFill="1" applyBorder="1" applyAlignment="1">
      <alignment vertical="center" shrinkToFit="1"/>
    </xf>
    <xf numFmtId="0" fontId="55" fillId="0" borderId="0" xfId="0" applyNumberFormat="1" applyFont="1" applyFill="1" applyBorder="1" applyAlignment="1">
      <alignment vertical="center" shrinkToFit="1"/>
    </xf>
    <xf numFmtId="0" fontId="55" fillId="0" borderId="0" xfId="0" quotePrefix="1" applyNumberFormat="1" applyFont="1" applyFill="1" applyBorder="1" applyAlignment="1">
      <alignment horizontal="center" vertical="center"/>
    </xf>
    <xf numFmtId="41" fontId="55" fillId="0" borderId="10" xfId="14" applyNumberFormat="1" applyFont="1" applyFill="1" applyBorder="1" applyAlignment="1">
      <alignment vertical="center" shrinkToFit="1"/>
    </xf>
    <xf numFmtId="0" fontId="34" fillId="0" borderId="0" xfId="0" applyFont="1" applyFill="1" applyBorder="1" applyAlignment="1">
      <alignment horizontal="center" vertical="center" shrinkToFit="1"/>
    </xf>
    <xf numFmtId="0" fontId="34" fillId="0" borderId="12" xfId="0" applyFont="1" applyFill="1" applyBorder="1" applyAlignment="1">
      <alignment horizontal="left" vertical="center" shrinkToFit="1"/>
    </xf>
    <xf numFmtId="0" fontId="14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left" vertical="center" shrinkToFit="1"/>
    </xf>
    <xf numFmtId="0" fontId="34" fillId="0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shrinkToFit="1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Fill="1" applyBorder="1" applyAlignment="1">
      <alignment horizontal="center" vertical="center" shrinkToFit="1"/>
    </xf>
    <xf numFmtId="0" fontId="55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Alignment="1">
      <alignment vertical="center"/>
    </xf>
    <xf numFmtId="0" fontId="34" fillId="0" borderId="12" xfId="97" applyNumberFormat="1" applyFont="1" applyFill="1" applyBorder="1" applyAlignment="1">
      <alignment vertical="center"/>
    </xf>
    <xf numFmtId="180" fontId="34" fillId="0" borderId="10" xfId="97" applyNumberFormat="1" applyFont="1" applyFill="1" applyBorder="1" applyAlignment="1">
      <alignment vertical="center"/>
    </xf>
    <xf numFmtId="41" fontId="55" fillId="0" borderId="0" xfId="97" applyNumberFormat="1" applyFont="1" applyFill="1" applyAlignment="1">
      <alignment vertical="center"/>
    </xf>
    <xf numFmtId="0" fontId="55" fillId="0" borderId="0" xfId="5" applyNumberFormat="1" applyFont="1" applyFill="1" applyAlignment="1">
      <alignment vertical="center"/>
    </xf>
    <xf numFmtId="41" fontId="34" fillId="0" borderId="10" xfId="97" applyNumberFormat="1" applyFont="1" applyFill="1" applyBorder="1" applyAlignment="1">
      <alignment horizontal="left" vertical="center"/>
    </xf>
    <xf numFmtId="0" fontId="55" fillId="0" borderId="0" xfId="5" applyNumberFormat="1" applyFont="1" applyFill="1" applyAlignment="1"/>
    <xf numFmtId="0" fontId="55" fillId="0" borderId="0" xfId="96" applyNumberFormat="1" applyFont="1" applyFill="1"/>
    <xf numFmtId="41" fontId="34" fillId="0" borderId="10" xfId="97" applyNumberFormat="1" applyFont="1" applyFill="1" applyBorder="1" applyAlignment="1">
      <alignment horizontal="right" vertical="center"/>
    </xf>
    <xf numFmtId="0" fontId="34" fillId="0" borderId="0" xfId="97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 shrinkToFit="1"/>
    </xf>
    <xf numFmtId="0" fontId="8" fillId="0" borderId="0" xfId="0" applyNumberFormat="1" applyFont="1" applyFill="1" applyBorder="1" applyAlignment="1">
      <alignment horizontal="center" vertical="center"/>
    </xf>
    <xf numFmtId="41" fontId="143" fillId="0" borderId="0" xfId="1" applyNumberFormat="1" applyFont="1">
      <alignment vertical="center"/>
    </xf>
    <xf numFmtId="0" fontId="55" fillId="0" borderId="0" xfId="5" applyNumberFormat="1" applyFont="1" applyAlignment="1"/>
    <xf numFmtId="3" fontId="13" fillId="0" borderId="0" xfId="96" applyNumberFormat="1" applyFont="1"/>
    <xf numFmtId="0" fontId="13" fillId="0" borderId="0" xfId="5" applyNumberFormat="1" applyFont="1" applyAlignment="1"/>
    <xf numFmtId="3" fontId="13" fillId="0" borderId="0" xfId="96" applyNumberFormat="1" applyFont="1" applyBorder="1"/>
    <xf numFmtId="3" fontId="13" fillId="0" borderId="0" xfId="5" applyNumberFormat="1" applyFont="1" applyBorder="1" applyAlignment="1"/>
    <xf numFmtId="0" fontId="13" fillId="0" borderId="0" xfId="5" applyNumberFormat="1" applyFont="1" applyBorder="1" applyAlignment="1"/>
    <xf numFmtId="3" fontId="55" fillId="0" borderId="0" xfId="5" applyNumberFormat="1" applyFont="1" applyAlignment="1"/>
    <xf numFmtId="3" fontId="13" fillId="0" borderId="0" xfId="5" applyNumberFormat="1" applyFont="1" applyAlignment="1"/>
    <xf numFmtId="3" fontId="144" fillId="0" borderId="0" xfId="0" applyNumberFormat="1" applyFont="1" applyAlignment="1"/>
    <xf numFmtId="3" fontId="138" fillId="0" borderId="0" xfId="0" applyNumberFormat="1" applyFont="1" applyAlignment="1"/>
    <xf numFmtId="0" fontId="55" fillId="0" borderId="12" xfId="0" applyNumberFormat="1" applyFont="1" applyFill="1" applyBorder="1" applyAlignment="1">
      <alignment horizontal="left" vertical="center" shrinkToFit="1"/>
    </xf>
    <xf numFmtId="41" fontId="55" fillId="0" borderId="10" xfId="97" applyNumberFormat="1" applyFont="1" applyFill="1" applyBorder="1" applyAlignment="1">
      <alignment horizontal="left" vertical="center"/>
    </xf>
    <xf numFmtId="0" fontId="55" fillId="0" borderId="0" xfId="5" applyFont="1" applyFill="1" applyBorder="1" applyAlignment="1">
      <alignment horizontal="justify" vertical="center"/>
    </xf>
    <xf numFmtId="0" fontId="55" fillId="0" borderId="0" xfId="97" applyNumberFormat="1" applyFont="1" applyFill="1" applyBorder="1" applyAlignment="1">
      <alignment horizontal="center" vertical="center"/>
    </xf>
    <xf numFmtId="41" fontId="7" fillId="0" borderId="0" xfId="2" applyNumberFormat="1" applyFont="1" applyBorder="1" applyAlignment="1">
      <alignment vertical="center"/>
    </xf>
    <xf numFmtId="41" fontId="7" fillId="0" borderId="0" xfId="2" applyNumberFormat="1" applyFont="1" applyBorder="1" applyAlignment="1">
      <alignment horizontal="left" vertical="center"/>
    </xf>
    <xf numFmtId="0" fontId="55" fillId="0" borderId="0" xfId="3" quotePrefix="1" applyNumberFormat="1" applyFont="1" applyFill="1" applyBorder="1" applyAlignment="1">
      <alignment horizontal="left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41" fontId="132" fillId="0" borderId="0" xfId="1" applyFont="1">
      <alignment vertical="center"/>
    </xf>
    <xf numFmtId="41" fontId="34" fillId="0" borderId="121" xfId="85" applyNumberFormat="1" applyFont="1" applyFill="1" applyBorder="1" applyAlignment="1">
      <alignment horizontal="right" vertical="center"/>
    </xf>
    <xf numFmtId="41" fontId="34" fillId="0" borderId="0" xfId="85" applyNumberFormat="1" applyFont="1" applyFill="1" applyBorder="1" applyAlignment="1">
      <alignment horizontal="right" vertical="center"/>
    </xf>
    <xf numFmtId="41" fontId="34" fillId="0" borderId="0" xfId="85" applyNumberFormat="1" applyFont="1" applyFill="1" applyBorder="1" applyAlignment="1">
      <alignment horizontal="center" vertical="center"/>
    </xf>
    <xf numFmtId="0" fontId="54" fillId="0" borderId="0" xfId="12" applyNumberFormat="1" applyFont="1" applyBorder="1" applyAlignment="1">
      <alignment horizontal="center" vertical="center"/>
    </xf>
    <xf numFmtId="0" fontId="34" fillId="0" borderId="12" xfId="13" applyFont="1" applyFill="1" applyBorder="1" applyAlignment="1">
      <alignment vertical="center"/>
    </xf>
    <xf numFmtId="0" fontId="34" fillId="0" borderId="0" xfId="11" applyFont="1" applyFill="1" applyBorder="1" applyAlignment="1">
      <alignment vertical="center" shrinkToFit="1"/>
    </xf>
    <xf numFmtId="41" fontId="34" fillId="0" borderId="6" xfId="3" applyNumberFormat="1" applyFont="1" applyFill="1" applyBorder="1" applyAlignment="1">
      <alignment horizontal="left" vertical="center"/>
    </xf>
    <xf numFmtId="41" fontId="107" fillId="0" borderId="0" xfId="1" applyFont="1" applyFill="1">
      <alignment vertical="center"/>
    </xf>
    <xf numFmtId="0" fontId="9" fillId="0" borderId="0" xfId="96" applyNumberFormat="1" applyFont="1" applyFill="1"/>
    <xf numFmtId="3" fontId="55" fillId="0" borderId="0" xfId="5" applyNumberFormat="1" applyFont="1" applyFill="1" applyAlignment="1"/>
    <xf numFmtId="0" fontId="55" fillId="0" borderId="5" xfId="5" applyNumberFormat="1" applyFont="1" applyFill="1" applyBorder="1" applyAlignment="1"/>
    <xf numFmtId="41" fontId="55" fillId="0" borderId="0" xfId="98" applyNumberFormat="1" applyFont="1" applyFill="1" applyAlignment="1">
      <alignment vertical="center"/>
    </xf>
    <xf numFmtId="0" fontId="55" fillId="0" borderId="0" xfId="96" applyNumberFormat="1" applyFont="1" applyFill="1" applyAlignment="1">
      <alignment vertical="center"/>
    </xf>
    <xf numFmtId="41" fontId="55" fillId="0" borderId="0" xfId="97" applyNumberFormat="1" applyFont="1" applyFill="1" applyBorder="1" applyAlignment="1">
      <alignment vertical="center"/>
    </xf>
    <xf numFmtId="0" fontId="55" fillId="0" borderId="0" xfId="97" applyNumberFormat="1" applyFont="1" applyFill="1" applyBorder="1" applyAlignment="1">
      <alignment horizontal="left" vertical="center"/>
    </xf>
    <xf numFmtId="0" fontId="55" fillId="0" borderId="4" xfId="97" applyNumberFormat="1" applyFont="1" applyFill="1" applyBorder="1" applyAlignment="1">
      <alignment horizontal="left" vertical="center"/>
    </xf>
    <xf numFmtId="0" fontId="55" fillId="0" borderId="5" xfId="5" applyNumberFormat="1" applyFont="1" applyFill="1" applyBorder="1" applyAlignment="1">
      <alignment vertical="center"/>
    </xf>
    <xf numFmtId="0" fontId="55" fillId="0" borderId="12" xfId="97" applyNumberFormat="1" applyFont="1" applyFill="1" applyBorder="1" applyAlignment="1">
      <alignment horizontal="left" vertical="center"/>
    </xf>
    <xf numFmtId="41" fontId="54" fillId="0" borderId="18" xfId="98" applyNumberFormat="1" applyFont="1" applyFill="1" applyBorder="1" applyAlignment="1">
      <alignment horizontal="right" vertical="center"/>
    </xf>
    <xf numFmtId="41" fontId="55" fillId="0" borderId="0" xfId="97" applyNumberFormat="1" applyFont="1" applyFill="1" applyBorder="1" applyAlignment="1">
      <alignment horizontal="left" vertical="center" shrinkToFit="1"/>
    </xf>
    <xf numFmtId="41" fontId="55" fillId="0" borderId="4" xfId="97" applyNumberFormat="1" applyFont="1" applyFill="1" applyBorder="1" applyAlignment="1">
      <alignment horizontal="left" vertical="center" shrinkToFit="1"/>
    </xf>
    <xf numFmtId="187" fontId="55" fillId="0" borderId="0" xfId="5" applyNumberFormat="1" applyFont="1" applyAlignment="1"/>
    <xf numFmtId="0" fontId="9" fillId="0" borderId="0" xfId="96" applyNumberFormat="1" applyFont="1"/>
    <xf numFmtId="187" fontId="55" fillId="0" borderId="0" xfId="0" applyNumberFormat="1" applyFont="1" applyFill="1" applyBorder="1" applyAlignment="1">
      <alignment vertical="center" shrinkToFit="1"/>
    </xf>
    <xf numFmtId="0" fontId="13" fillId="0" borderId="8" xfId="96" applyNumberFormat="1" applyFont="1" applyFill="1" applyBorder="1" applyAlignment="1">
      <alignment vertical="center"/>
    </xf>
    <xf numFmtId="0" fontId="13" fillId="0" borderId="8" xfId="96" applyNumberFormat="1" applyFont="1" applyFill="1" applyBorder="1" applyAlignment="1">
      <alignment vertical="top"/>
    </xf>
    <xf numFmtId="0" fontId="9" fillId="0" borderId="0" xfId="3" applyNumberFormat="1" applyFont="1" applyFill="1" applyBorder="1" applyAlignment="1">
      <alignment horizontal="center" vertical="center"/>
    </xf>
    <xf numFmtId="187" fontId="55" fillId="0" borderId="0" xfId="5" applyNumberFormat="1" applyFont="1" applyFill="1" applyBorder="1" applyAlignment="1">
      <alignment vertical="center" shrinkToFit="1"/>
    </xf>
    <xf numFmtId="0" fontId="34" fillId="0" borderId="0" xfId="0" quotePrefix="1" applyNumberFormat="1" applyFont="1" applyFill="1" applyBorder="1" applyAlignment="1">
      <alignment horizontal="center" vertical="center"/>
    </xf>
    <xf numFmtId="0" fontId="8" fillId="0" borderId="131" xfId="96" applyNumberFormat="1" applyFont="1" applyFill="1" applyBorder="1" applyAlignment="1">
      <alignment horizontal="left" vertical="center" wrapText="1"/>
    </xf>
    <xf numFmtId="177" fontId="9" fillId="43" borderId="25" xfId="0" applyNumberFormat="1" applyFont="1" applyFill="1" applyBorder="1" applyAlignment="1">
      <alignment vertical="center"/>
    </xf>
    <xf numFmtId="0" fontId="55" fillId="0" borderId="12" xfId="96" applyNumberFormat="1" applyFont="1" applyFill="1" applyBorder="1" applyAlignment="1">
      <alignment horizontal="justify" vertical="center"/>
    </xf>
    <xf numFmtId="3" fontId="54" fillId="0" borderId="10" xfId="96" applyNumberFormat="1" applyFont="1" applyFill="1" applyBorder="1" applyAlignment="1">
      <alignment horizontal="right" vertical="center"/>
    </xf>
    <xf numFmtId="0" fontId="55" fillId="0" borderId="0" xfId="99" applyNumberFormat="1" applyFont="1" applyFill="1" applyBorder="1" applyAlignment="1">
      <alignment horizontal="center" vertical="center" shrinkToFit="1"/>
    </xf>
    <xf numFmtId="3" fontId="55" fillId="0" borderId="10" xfId="5" applyNumberFormat="1" applyFont="1" applyFill="1" applyBorder="1" applyAlignment="1">
      <alignment horizontal="right" vertical="center"/>
    </xf>
    <xf numFmtId="0" fontId="55" fillId="0" borderId="0" xfId="5" quotePrefix="1" applyNumberFormat="1" applyFont="1" applyFill="1" applyBorder="1" applyAlignment="1">
      <alignment horizontal="justify" vertical="center"/>
    </xf>
    <xf numFmtId="41" fontId="55" fillId="0" borderId="0" xfId="98" applyNumberFormat="1" applyFont="1" applyFill="1" applyBorder="1" applyAlignment="1">
      <alignment vertical="center"/>
    </xf>
    <xf numFmtId="0" fontId="55" fillId="0" borderId="0" xfId="96" applyNumberFormat="1" applyFont="1" applyFill="1" applyBorder="1" applyAlignment="1">
      <alignment vertical="center"/>
    </xf>
    <xf numFmtId="41" fontId="55" fillId="0" borderId="4" xfId="98" applyNumberFormat="1" applyFont="1" applyFill="1" applyBorder="1" applyAlignment="1">
      <alignment horizontal="left" vertical="center" shrinkToFit="1"/>
    </xf>
    <xf numFmtId="0" fontId="55" fillId="0" borderId="5" xfId="96" applyFont="1" applyFill="1" applyBorder="1" applyAlignment="1">
      <alignment horizontal="center" vertical="center"/>
    </xf>
    <xf numFmtId="180" fontId="55" fillId="0" borderId="11" xfId="97" applyNumberFormat="1" applyFont="1" applyFill="1" applyBorder="1" applyAlignment="1">
      <alignment vertical="center"/>
    </xf>
    <xf numFmtId="0" fontId="55" fillId="0" borderId="12" xfId="5" applyFont="1" applyFill="1" applyBorder="1" applyAlignment="1">
      <alignment vertical="center"/>
    </xf>
    <xf numFmtId="0" fontId="55" fillId="0" borderId="0" xfId="5" applyFont="1" applyFill="1" applyBorder="1" applyAlignment="1">
      <alignment horizontal="center" vertical="center" shrinkToFit="1"/>
    </xf>
    <xf numFmtId="178" fontId="55" fillId="0" borderId="10" xfId="97" applyNumberFormat="1" applyFont="1" applyFill="1" applyBorder="1" applyAlignment="1">
      <alignment horizontal="right" vertical="center"/>
    </xf>
    <xf numFmtId="178" fontId="55" fillId="0" borderId="10" xfId="97" applyNumberFormat="1" applyFont="1" applyBorder="1" applyAlignment="1">
      <alignment vertical="center"/>
    </xf>
    <xf numFmtId="178" fontId="145" fillId="0" borderId="18" xfId="97" applyNumberFormat="1" applyFont="1" applyBorder="1" applyAlignment="1">
      <alignment vertical="center"/>
    </xf>
    <xf numFmtId="41" fontId="132" fillId="0" borderId="0" xfId="1" applyFont="1">
      <alignment vertical="center"/>
    </xf>
    <xf numFmtId="177" fontId="34" fillId="5" borderId="32" xfId="0" applyNumberFormat="1" applyFont="1" applyFill="1" applyBorder="1" applyAlignment="1">
      <alignment horizontal="left" vertical="center"/>
    </xf>
    <xf numFmtId="0" fontId="62" fillId="5" borderId="3" xfId="11" applyFont="1" applyFill="1" applyBorder="1" applyAlignment="1">
      <alignment vertical="center" shrinkToFit="1"/>
    </xf>
    <xf numFmtId="176" fontId="55" fillId="5" borderId="3" xfId="80" applyNumberFormat="1" applyFont="1" applyFill="1" applyBorder="1" applyAlignment="1">
      <alignment horizontal="right" vertical="center" shrinkToFit="1"/>
    </xf>
    <xf numFmtId="176" fontId="62" fillId="5" borderId="3" xfId="80" applyNumberFormat="1" applyFont="1" applyFill="1" applyBorder="1" applyAlignment="1">
      <alignment horizontal="right" vertical="center"/>
    </xf>
    <xf numFmtId="0" fontId="34" fillId="5" borderId="30" xfId="12" applyNumberFormat="1" applyFont="1" applyFill="1" applyBorder="1" applyAlignment="1">
      <alignment horizontal="left" vertical="center"/>
    </xf>
    <xf numFmtId="0" fontId="34" fillId="5" borderId="1" xfId="12" quotePrefix="1" applyNumberFormat="1" applyFont="1" applyFill="1" applyBorder="1" applyAlignment="1">
      <alignment horizontal="center" vertical="center"/>
    </xf>
    <xf numFmtId="41" fontId="51" fillId="5" borderId="18" xfId="12" applyFont="1" applyFill="1" applyBorder="1" applyAlignment="1">
      <alignment vertical="center"/>
    </xf>
    <xf numFmtId="41" fontId="62" fillId="5" borderId="0" xfId="80" applyFont="1" applyFill="1" applyBorder="1" applyAlignment="1">
      <alignment vertical="center" shrinkToFit="1"/>
    </xf>
    <xf numFmtId="38" fontId="63" fillId="5" borderId="0" xfId="11" applyNumberFormat="1" applyFont="1" applyFill="1" applyAlignment="1">
      <alignment vertical="center"/>
    </xf>
    <xf numFmtId="177" fontId="62" fillId="5" borderId="0" xfId="11" applyNumberFormat="1" applyFont="1" applyFill="1" applyAlignment="1">
      <alignment vertical="center" shrinkToFit="1"/>
    </xf>
    <xf numFmtId="190" fontId="62" fillId="5" borderId="0" xfId="80" applyNumberFormat="1" applyFont="1" applyFill="1" applyBorder="1" applyAlignment="1">
      <alignment vertical="center" shrinkToFit="1"/>
    </xf>
    <xf numFmtId="38" fontId="62" fillId="5" borderId="0" xfId="11" applyNumberFormat="1" applyFont="1" applyFill="1" applyAlignment="1">
      <alignment vertical="center" shrinkToFit="1"/>
    </xf>
    <xf numFmtId="0" fontId="62" fillId="5" borderId="2" xfId="11" applyFont="1" applyFill="1" applyBorder="1" applyAlignment="1">
      <alignment vertical="center" shrinkToFit="1"/>
    </xf>
    <xf numFmtId="176" fontId="55" fillId="5" borderId="2" xfId="80" applyNumberFormat="1" applyFont="1" applyFill="1" applyBorder="1" applyAlignment="1">
      <alignment horizontal="right" vertical="center" shrinkToFit="1"/>
    </xf>
    <xf numFmtId="176" fontId="62" fillId="5" borderId="2" xfId="80" applyNumberFormat="1" applyFont="1" applyFill="1" applyBorder="1" applyAlignment="1">
      <alignment horizontal="right" vertical="center"/>
    </xf>
    <xf numFmtId="177" fontId="55" fillId="5" borderId="0" xfId="11" applyNumberFormat="1" applyFont="1" applyFill="1" applyAlignment="1">
      <alignment horizontal="center" vertical="center"/>
    </xf>
    <xf numFmtId="41" fontId="62" fillId="5" borderId="0" xfId="80" quotePrefix="1" applyFont="1" applyFill="1" applyBorder="1" applyAlignment="1">
      <alignment vertical="center" shrinkToFit="1"/>
    </xf>
    <xf numFmtId="177" fontId="71" fillId="5" borderId="0" xfId="11" applyNumberFormat="1" applyFont="1" applyFill="1" applyAlignment="1">
      <alignment vertical="center" shrinkToFit="1"/>
    </xf>
    <xf numFmtId="190" fontId="71" fillId="5" borderId="0" xfId="12" applyNumberFormat="1" applyFont="1" applyFill="1" applyBorder="1" applyAlignment="1">
      <alignment vertical="center" shrinkToFit="1"/>
    </xf>
    <xf numFmtId="178" fontId="71" fillId="5" borderId="0" xfId="11" applyNumberFormat="1" applyFont="1" applyFill="1" applyAlignment="1">
      <alignment vertical="center" shrinkToFit="1"/>
    </xf>
    <xf numFmtId="177" fontId="55" fillId="5" borderId="0" xfId="11" applyNumberFormat="1" applyFont="1" applyFill="1" applyAlignment="1">
      <alignment vertical="center"/>
    </xf>
    <xf numFmtId="41" fontId="55" fillId="0" borderId="31" xfId="12" applyFont="1" applyBorder="1" applyAlignment="1">
      <alignment vertical="center"/>
    </xf>
    <xf numFmtId="177" fontId="51" fillId="5" borderId="4" xfId="5" applyNumberFormat="1" applyFont="1" applyFill="1" applyBorder="1" applyAlignment="1">
      <alignment vertical="center"/>
    </xf>
    <xf numFmtId="0" fontId="9" fillId="0" borderId="5" xfId="2" applyNumberFormat="1" applyFont="1" applyFill="1" applyBorder="1" applyAlignment="1">
      <alignment vertical="center"/>
    </xf>
    <xf numFmtId="0" fontId="9" fillId="0" borderId="9" xfId="2" applyNumberFormat="1" applyFont="1" applyFill="1" applyBorder="1" applyAlignment="1">
      <alignment vertical="center"/>
    </xf>
    <xf numFmtId="0" fontId="65" fillId="0" borderId="19" xfId="96" applyFont="1" applyBorder="1" applyAlignment="1">
      <alignment vertical="center"/>
    </xf>
    <xf numFmtId="0" fontId="65" fillId="0" borderId="20" xfId="96" applyFont="1" applyBorder="1" applyAlignment="1">
      <alignment vertical="center"/>
    </xf>
    <xf numFmtId="41" fontId="76" fillId="0" borderId="20" xfId="97" applyFont="1" applyFill="1" applyBorder="1" applyAlignment="1">
      <alignment vertical="center"/>
    </xf>
    <xf numFmtId="176" fontId="65" fillId="0" borderId="20" xfId="97" applyNumberFormat="1" applyFont="1" applyFill="1" applyBorder="1" applyAlignment="1">
      <alignment vertical="center"/>
    </xf>
    <xf numFmtId="0" fontId="55" fillId="0" borderId="28" xfId="5" applyFont="1" applyFill="1" applyBorder="1" applyAlignment="1">
      <alignment horizontal="justify" vertical="center" wrapText="1"/>
    </xf>
    <xf numFmtId="41" fontId="71" fillId="0" borderId="21" xfId="97" applyFont="1" applyFill="1" applyBorder="1" applyAlignment="1">
      <alignment horizontal="center" vertical="center"/>
    </xf>
    <xf numFmtId="41" fontId="55" fillId="0" borderId="31" xfId="97" applyNumberFormat="1" applyFont="1" applyFill="1" applyBorder="1" applyAlignment="1">
      <alignment horizontal="left" vertical="center"/>
    </xf>
    <xf numFmtId="0" fontId="52" fillId="0" borderId="47" xfId="9" applyFont="1" applyBorder="1" applyAlignment="1">
      <alignment horizontal="center" vertical="center" wrapText="1"/>
    </xf>
    <xf numFmtId="180" fontId="51" fillId="0" borderId="18" xfId="3" applyNumberFormat="1" applyFont="1" applyFill="1" applyBorder="1" applyAlignment="1">
      <alignment vertical="center"/>
    </xf>
    <xf numFmtId="0" fontId="51" fillId="0" borderId="12" xfId="3" applyNumberFormat="1" applyFont="1" applyFill="1" applyBorder="1" applyAlignment="1">
      <alignment horizontal="left" vertical="center"/>
    </xf>
    <xf numFmtId="180" fontId="51" fillId="0" borderId="10" xfId="3" applyNumberFormat="1" applyFont="1" applyFill="1" applyBorder="1" applyAlignment="1">
      <alignment vertical="center"/>
    </xf>
    <xf numFmtId="0" fontId="55" fillId="0" borderId="12" xfId="5" quotePrefix="1" applyNumberFormat="1" applyFont="1" applyFill="1" applyBorder="1" applyAlignment="1">
      <alignment horizontal="justify" vertical="center" wrapText="1"/>
    </xf>
    <xf numFmtId="176" fontId="8" fillId="0" borderId="20" xfId="3" applyNumberFormat="1" applyFont="1" applyFill="1" applyBorder="1" applyAlignment="1">
      <alignment horizontal="right" vertical="center"/>
    </xf>
    <xf numFmtId="188" fontId="54" fillId="0" borderId="0" xfId="11" applyNumberFormat="1" applyFont="1" applyBorder="1" applyAlignment="1">
      <alignment vertical="center" shrinkToFit="1"/>
    </xf>
    <xf numFmtId="177" fontId="147" fillId="0" borderId="0" xfId="5" applyNumberFormat="1" applyFont="1" applyBorder="1" applyAlignment="1">
      <alignment vertical="center" wrapText="1"/>
    </xf>
    <xf numFmtId="0" fontId="55" fillId="0" borderId="30" xfId="95" applyNumberFormat="1" applyFont="1" applyFill="1" applyBorder="1" applyAlignment="1">
      <alignment horizontal="left" vertical="center"/>
    </xf>
    <xf numFmtId="0" fontId="55" fillId="0" borderId="1" xfId="5" quotePrefix="1" applyNumberFormat="1" applyFont="1" applyFill="1" applyBorder="1" applyAlignment="1">
      <alignment horizontal="center" vertical="center"/>
    </xf>
    <xf numFmtId="41" fontId="54" fillId="0" borderId="18" xfId="11" applyNumberFormat="1" applyFont="1" applyFill="1" applyBorder="1" applyAlignment="1">
      <alignment vertical="center"/>
    </xf>
    <xf numFmtId="41" fontId="62" fillId="0" borderId="16" xfId="98" applyNumberFormat="1" applyFont="1" applyFill="1" applyBorder="1" applyAlignment="1">
      <alignment horizontal="right" vertical="center"/>
    </xf>
    <xf numFmtId="41" fontId="54" fillId="0" borderId="16" xfId="101" applyFont="1" applyFill="1" applyBorder="1" applyAlignment="1">
      <alignment vertical="center"/>
    </xf>
    <xf numFmtId="41" fontId="146" fillId="0" borderId="18" xfId="98" applyNumberFormat="1" applyFont="1" applyFill="1" applyBorder="1" applyAlignment="1">
      <alignment horizontal="left" vertical="center"/>
    </xf>
    <xf numFmtId="41" fontId="55" fillId="0" borderId="18" xfId="98" applyFont="1" applyFill="1" applyBorder="1" applyAlignment="1">
      <alignment vertical="center"/>
    </xf>
    <xf numFmtId="41" fontId="146" fillId="0" borderId="18" xfId="98" applyFont="1" applyFill="1" applyBorder="1" applyAlignment="1">
      <alignment horizontal="right" vertical="center"/>
    </xf>
    <xf numFmtId="41" fontId="146" fillId="0" borderId="18" xfId="98" applyNumberFormat="1" applyFont="1" applyFill="1" applyBorder="1" applyAlignment="1">
      <alignment horizontal="right" vertical="center"/>
    </xf>
    <xf numFmtId="41" fontId="54" fillId="0" borderId="16" xfId="98" applyFont="1" applyFill="1" applyBorder="1" applyAlignment="1">
      <alignment vertical="center"/>
    </xf>
    <xf numFmtId="41" fontId="146" fillId="0" borderId="18" xfId="98" applyFont="1" applyFill="1" applyBorder="1" applyAlignment="1">
      <alignment vertical="center"/>
    </xf>
    <xf numFmtId="41" fontId="54" fillId="0" borderId="10" xfId="98" applyFont="1" applyFill="1" applyBorder="1" applyAlignment="1">
      <alignment vertical="center"/>
    </xf>
    <xf numFmtId="180" fontId="55" fillId="0" borderId="10" xfId="97" applyNumberFormat="1" applyFont="1" applyFill="1" applyBorder="1" applyAlignment="1">
      <alignment vertical="center"/>
    </xf>
    <xf numFmtId="38" fontId="54" fillId="0" borderId="16" xfId="98" applyNumberFormat="1" applyFont="1" applyFill="1" applyBorder="1" applyAlignment="1">
      <alignment horizontal="right" vertical="center"/>
    </xf>
    <xf numFmtId="41" fontId="54" fillId="0" borderId="10" xfId="98" applyFont="1" applyFill="1" applyBorder="1" applyAlignment="1">
      <alignment horizontal="right" vertical="center"/>
    </xf>
    <xf numFmtId="0" fontId="10" fillId="0" borderId="17" xfId="96" applyNumberFormat="1" applyFont="1" applyBorder="1" applyAlignment="1">
      <alignment vertical="center"/>
    </xf>
    <xf numFmtId="41" fontId="55" fillId="0" borderId="10" xfId="97" applyNumberFormat="1" applyFont="1" applyFill="1" applyBorder="1" applyAlignment="1">
      <alignment vertical="center"/>
    </xf>
    <xf numFmtId="187" fontId="33" fillId="0" borderId="0" xfId="11" applyNumberFormat="1" applyFont="1" applyAlignment="1">
      <alignment vertical="center"/>
    </xf>
    <xf numFmtId="187" fontId="8" fillId="0" borderId="0" xfId="2" applyNumberFormat="1" applyFont="1" applyBorder="1" applyAlignment="1">
      <alignment vertical="center"/>
    </xf>
    <xf numFmtId="187" fontId="62" fillId="0" borderId="0" xfId="11" applyNumberFormat="1" applyFont="1" applyFill="1" applyAlignment="1">
      <alignment vertical="center"/>
    </xf>
    <xf numFmtId="187" fontId="34" fillId="0" borderId="0" xfId="11" applyNumberFormat="1" applyFont="1" applyAlignment="1">
      <alignment vertical="center"/>
    </xf>
    <xf numFmtId="187" fontId="34" fillId="0" borderId="0" xfId="11" applyNumberFormat="1" applyFont="1" applyBorder="1" applyAlignment="1">
      <alignment vertical="center"/>
    </xf>
    <xf numFmtId="187" fontId="16" fillId="0" borderId="0" xfId="11" applyNumberFormat="1"/>
    <xf numFmtId="41" fontId="120" fillId="0" borderId="208" xfId="94" applyFont="1" applyFill="1" applyBorder="1" applyAlignment="1">
      <alignment vertical="center" shrinkToFit="1"/>
    </xf>
    <xf numFmtId="0" fontId="39" fillId="0" borderId="48" xfId="93" applyFont="1" applyFill="1" applyBorder="1" applyAlignment="1" applyProtection="1">
      <alignment horizontal="left" vertical="center"/>
      <protection locked="0"/>
    </xf>
    <xf numFmtId="0" fontId="39" fillId="0" borderId="48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53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51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51" xfId="93" applyNumberFormat="1" applyFill="1" applyBorder="1" applyAlignment="1" applyProtection="1">
      <alignment horizontal="left" vertical="center" wrapText="1"/>
      <protection locked="0"/>
    </xf>
    <xf numFmtId="0" fontId="40" fillId="0" borderId="51" xfId="93" applyFont="1" applyBorder="1" applyAlignment="1">
      <alignment vertical="center" wrapText="1"/>
    </xf>
    <xf numFmtId="41" fontId="121" fillId="0" borderId="51" xfId="94" applyFont="1" applyFill="1" applyBorder="1" applyAlignment="1">
      <alignment vertical="center" shrinkToFit="1"/>
    </xf>
    <xf numFmtId="0" fontId="34" fillId="0" borderId="54" xfId="93" applyFont="1" applyFill="1" applyBorder="1" applyAlignment="1" applyProtection="1">
      <alignment horizontal="left" vertical="center" wrapText="1"/>
      <protection locked="0"/>
    </xf>
    <xf numFmtId="0" fontId="40" fillId="0" borderId="48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49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49" xfId="93" applyFont="1" applyBorder="1" applyAlignment="1">
      <alignment horizontal="left" vertical="center" wrapText="1" shrinkToFit="1"/>
    </xf>
    <xf numFmtId="0" fontId="40" fillId="0" borderId="231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58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58" xfId="93" applyFont="1" applyFill="1" applyBorder="1" applyAlignment="1" applyProtection="1">
      <alignment vertical="center" wrapText="1"/>
      <protection locked="0"/>
    </xf>
    <xf numFmtId="0" fontId="40" fillId="0" borderId="58" xfId="93" applyFont="1" applyBorder="1" applyAlignment="1">
      <alignment horizontal="left" vertical="center" wrapText="1" shrinkToFit="1"/>
    </xf>
    <xf numFmtId="0" fontId="25" fillId="0" borderId="0" xfId="9" applyFont="1" applyAlignment="1">
      <alignment horizontal="center"/>
    </xf>
    <xf numFmtId="0" fontId="17" fillId="0" borderId="0" xfId="9" applyFont="1" applyAlignment="1">
      <alignment horizontal="right" vertical="center"/>
    </xf>
    <xf numFmtId="0" fontId="129" fillId="0" borderId="0" xfId="9" applyFont="1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130" fillId="0" borderId="0" xfId="9" applyFont="1" applyAlignment="1">
      <alignment horizontal="center" vertical="center"/>
    </xf>
    <xf numFmtId="0" fontId="23" fillId="0" borderId="0" xfId="9" applyFont="1" applyAlignment="1">
      <alignment horizontal="center"/>
    </xf>
    <xf numFmtId="0" fontId="24" fillId="0" borderId="0" xfId="9" applyFont="1" applyAlignment="1">
      <alignment horizontal="center"/>
    </xf>
    <xf numFmtId="0" fontId="26" fillId="0" borderId="0" xfId="9" applyFont="1" applyAlignment="1">
      <alignment horizontal="center" vertical="center"/>
    </xf>
    <xf numFmtId="0" fontId="28" fillId="0" borderId="0" xfId="9" applyFont="1" applyAlignment="1">
      <alignment horizontal="left" vertical="center"/>
    </xf>
    <xf numFmtId="0" fontId="27" fillId="0" borderId="0" xfId="9" applyFont="1" applyAlignment="1">
      <alignment horizontal="center" vertical="center"/>
    </xf>
    <xf numFmtId="0" fontId="27" fillId="0" borderId="0" xfId="9" applyFont="1" applyAlignment="1">
      <alignment horizontal="left" vertical="center"/>
    </xf>
    <xf numFmtId="0" fontId="30" fillId="0" borderId="0" xfId="9" applyFont="1" applyAlignment="1">
      <alignment horizontal="center"/>
    </xf>
    <xf numFmtId="0" fontId="33" fillId="0" borderId="55" xfId="9" applyFont="1" applyBorder="1" applyAlignment="1">
      <alignment horizontal="left" vertical="center"/>
    </xf>
    <xf numFmtId="0" fontId="33" fillId="0" borderId="56" xfId="9" applyFont="1" applyBorder="1" applyAlignment="1">
      <alignment horizontal="left" vertical="center"/>
    </xf>
    <xf numFmtId="0" fontId="33" fillId="0" borderId="57" xfId="9" applyFont="1" applyBorder="1" applyAlignment="1">
      <alignment horizontal="left" vertical="center"/>
    </xf>
    <xf numFmtId="0" fontId="32" fillId="0" borderId="0" xfId="9" applyFont="1" applyAlignment="1">
      <alignment horizontal="left" vertical="center"/>
    </xf>
    <xf numFmtId="0" fontId="35" fillId="3" borderId="41" xfId="9" applyFont="1" applyFill="1" applyBorder="1" applyAlignment="1">
      <alignment horizontal="center" vertical="center"/>
    </xf>
    <xf numFmtId="0" fontId="35" fillId="3" borderId="42" xfId="9" applyFont="1" applyFill="1" applyBorder="1" applyAlignment="1">
      <alignment horizontal="center" vertical="center"/>
    </xf>
    <xf numFmtId="0" fontId="33" fillId="0" borderId="44" xfId="9" applyFont="1" applyBorder="1" applyAlignment="1">
      <alignment horizontal="left" vertical="center" wrapText="1"/>
    </xf>
    <xf numFmtId="0" fontId="33" fillId="0" borderId="48" xfId="9" applyFont="1" applyBorder="1" applyAlignment="1">
      <alignment horizontal="left" vertical="center" wrapText="1"/>
    </xf>
    <xf numFmtId="0" fontId="33" fillId="0" borderId="53" xfId="9" applyFont="1" applyBorder="1" applyAlignment="1">
      <alignment horizontal="left" vertical="center" wrapText="1"/>
    </xf>
    <xf numFmtId="0" fontId="33" fillId="0" borderId="55" xfId="9" applyFont="1" applyBorder="1" applyAlignment="1">
      <alignment horizontal="left" vertical="center" wrapText="1"/>
    </xf>
    <xf numFmtId="0" fontId="33" fillId="0" borderId="56" xfId="9" applyFont="1" applyBorder="1" applyAlignment="1">
      <alignment horizontal="left" vertical="center" wrapText="1"/>
    </xf>
    <xf numFmtId="0" fontId="33" fillId="0" borderId="57" xfId="9" applyFont="1" applyBorder="1" applyAlignment="1">
      <alignment horizontal="left" vertical="center" wrapText="1"/>
    </xf>
    <xf numFmtId="0" fontId="33" fillId="0" borderId="0" xfId="9" applyFont="1" applyAlignment="1">
      <alignment horizontal="left"/>
    </xf>
    <xf numFmtId="0" fontId="41" fillId="0" borderId="0" xfId="9" applyFont="1" applyAlignment="1">
      <alignment horizontal="right"/>
    </xf>
    <xf numFmtId="41" fontId="42" fillId="0" borderId="0" xfId="10" applyFont="1" applyAlignment="1">
      <alignment horizontal="right"/>
    </xf>
    <xf numFmtId="0" fontId="33" fillId="0" borderId="0" xfId="9" applyFont="1" applyAlignment="1">
      <alignment horizontal="left" wrapText="1"/>
    </xf>
    <xf numFmtId="0" fontId="38" fillId="0" borderId="0" xfId="9" applyFont="1" applyAlignment="1">
      <alignment horizontal="left"/>
    </xf>
    <xf numFmtId="0" fontId="39" fillId="0" borderId="62" xfId="9" applyFont="1" applyFill="1" applyBorder="1" applyAlignment="1">
      <alignment horizontal="center" vertical="center"/>
    </xf>
    <xf numFmtId="0" fontId="39" fillId="0" borderId="63" xfId="9" applyFont="1" applyFill="1" applyBorder="1" applyAlignment="1">
      <alignment horizontal="center" vertical="center"/>
    </xf>
    <xf numFmtId="0" fontId="39" fillId="0" borderId="64" xfId="9" applyFont="1" applyFill="1" applyBorder="1" applyAlignment="1">
      <alignment horizontal="center" vertical="center"/>
    </xf>
    <xf numFmtId="0" fontId="39" fillId="0" borderId="65" xfId="9" applyFont="1" applyFill="1" applyBorder="1" applyAlignment="1">
      <alignment horizontal="center" vertical="center"/>
    </xf>
    <xf numFmtId="0" fontId="39" fillId="4" borderId="62" xfId="9" applyFont="1" applyFill="1" applyBorder="1" applyAlignment="1">
      <alignment horizontal="center" vertical="center"/>
    </xf>
    <xf numFmtId="0" fontId="39" fillId="4" borderId="63" xfId="9" applyFont="1" applyFill="1" applyBorder="1" applyAlignment="1">
      <alignment horizontal="center" vertical="center"/>
    </xf>
    <xf numFmtId="0" fontId="39" fillId="4" borderId="64" xfId="9" applyFont="1" applyFill="1" applyBorder="1" applyAlignment="1">
      <alignment horizontal="center" vertical="center"/>
    </xf>
    <xf numFmtId="0" fontId="39" fillId="4" borderId="65" xfId="9" applyFont="1" applyFill="1" applyBorder="1" applyAlignment="1">
      <alignment horizontal="center" vertical="center"/>
    </xf>
    <xf numFmtId="0" fontId="33" fillId="0" borderId="0" xfId="9" applyFont="1" applyAlignment="1">
      <alignment horizontal="left" vertical="center" wrapText="1"/>
    </xf>
    <xf numFmtId="0" fontId="33" fillId="0" borderId="82" xfId="9" applyFont="1" applyBorder="1" applyAlignment="1">
      <alignment horizontal="center" vertical="center" wrapText="1"/>
    </xf>
    <xf numFmtId="0" fontId="33" fillId="0" borderId="82" xfId="9" applyFont="1" applyBorder="1" applyAlignment="1">
      <alignment horizontal="center" vertical="center"/>
    </xf>
    <xf numFmtId="0" fontId="33" fillId="0" borderId="21" xfId="9" applyFont="1" applyBorder="1" applyAlignment="1">
      <alignment horizontal="center"/>
    </xf>
    <xf numFmtId="0" fontId="35" fillId="0" borderId="41" xfId="9" applyFont="1" applyFill="1" applyBorder="1" applyAlignment="1">
      <alignment horizontal="center" vertical="center"/>
    </xf>
    <xf numFmtId="0" fontId="35" fillId="0" borderId="42" xfId="9" applyFont="1" applyFill="1" applyBorder="1" applyAlignment="1">
      <alignment vertical="center"/>
    </xf>
    <xf numFmtId="0" fontId="35" fillId="0" borderId="42" xfId="9" applyFont="1" applyFill="1" applyBorder="1" applyAlignment="1">
      <alignment horizontal="center" vertical="center"/>
    </xf>
    <xf numFmtId="0" fontId="35" fillId="0" borderId="43" xfId="9" applyFont="1" applyFill="1" applyBorder="1" applyAlignment="1">
      <alignment vertical="center"/>
    </xf>
    <xf numFmtId="0" fontId="35" fillId="0" borderId="64" xfId="9" applyFont="1" applyFill="1" applyBorder="1" applyAlignment="1">
      <alignment horizontal="center" vertical="center"/>
    </xf>
    <xf numFmtId="0" fontId="35" fillId="0" borderId="65" xfId="9" applyFont="1" applyFill="1" applyBorder="1" applyAlignment="1">
      <alignment vertical="center"/>
    </xf>
    <xf numFmtId="0" fontId="33" fillId="0" borderId="89" xfId="9" applyFont="1" applyBorder="1" applyAlignment="1">
      <alignment horizontal="center" vertical="center"/>
    </xf>
    <xf numFmtId="184" fontId="40" fillId="0" borderId="57" xfId="9" applyNumberFormat="1" applyFont="1" applyBorder="1" applyAlignment="1">
      <alignment horizontal="center" vertical="center"/>
    </xf>
    <xf numFmtId="184" fontId="40" fillId="0" borderId="60" xfId="9" applyNumberFormat="1" applyFont="1" applyBorder="1" applyAlignment="1">
      <alignment horizontal="center" vertical="center"/>
    </xf>
    <xf numFmtId="184" fontId="40" fillId="0" borderId="118" xfId="9" applyNumberFormat="1" applyFont="1" applyBorder="1" applyAlignment="1">
      <alignment horizontal="center" vertical="center"/>
    </xf>
    <xf numFmtId="181" fontId="40" fillId="0" borderId="90" xfId="9" applyNumberFormat="1" applyFont="1" applyBorder="1" applyAlignment="1">
      <alignment horizontal="right" vertical="center"/>
    </xf>
    <xf numFmtId="181" fontId="40" fillId="0" borderId="60" xfId="9" applyNumberFormat="1" applyFont="1" applyBorder="1" applyAlignment="1">
      <alignment horizontal="right" vertical="center"/>
    </xf>
    <xf numFmtId="181" fontId="40" fillId="0" borderId="61" xfId="9" applyNumberFormat="1" applyFont="1" applyBorder="1" applyAlignment="1">
      <alignment horizontal="right" vertical="center"/>
    </xf>
    <xf numFmtId="0" fontId="39" fillId="0" borderId="0" xfId="9" applyFont="1" applyAlignment="1">
      <alignment horizontal="left" vertical="center"/>
    </xf>
    <xf numFmtId="0" fontId="39" fillId="0" borderId="13" xfId="9" applyFont="1" applyFill="1" applyBorder="1" applyAlignment="1">
      <alignment horizontal="center" vertical="center"/>
    </xf>
    <xf numFmtId="0" fontId="39" fillId="0" borderId="14" xfId="9" applyFont="1" applyFill="1" applyBorder="1" applyAlignment="1">
      <alignment horizontal="center" vertical="center"/>
    </xf>
    <xf numFmtId="0" fontId="39" fillId="0" borderId="92" xfId="9" applyFont="1" applyFill="1" applyBorder="1" applyAlignment="1">
      <alignment horizontal="center" vertical="center"/>
    </xf>
    <xf numFmtId="0" fontId="39" fillId="0" borderId="26" xfId="9" applyFont="1" applyFill="1" applyBorder="1" applyAlignment="1">
      <alignment horizontal="center" vertical="center"/>
    </xf>
    <xf numFmtId="0" fontId="39" fillId="0" borderId="15" xfId="9" applyFont="1" applyFill="1" applyBorder="1" applyAlignment="1">
      <alignment horizontal="center" vertical="center"/>
    </xf>
    <xf numFmtId="184" fontId="39" fillId="0" borderId="83" xfId="9" applyNumberFormat="1" applyFont="1" applyBorder="1" applyAlignment="1">
      <alignment horizontal="center" vertical="center"/>
    </xf>
    <xf numFmtId="0" fontId="45" fillId="0" borderId="84" xfId="9" applyFont="1" applyBorder="1"/>
    <xf numFmtId="184" fontId="39" fillId="0" borderId="86" xfId="9" applyNumberFormat="1" applyFont="1" applyBorder="1" applyAlignment="1">
      <alignment horizontal="center" vertical="center"/>
    </xf>
    <xf numFmtId="184" fontId="39" fillId="0" borderId="84" xfId="9" applyNumberFormat="1" applyFont="1" applyBorder="1" applyAlignment="1">
      <alignment horizontal="center" vertical="center"/>
    </xf>
    <xf numFmtId="184" fontId="46" fillId="0" borderId="94" xfId="9" applyNumberFormat="1" applyFont="1" applyBorder="1" applyAlignment="1">
      <alignment horizontal="center" vertical="center"/>
    </xf>
    <xf numFmtId="184" fontId="46" fillId="0" borderId="95" xfId="9" applyNumberFormat="1" applyFont="1" applyBorder="1" applyAlignment="1">
      <alignment horizontal="center" vertical="center"/>
    </xf>
    <xf numFmtId="184" fontId="46" fillId="0" borderId="97" xfId="9" applyNumberFormat="1" applyFont="1" applyBorder="1" applyAlignment="1">
      <alignment horizontal="center" vertical="center"/>
    </xf>
    <xf numFmtId="184" fontId="33" fillId="0" borderId="99" xfId="9" applyNumberFormat="1" applyFont="1" applyBorder="1" applyAlignment="1">
      <alignment horizontal="center" vertical="center" wrapText="1" justifyLastLine="1"/>
    </xf>
    <xf numFmtId="184" fontId="33" fillId="0" borderId="66" xfId="9" applyNumberFormat="1" applyFont="1" applyBorder="1" applyAlignment="1">
      <alignment horizontal="center" vertical="center" justifyLastLine="1"/>
    </xf>
    <xf numFmtId="184" fontId="33" fillId="0" borderId="27" xfId="9" applyNumberFormat="1" applyFont="1" applyBorder="1" applyAlignment="1">
      <alignment horizontal="center" vertical="center"/>
    </xf>
    <xf numFmtId="184" fontId="33" fillId="0" borderId="21" xfId="9" applyNumberFormat="1" applyFont="1" applyBorder="1" applyAlignment="1">
      <alignment horizontal="center" vertical="center"/>
    </xf>
    <xf numFmtId="184" fontId="33" fillId="0" borderId="74" xfId="9" applyNumberFormat="1" applyFont="1" applyBorder="1" applyAlignment="1">
      <alignment horizontal="center" vertical="center"/>
    </xf>
    <xf numFmtId="0" fontId="33" fillId="3" borderId="33" xfId="9" applyFont="1" applyFill="1" applyBorder="1" applyAlignment="1">
      <alignment horizontal="distributed" vertical="distributed" justifyLastLine="1"/>
    </xf>
    <xf numFmtId="0" fontId="33" fillId="3" borderId="22" xfId="9" applyFont="1" applyFill="1" applyBorder="1" applyAlignment="1">
      <alignment horizontal="distributed" vertical="distributed" justifyLastLine="1"/>
    </xf>
    <xf numFmtId="0" fontId="33" fillId="3" borderId="24" xfId="9" applyFont="1" applyFill="1" applyBorder="1" applyAlignment="1">
      <alignment horizontal="distributed" vertical="distributed" justifyLastLine="1"/>
    </xf>
    <xf numFmtId="0" fontId="33" fillId="3" borderId="119" xfId="9" applyFont="1" applyFill="1" applyBorder="1" applyAlignment="1">
      <alignment horizontal="center" vertical="center"/>
    </xf>
    <xf numFmtId="0" fontId="33" fillId="3" borderId="32" xfId="9" applyFont="1" applyFill="1" applyBorder="1" applyAlignment="1">
      <alignment horizontal="center" vertical="center"/>
    </xf>
    <xf numFmtId="184" fontId="35" fillId="0" borderId="119" xfId="9" applyNumberFormat="1" applyFont="1" applyBorder="1" applyAlignment="1">
      <alignment horizontal="center" vertical="center"/>
    </xf>
    <xf numFmtId="184" fontId="35" fillId="0" borderId="32" xfId="9" applyNumberFormat="1" applyFont="1" applyBorder="1" applyAlignment="1">
      <alignment horizontal="center" vertical="center"/>
    </xf>
    <xf numFmtId="0" fontId="34" fillId="5" borderId="25" xfId="11" applyFont="1" applyFill="1" applyBorder="1" applyAlignment="1">
      <alignment horizontal="left" vertical="center" wrapText="1"/>
    </xf>
    <xf numFmtId="0" fontId="34" fillId="5" borderId="32" xfId="11" applyFont="1" applyFill="1" applyBorder="1" applyAlignment="1">
      <alignment horizontal="left" vertical="center" wrapText="1"/>
    </xf>
    <xf numFmtId="177" fontId="34" fillId="5" borderId="25" xfId="0" applyNumberFormat="1" applyFont="1" applyFill="1" applyBorder="1" applyAlignment="1">
      <alignment horizontal="left" vertical="center" wrapText="1"/>
    </xf>
    <xf numFmtId="177" fontId="34" fillId="5" borderId="6" xfId="0" applyNumberFormat="1" applyFont="1" applyFill="1" applyBorder="1" applyAlignment="1">
      <alignment horizontal="left" vertical="center" wrapText="1"/>
    </xf>
    <xf numFmtId="177" fontId="34" fillId="5" borderId="32" xfId="0" applyNumberFormat="1" applyFont="1" applyFill="1" applyBorder="1" applyAlignment="1">
      <alignment horizontal="left" vertical="center" wrapText="1"/>
    </xf>
    <xf numFmtId="177" fontId="34" fillId="5" borderId="4" xfId="0" applyNumberFormat="1" applyFont="1" applyFill="1" applyBorder="1" applyAlignment="1">
      <alignment horizontal="left" vertical="center" wrapText="1"/>
    </xf>
    <xf numFmtId="177" fontId="34" fillId="5" borderId="9" xfId="0" applyNumberFormat="1" applyFont="1" applyFill="1" applyBorder="1" applyAlignment="1">
      <alignment horizontal="left" vertical="center"/>
    </xf>
    <xf numFmtId="0" fontId="34" fillId="5" borderId="33" xfId="11" applyFont="1" applyFill="1" applyBorder="1" applyAlignment="1">
      <alignment vertical="center" wrapText="1"/>
    </xf>
    <xf numFmtId="0" fontId="34" fillId="5" borderId="22" xfId="11" applyFont="1" applyFill="1" applyBorder="1" applyAlignment="1">
      <alignment vertical="center" wrapText="1"/>
    </xf>
    <xf numFmtId="0" fontId="34" fillId="5" borderId="22" xfId="11" applyFont="1" applyFill="1" applyBorder="1" applyAlignment="1">
      <alignment vertical="center"/>
    </xf>
    <xf numFmtId="0" fontId="34" fillId="5" borderId="1" xfId="11" applyFont="1" applyFill="1" applyBorder="1" applyAlignment="1">
      <alignment horizontal="left" vertical="center" wrapText="1"/>
    </xf>
    <xf numFmtId="0" fontId="34" fillId="5" borderId="35" xfId="11" applyFont="1" applyFill="1" applyBorder="1" applyAlignment="1">
      <alignment horizontal="left" vertical="center" wrapText="1"/>
    </xf>
    <xf numFmtId="0" fontId="34" fillId="5" borderId="6" xfId="11" applyFont="1" applyFill="1" applyBorder="1" applyAlignment="1">
      <alignment horizontal="left" vertical="center" wrapText="1"/>
    </xf>
    <xf numFmtId="177" fontId="51" fillId="6" borderId="62" xfId="0" applyNumberFormat="1" applyFont="1" applyFill="1" applyBorder="1" applyAlignment="1">
      <alignment horizontal="center" vertical="center"/>
    </xf>
    <xf numFmtId="177" fontId="51" fillId="6" borderId="64" xfId="0" applyNumberFormat="1" applyFont="1" applyFill="1" applyBorder="1" applyAlignment="1">
      <alignment horizontal="center" vertical="center"/>
    </xf>
    <xf numFmtId="177" fontId="51" fillId="6" borderId="127" xfId="0" applyNumberFormat="1" applyFont="1" applyFill="1" applyBorder="1" applyAlignment="1">
      <alignment horizontal="center" vertical="center"/>
    </xf>
    <xf numFmtId="177" fontId="34" fillId="5" borderId="33" xfId="0" applyNumberFormat="1" applyFont="1" applyFill="1" applyBorder="1" applyAlignment="1">
      <alignment vertical="center" wrapText="1"/>
    </xf>
    <xf numFmtId="177" fontId="34" fillId="5" borderId="22" xfId="0" applyNumberFormat="1" applyFont="1" applyFill="1" applyBorder="1" applyAlignment="1">
      <alignment vertical="center" wrapText="1"/>
    </xf>
    <xf numFmtId="177" fontId="34" fillId="5" borderId="22" xfId="0" applyNumberFormat="1" applyFont="1" applyFill="1" applyBorder="1" applyAlignment="1">
      <alignment vertical="center"/>
    </xf>
    <xf numFmtId="177" fontId="34" fillId="5" borderId="32" xfId="0" applyNumberFormat="1" applyFont="1" applyFill="1" applyBorder="1" applyAlignment="1">
      <alignment horizontal="left" vertical="center"/>
    </xf>
    <xf numFmtId="177" fontId="34" fillId="5" borderId="30" xfId="0" applyNumberFormat="1" applyFont="1" applyFill="1" applyBorder="1" applyAlignment="1">
      <alignment horizontal="center" vertical="center" wrapText="1"/>
    </xf>
    <xf numFmtId="177" fontId="34" fillId="5" borderId="12" xfId="0" applyNumberFormat="1" applyFont="1" applyFill="1" applyBorder="1" applyAlignment="1">
      <alignment horizontal="center" vertical="center" wrapText="1"/>
    </xf>
    <xf numFmtId="177" fontId="34" fillId="5" borderId="2" xfId="0" applyNumberFormat="1" applyFont="1" applyFill="1" applyBorder="1" applyAlignment="1">
      <alignment horizontal="center" vertical="center" wrapText="1"/>
    </xf>
    <xf numFmtId="177" fontId="34" fillId="6" borderId="33" xfId="0" applyNumberFormat="1" applyFont="1" applyFill="1" applyBorder="1" applyAlignment="1">
      <alignment horizontal="center" vertical="center"/>
    </xf>
    <xf numFmtId="177" fontId="34" fillId="6" borderId="22" xfId="0" applyNumberFormat="1" applyFont="1" applyFill="1" applyBorder="1" applyAlignment="1">
      <alignment horizontal="center" vertical="center"/>
    </xf>
    <xf numFmtId="177" fontId="34" fillId="6" borderId="34" xfId="0" applyNumberFormat="1" applyFont="1" applyFill="1" applyBorder="1" applyAlignment="1">
      <alignment horizontal="center" vertical="center"/>
    </xf>
    <xf numFmtId="41" fontId="34" fillId="6" borderId="124" xfId="12" applyFont="1" applyFill="1" applyBorder="1" applyAlignment="1">
      <alignment horizontal="center" vertical="center" wrapText="1"/>
    </xf>
    <xf numFmtId="41" fontId="34" fillId="6" borderId="20" xfId="12" applyFont="1" applyFill="1" applyBorder="1" applyAlignment="1">
      <alignment horizontal="center" vertical="center" wrapText="1"/>
    </xf>
    <xf numFmtId="178" fontId="34" fillId="6" borderId="124" xfId="12" applyNumberFormat="1" applyFont="1" applyFill="1" applyBorder="1" applyAlignment="1">
      <alignment horizontal="center" vertical="center" wrapText="1"/>
    </xf>
    <xf numFmtId="178" fontId="34" fillId="6" borderId="20" xfId="12" applyNumberFormat="1" applyFont="1" applyFill="1" applyBorder="1" applyAlignment="1">
      <alignment horizontal="center" vertical="center" wrapText="1"/>
    </xf>
    <xf numFmtId="177" fontId="34" fillId="6" borderId="23" xfId="12" applyNumberFormat="1" applyFont="1" applyFill="1" applyBorder="1" applyAlignment="1">
      <alignment horizontal="center" vertical="center" wrapText="1"/>
    </xf>
    <xf numFmtId="177" fontId="34" fillId="6" borderId="125" xfId="12" applyNumberFormat="1" applyFont="1" applyFill="1" applyBorder="1" applyAlignment="1">
      <alignment horizontal="center" vertical="center"/>
    </xf>
    <xf numFmtId="177" fontId="34" fillId="6" borderId="26" xfId="0" applyNumberFormat="1" applyFont="1" applyFill="1" applyBorder="1" applyAlignment="1">
      <alignment horizontal="center" vertical="center" wrapText="1"/>
    </xf>
    <xf numFmtId="177" fontId="34" fillId="6" borderId="14" xfId="0" applyNumberFormat="1" applyFont="1" applyFill="1" applyBorder="1" applyAlignment="1">
      <alignment horizontal="center" vertical="center" wrapText="1"/>
    </xf>
    <xf numFmtId="177" fontId="34" fillId="6" borderId="15" xfId="0" applyNumberFormat="1" applyFont="1" applyFill="1" applyBorder="1" applyAlignment="1">
      <alignment horizontal="center" vertical="center"/>
    </xf>
    <xf numFmtId="177" fontId="34" fillId="6" borderId="28" xfId="0" applyNumberFormat="1" applyFont="1" applyFill="1" applyBorder="1" applyAlignment="1">
      <alignment horizontal="center" vertical="center"/>
    </xf>
    <xf numFmtId="177" fontId="34" fillId="6" borderId="21" xfId="0" applyNumberFormat="1" applyFont="1" applyFill="1" applyBorder="1" applyAlignment="1">
      <alignment horizontal="center" vertical="center"/>
    </xf>
    <xf numFmtId="177" fontId="34" fillId="6" borderId="31" xfId="0" applyNumberFormat="1" applyFont="1" applyFill="1" applyBorder="1" applyAlignment="1">
      <alignment horizontal="center" vertical="center"/>
    </xf>
    <xf numFmtId="41" fontId="34" fillId="6" borderId="20" xfId="12" applyFont="1" applyFill="1" applyBorder="1" applyAlignment="1">
      <alignment horizontal="center" vertical="center"/>
    </xf>
    <xf numFmtId="177" fontId="34" fillId="6" borderId="38" xfId="12" applyNumberFormat="1" applyFont="1" applyFill="1" applyBorder="1" applyAlignment="1">
      <alignment horizontal="center" vertical="center" wrapText="1"/>
    </xf>
    <xf numFmtId="177" fontId="34" fillId="6" borderId="81" xfId="12" applyNumberFormat="1" applyFont="1" applyFill="1" applyBorder="1" applyAlignment="1">
      <alignment horizontal="center" vertical="center"/>
    </xf>
    <xf numFmtId="177" fontId="34" fillId="6" borderId="13" xfId="0" applyNumberFormat="1" applyFont="1" applyFill="1" applyBorder="1" applyAlignment="1">
      <alignment horizontal="center" vertical="center"/>
    </xf>
    <xf numFmtId="177" fontId="34" fillId="6" borderId="14" xfId="0" applyNumberFormat="1" applyFont="1" applyFill="1" applyBorder="1" applyAlignment="1">
      <alignment horizontal="center" vertical="center"/>
    </xf>
    <xf numFmtId="177" fontId="34" fillId="6" borderId="92" xfId="0" applyNumberFormat="1" applyFont="1" applyFill="1" applyBorder="1" applyAlignment="1">
      <alignment horizontal="center" vertical="center"/>
    </xf>
    <xf numFmtId="0" fontId="55" fillId="6" borderId="34" xfId="2" applyNumberFormat="1" applyFont="1" applyFill="1" applyBorder="1" applyAlignment="1">
      <alignment horizontal="center" vertical="center"/>
    </xf>
    <xf numFmtId="0" fontId="55" fillId="6" borderId="23" xfId="2" applyNumberFormat="1" applyFont="1" applyFill="1" applyBorder="1" applyAlignment="1">
      <alignment horizontal="center" vertical="center"/>
    </xf>
    <xf numFmtId="0" fontId="55" fillId="6" borderId="38" xfId="2" applyNumberFormat="1" applyFont="1" applyFill="1" applyBorder="1" applyAlignment="1">
      <alignment horizontal="center" vertical="center"/>
    </xf>
    <xf numFmtId="0" fontId="55" fillId="6" borderId="35" xfId="2" applyNumberFormat="1" applyFont="1" applyFill="1" applyBorder="1" applyAlignment="1">
      <alignment horizontal="center" vertical="center"/>
    </xf>
    <xf numFmtId="0" fontId="55" fillId="6" borderId="3" xfId="2" applyNumberFormat="1" applyFont="1" applyFill="1" applyBorder="1" applyAlignment="1">
      <alignment horizontal="center" vertical="center"/>
    </xf>
    <xf numFmtId="0" fontId="55" fillId="6" borderId="120" xfId="2" applyNumberFormat="1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left" vertical="center" wrapText="1"/>
    </xf>
    <xf numFmtId="0" fontId="8" fillId="6" borderId="128" xfId="2" applyNumberFormat="1" applyFont="1" applyFill="1" applyBorder="1" applyAlignment="1">
      <alignment horizontal="center" vertical="center" wrapText="1"/>
    </xf>
    <xf numFmtId="0" fontId="8" fillId="6" borderId="19" xfId="2" applyNumberFormat="1" applyFont="1" applyFill="1" applyBorder="1" applyAlignment="1">
      <alignment horizontal="center" vertical="center"/>
    </xf>
    <xf numFmtId="0" fontId="8" fillId="6" borderId="37" xfId="2" applyNumberFormat="1" applyFont="1" applyFill="1" applyBorder="1" applyAlignment="1">
      <alignment horizontal="center" vertical="center"/>
    </xf>
    <xf numFmtId="0" fontId="8" fillId="6" borderId="22" xfId="2" applyNumberFormat="1" applyFont="1" applyFill="1" applyBorder="1" applyAlignment="1">
      <alignment horizontal="center" vertical="center"/>
    </xf>
    <xf numFmtId="0" fontId="8" fillId="6" borderId="34" xfId="2" applyNumberFormat="1" applyFont="1" applyFill="1" applyBorder="1" applyAlignment="1">
      <alignment horizontal="center" vertical="center"/>
    </xf>
    <xf numFmtId="0" fontId="12" fillId="0" borderId="121" xfId="3" applyNumberFormat="1" applyFont="1" applyFill="1" applyBorder="1" applyAlignment="1">
      <alignment horizontal="left" vertical="center"/>
    </xf>
    <xf numFmtId="0" fontId="12" fillId="0" borderId="0" xfId="3" applyNumberFormat="1" applyFont="1" applyFill="1" applyBorder="1" applyAlignment="1">
      <alignment horizontal="left" vertical="center"/>
    </xf>
    <xf numFmtId="0" fontId="8" fillId="0" borderId="7" xfId="2" applyNumberFormat="1" applyFont="1" applyFill="1" applyBorder="1" applyAlignment="1">
      <alignment horizontal="left" vertical="top" wrapText="1"/>
    </xf>
    <xf numFmtId="0" fontId="9" fillId="6" borderId="129" xfId="2" applyNumberFormat="1" applyFont="1" applyFill="1" applyBorder="1" applyAlignment="1">
      <alignment horizontal="center" vertical="center"/>
    </xf>
    <xf numFmtId="0" fontId="9" fillId="6" borderId="130" xfId="2" applyNumberFormat="1" applyFont="1" applyFill="1" applyBorder="1" applyAlignment="1">
      <alignment horizontal="center" vertical="center"/>
    </xf>
    <xf numFmtId="176" fontId="55" fillId="6" borderId="23" xfId="3" applyNumberFormat="1" applyFont="1" applyFill="1" applyBorder="1" applyAlignment="1">
      <alignment horizontal="center" vertical="center" wrapText="1"/>
    </xf>
    <xf numFmtId="176" fontId="55" fillId="6" borderId="3" xfId="3" applyNumberFormat="1" applyFont="1" applyFill="1" applyBorder="1" applyAlignment="1">
      <alignment horizontal="center" vertical="center" wrapText="1"/>
    </xf>
    <xf numFmtId="176" fontId="8" fillId="6" borderId="23" xfId="3" applyNumberFormat="1" applyFont="1" applyFill="1" applyBorder="1" applyAlignment="1">
      <alignment horizontal="center" vertical="center" wrapText="1"/>
    </xf>
    <xf numFmtId="176" fontId="8" fillId="6" borderId="3" xfId="3" applyNumberFormat="1" applyFont="1" applyFill="1" applyBorder="1" applyAlignment="1">
      <alignment horizontal="center" vertical="center" wrapText="1"/>
    </xf>
    <xf numFmtId="176" fontId="55" fillId="6" borderId="37" xfId="3" applyNumberFormat="1" applyFont="1" applyFill="1" applyBorder="1" applyAlignment="1">
      <alignment horizontal="center" vertical="center" wrapText="1"/>
    </xf>
    <xf numFmtId="176" fontId="55" fillId="6" borderId="30" xfId="3" applyNumberFormat="1" applyFont="1" applyFill="1" applyBorder="1" applyAlignment="1">
      <alignment horizontal="center" vertical="center" wrapText="1"/>
    </xf>
    <xf numFmtId="0" fontId="8" fillId="0" borderId="8" xfId="5" applyNumberFormat="1" applyFont="1" applyFill="1" applyBorder="1" applyAlignment="1">
      <alignment horizontal="left" vertical="center" wrapText="1"/>
    </xf>
    <xf numFmtId="0" fontId="8" fillId="0" borderId="7" xfId="5" applyNumberFormat="1" applyFont="1" applyFill="1" applyBorder="1" applyAlignment="1">
      <alignment horizontal="left" vertical="center" wrapText="1"/>
    </xf>
    <xf numFmtId="0" fontId="10" fillId="0" borderId="30" xfId="2" applyNumberFormat="1" applyFont="1" applyFill="1" applyBorder="1" applyAlignment="1">
      <alignment horizontal="left" vertical="top" wrapText="1"/>
    </xf>
    <xf numFmtId="0" fontId="10" fillId="0" borderId="35" xfId="2" applyNumberFormat="1" applyFont="1" applyFill="1" applyBorder="1" applyAlignment="1">
      <alignment horizontal="left" vertical="top" wrapText="1"/>
    </xf>
    <xf numFmtId="0" fontId="10" fillId="0" borderId="4" xfId="2" applyNumberFormat="1" applyFont="1" applyFill="1" applyBorder="1" applyAlignment="1">
      <alignment horizontal="left" vertical="top" wrapText="1"/>
    </xf>
    <xf numFmtId="0" fontId="10" fillId="0" borderId="9" xfId="2" applyNumberFormat="1" applyFont="1" applyFill="1" applyBorder="1" applyAlignment="1">
      <alignment horizontal="left" vertical="top" wrapText="1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5" xfId="2" applyNumberFormat="1" applyFont="1" applyFill="1" applyBorder="1" applyAlignment="1">
      <alignment horizontal="left" vertical="center" wrapText="1"/>
    </xf>
    <xf numFmtId="0" fontId="8" fillId="0" borderId="32" xfId="2" applyNumberFormat="1" applyFont="1" applyFill="1" applyBorder="1" applyAlignment="1">
      <alignment horizontal="left" vertical="center" wrapText="1"/>
    </xf>
    <xf numFmtId="0" fontId="51" fillId="0" borderId="25" xfId="3" applyNumberFormat="1" applyFont="1" applyFill="1" applyBorder="1" applyAlignment="1">
      <alignment horizontal="left" vertical="center"/>
    </xf>
    <xf numFmtId="0" fontId="51" fillId="0" borderId="6" xfId="3" applyNumberFormat="1" applyFont="1" applyFill="1" applyBorder="1" applyAlignment="1">
      <alignment horizontal="left" vertical="center"/>
    </xf>
    <xf numFmtId="0" fontId="51" fillId="0" borderId="16" xfId="3" applyNumberFormat="1" applyFont="1" applyFill="1" applyBorder="1" applyAlignment="1">
      <alignment horizontal="left" vertical="center"/>
    </xf>
    <xf numFmtId="0" fontId="8" fillId="0" borderId="25" xfId="2" applyNumberFormat="1" applyFont="1" applyFill="1" applyBorder="1" applyAlignment="1">
      <alignment horizontal="left" vertical="center"/>
    </xf>
    <xf numFmtId="0" fontId="8" fillId="0" borderId="32" xfId="2" applyNumberFormat="1" applyFont="1" applyFill="1" applyBorder="1" applyAlignment="1">
      <alignment horizontal="left" vertical="center"/>
    </xf>
    <xf numFmtId="0" fontId="8" fillId="0" borderId="25" xfId="2" applyNumberFormat="1" applyFont="1" applyFill="1" applyBorder="1" applyAlignment="1">
      <alignment horizontal="left" vertical="top"/>
    </xf>
    <xf numFmtId="0" fontId="8" fillId="0" borderId="32" xfId="2" applyNumberFormat="1" applyFont="1" applyFill="1" applyBorder="1" applyAlignment="1">
      <alignment horizontal="left" vertical="top"/>
    </xf>
    <xf numFmtId="0" fontId="9" fillId="0" borderId="33" xfId="2" applyNumberFormat="1" applyFont="1" applyFill="1" applyBorder="1" applyAlignment="1">
      <alignment horizontal="left" vertical="center"/>
    </xf>
    <xf numFmtId="0" fontId="9" fillId="0" borderId="22" xfId="2" applyNumberFormat="1" applyFont="1" applyFill="1" applyBorder="1" applyAlignment="1">
      <alignment horizontal="left" vertical="center"/>
    </xf>
    <xf numFmtId="0" fontId="9" fillId="0" borderId="34" xfId="2" applyNumberFormat="1" applyFont="1" applyFill="1" applyBorder="1" applyAlignment="1">
      <alignment horizontal="left" vertical="center"/>
    </xf>
    <xf numFmtId="0" fontId="49" fillId="0" borderId="5" xfId="11" applyFont="1" applyFill="1" applyBorder="1" applyAlignment="1">
      <alignment vertical="top" wrapText="1"/>
    </xf>
    <xf numFmtId="0" fontId="49" fillId="0" borderId="32" xfId="11" applyFont="1" applyFill="1" applyBorder="1" applyAlignment="1">
      <alignment vertical="top" wrapText="1"/>
    </xf>
    <xf numFmtId="0" fontId="49" fillId="0" borderId="6" xfId="11" applyFont="1" applyFill="1" applyBorder="1" applyAlignment="1">
      <alignment horizontal="left" vertical="center" wrapText="1"/>
    </xf>
    <xf numFmtId="0" fontId="49" fillId="0" borderId="32" xfId="11" applyFont="1" applyFill="1" applyBorder="1" applyAlignment="1">
      <alignment horizontal="left" vertical="center" wrapText="1"/>
    </xf>
    <xf numFmtId="0" fontId="49" fillId="0" borderId="25" xfId="11" applyFont="1" applyFill="1" applyBorder="1" applyAlignment="1">
      <alignment horizontal="left" vertical="center" wrapText="1"/>
    </xf>
    <xf numFmtId="0" fontId="49" fillId="0" borderId="25" xfId="11" applyFont="1" applyFill="1" applyBorder="1" applyAlignment="1">
      <alignment horizontal="left" vertical="top" wrapText="1"/>
    </xf>
    <xf numFmtId="0" fontId="49" fillId="0" borderId="32" xfId="11" applyFont="1" applyFill="1" applyBorder="1" applyAlignment="1">
      <alignment horizontal="left" vertical="top" wrapText="1"/>
    </xf>
    <xf numFmtId="0" fontId="8" fillId="6" borderId="128" xfId="2" applyNumberFormat="1" applyFont="1" applyFill="1" applyBorder="1" applyAlignment="1">
      <alignment horizontal="center" vertical="center"/>
    </xf>
    <xf numFmtId="0" fontId="49" fillId="0" borderId="5" xfId="11" applyFont="1" applyFill="1" applyBorder="1" applyAlignment="1">
      <alignment horizontal="left" vertical="center" wrapText="1"/>
    </xf>
    <xf numFmtId="0" fontId="49" fillId="0" borderId="9" xfId="11" applyFont="1" applyFill="1" applyBorder="1" applyAlignment="1">
      <alignment horizontal="left" vertical="center" wrapText="1"/>
    </xf>
    <xf numFmtId="0" fontId="64" fillId="6" borderId="62" xfId="11" applyNumberFormat="1" applyFont="1" applyFill="1" applyBorder="1" applyAlignment="1">
      <alignment horizontal="center" vertical="center"/>
    </xf>
    <xf numFmtId="0" fontId="64" fillId="6" borderId="64" xfId="11" applyNumberFormat="1" applyFont="1" applyFill="1" applyBorder="1" applyAlignment="1">
      <alignment horizontal="center" vertical="center"/>
    </xf>
    <xf numFmtId="0" fontId="64" fillId="6" borderId="127" xfId="11" applyNumberFormat="1" applyFont="1" applyFill="1" applyBorder="1" applyAlignment="1">
      <alignment horizontal="center" vertical="center"/>
    </xf>
    <xf numFmtId="0" fontId="9" fillId="0" borderId="121" xfId="3" applyNumberFormat="1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left" vertical="center"/>
    </xf>
    <xf numFmtId="0" fontId="49" fillId="0" borderId="32" xfId="11" applyFont="1" applyFill="1" applyBorder="1" applyAlignment="1">
      <alignment horizontal="left" vertical="center"/>
    </xf>
    <xf numFmtId="41" fontId="132" fillId="0" borderId="0" xfId="1" applyFont="1">
      <alignment vertical="center"/>
    </xf>
    <xf numFmtId="0" fontId="52" fillId="0" borderId="25" xfId="11" applyFont="1" applyFill="1" applyBorder="1" applyAlignment="1">
      <alignment horizontal="left" vertical="top" wrapText="1"/>
    </xf>
    <xf numFmtId="0" fontId="52" fillId="0" borderId="32" xfId="11" applyFont="1" applyFill="1" applyBorder="1" applyAlignment="1">
      <alignment horizontal="left" vertical="top" wrapText="1"/>
    </xf>
    <xf numFmtId="0" fontId="52" fillId="0" borderId="25" xfId="11" applyFont="1" applyFill="1" applyBorder="1" applyAlignment="1">
      <alignment horizontal="left" vertical="center" wrapText="1"/>
    </xf>
    <xf numFmtId="0" fontId="52" fillId="0" borderId="32" xfId="11" applyFont="1" applyFill="1" applyBorder="1" applyAlignment="1">
      <alignment horizontal="left" vertical="center" wrapText="1"/>
    </xf>
    <xf numFmtId="0" fontId="52" fillId="0" borderId="32" xfId="11" applyFont="1" applyFill="1" applyBorder="1" applyAlignment="1">
      <alignment horizontal="left" vertical="center"/>
    </xf>
    <xf numFmtId="41" fontId="34" fillId="0" borderId="121" xfId="85" applyNumberFormat="1" applyFont="1" applyFill="1" applyBorder="1" applyAlignment="1">
      <alignment horizontal="center" vertical="center"/>
    </xf>
    <xf numFmtId="41" fontId="34" fillId="0" borderId="0" xfId="85" applyNumberFormat="1" applyFont="1" applyFill="1" applyBorder="1" applyAlignment="1">
      <alignment horizontal="center" vertical="center"/>
    </xf>
    <xf numFmtId="41" fontId="55" fillId="6" borderId="37" xfId="3" applyNumberFormat="1" applyFont="1" applyFill="1" applyBorder="1" applyAlignment="1">
      <alignment horizontal="center" vertical="center" wrapText="1"/>
    </xf>
    <xf numFmtId="41" fontId="55" fillId="6" borderId="30" xfId="3" applyNumberFormat="1" applyFont="1" applyFill="1" applyBorder="1" applyAlignment="1">
      <alignment horizontal="center" vertical="center" wrapText="1"/>
    </xf>
    <xf numFmtId="41" fontId="55" fillId="6" borderId="23" xfId="3" applyNumberFormat="1" applyFont="1" applyFill="1" applyBorder="1" applyAlignment="1">
      <alignment horizontal="center" vertical="center" wrapText="1"/>
    </xf>
    <xf numFmtId="41" fontId="55" fillId="6" borderId="3" xfId="3" applyNumberFormat="1" applyFont="1" applyFill="1" applyBorder="1" applyAlignment="1">
      <alignment horizontal="center" vertical="center" wrapText="1"/>
    </xf>
    <xf numFmtId="0" fontId="62" fillId="0" borderId="25" xfId="5" applyNumberFormat="1" applyFont="1" applyFill="1" applyBorder="1" applyAlignment="1">
      <alignment horizontal="left" vertical="center" wrapText="1"/>
    </xf>
    <xf numFmtId="0" fontId="62" fillId="0" borderId="32" xfId="5" applyNumberFormat="1" applyFont="1" applyFill="1" applyBorder="1" applyAlignment="1">
      <alignment horizontal="left" vertical="center" wrapText="1"/>
    </xf>
    <xf numFmtId="0" fontId="62" fillId="0" borderId="3" xfId="5" applyNumberFormat="1" applyFont="1" applyFill="1" applyBorder="1" applyAlignment="1">
      <alignment horizontal="center" vertical="center" wrapText="1"/>
    </xf>
    <xf numFmtId="0" fontId="62" fillId="0" borderId="8" xfId="5" applyNumberFormat="1" applyFont="1" applyFill="1" applyBorder="1" applyAlignment="1">
      <alignment horizontal="center" vertical="center" wrapText="1"/>
    </xf>
    <xf numFmtId="0" fontId="62" fillId="0" borderId="3" xfId="5" applyNumberFormat="1" applyFont="1" applyFill="1" applyBorder="1" applyAlignment="1">
      <alignment horizontal="left" vertical="center" wrapText="1"/>
    </xf>
    <xf numFmtId="0" fontId="62" fillId="0" borderId="8" xfId="5" applyNumberFormat="1" applyFont="1" applyFill="1" applyBorder="1" applyAlignment="1">
      <alignment horizontal="left" vertical="center" wrapText="1"/>
    </xf>
    <xf numFmtId="41" fontId="131" fillId="0" borderId="121" xfId="85" applyNumberFormat="1" applyFont="1" applyFill="1" applyBorder="1" applyAlignment="1">
      <alignment horizontal="center" vertical="center"/>
    </xf>
    <xf numFmtId="41" fontId="131" fillId="0" borderId="0" xfId="85" applyNumberFormat="1" applyFont="1" applyFill="1" applyBorder="1" applyAlignment="1">
      <alignment horizontal="center" vertical="center"/>
    </xf>
    <xf numFmtId="41" fontId="34" fillId="0" borderId="121" xfId="85" applyNumberFormat="1" applyFont="1" applyFill="1" applyBorder="1" applyAlignment="1">
      <alignment horizontal="right" vertical="center"/>
    </xf>
    <xf numFmtId="41" fontId="34" fillId="0" borderId="0" xfId="85" applyNumberFormat="1" applyFont="1" applyFill="1" applyBorder="1" applyAlignment="1">
      <alignment horizontal="right" vertical="center"/>
    </xf>
    <xf numFmtId="41" fontId="131" fillId="0" borderId="0" xfId="85" applyNumberFormat="1" applyFont="1" applyFill="1" applyBorder="1" applyAlignment="1">
      <alignment horizontal="center" vertical="center" shrinkToFit="1"/>
    </xf>
    <xf numFmtId="41" fontId="131" fillId="0" borderId="10" xfId="85" applyNumberFormat="1" applyFont="1" applyFill="1" applyBorder="1" applyAlignment="1">
      <alignment horizontal="center" vertical="center" shrinkToFit="1"/>
    </xf>
    <xf numFmtId="0" fontId="62" fillId="0" borderId="4" xfId="5" applyNumberFormat="1" applyFont="1" applyFill="1" applyBorder="1" applyAlignment="1">
      <alignment horizontal="left" vertical="center" wrapText="1"/>
    </xf>
    <xf numFmtId="0" fontId="62" fillId="0" borderId="9" xfId="5" applyNumberFormat="1" applyFont="1" applyFill="1" applyBorder="1" applyAlignment="1">
      <alignment horizontal="left" vertical="center" wrapText="1"/>
    </xf>
    <xf numFmtId="0" fontId="8" fillId="42" borderId="34" xfId="2" applyNumberFormat="1" applyFont="1" applyFill="1" applyBorder="1" applyAlignment="1">
      <alignment horizontal="center" vertical="center"/>
    </xf>
    <xf numFmtId="0" fontId="8" fillId="42" borderId="23" xfId="2" applyNumberFormat="1" applyFont="1" applyFill="1" applyBorder="1" applyAlignment="1">
      <alignment horizontal="center" vertical="center"/>
    </xf>
    <xf numFmtId="0" fontId="8" fillId="42" borderId="38" xfId="2" applyNumberFormat="1" applyFont="1" applyFill="1" applyBorder="1" applyAlignment="1">
      <alignment horizontal="center" vertical="center"/>
    </xf>
    <xf numFmtId="0" fontId="8" fillId="42" borderId="35" xfId="2" applyNumberFormat="1" applyFont="1" applyFill="1" applyBorder="1" applyAlignment="1">
      <alignment horizontal="center" vertical="center"/>
    </xf>
    <xf numFmtId="0" fontId="8" fillId="42" borderId="3" xfId="2" applyNumberFormat="1" applyFont="1" applyFill="1" applyBorder="1" applyAlignment="1">
      <alignment horizontal="center" vertical="center"/>
    </xf>
    <xf numFmtId="0" fontId="8" fillId="42" borderId="120" xfId="2" applyNumberFormat="1" applyFont="1" applyFill="1" applyBorder="1" applyAlignment="1">
      <alignment horizontal="center" vertical="center"/>
    </xf>
    <xf numFmtId="0" fontId="9" fillId="42" borderId="62" xfId="96" applyNumberFormat="1" applyFont="1" applyFill="1" applyBorder="1" applyAlignment="1">
      <alignment horizontal="center" vertical="center"/>
    </xf>
    <xf numFmtId="0" fontId="9" fillId="42" borderId="64" xfId="96" applyNumberFormat="1" applyFont="1" applyFill="1" applyBorder="1" applyAlignment="1">
      <alignment horizontal="center" vertical="center"/>
    </xf>
    <xf numFmtId="0" fontId="9" fillId="42" borderId="127" xfId="96" applyNumberFormat="1" applyFont="1" applyFill="1" applyBorder="1" applyAlignment="1">
      <alignment horizontal="center" vertical="center"/>
    </xf>
    <xf numFmtId="0" fontId="8" fillId="0" borderId="132" xfId="96" applyNumberFormat="1" applyFont="1" applyFill="1" applyBorder="1" applyAlignment="1">
      <alignment horizontal="left" vertical="center" wrapText="1"/>
    </xf>
    <xf numFmtId="0" fontId="8" fillId="0" borderId="131" xfId="96" applyNumberFormat="1" applyFont="1" applyFill="1" applyBorder="1" applyAlignment="1">
      <alignment horizontal="left" vertical="center" wrapText="1"/>
    </xf>
    <xf numFmtId="0" fontId="55" fillId="0" borderId="25" xfId="5" applyFont="1" applyBorder="1" applyAlignment="1">
      <alignment horizontal="left" vertical="center"/>
    </xf>
    <xf numFmtId="0" fontId="55" fillId="0" borderId="32" xfId="5" applyFont="1" applyBorder="1" applyAlignment="1">
      <alignment horizontal="left" vertical="center"/>
    </xf>
    <xf numFmtId="0" fontId="34" fillId="0" borderId="7" xfId="5" applyFont="1" applyBorder="1" applyAlignment="1">
      <alignment horizontal="left" vertical="center"/>
    </xf>
    <xf numFmtId="0" fontId="8" fillId="42" borderId="128" xfId="2" applyNumberFormat="1" applyFont="1" applyFill="1" applyBorder="1" applyAlignment="1">
      <alignment horizontal="center" vertical="center"/>
    </xf>
    <xf numFmtId="0" fontId="8" fillId="42" borderId="19" xfId="2" applyNumberFormat="1" applyFont="1" applyFill="1" applyBorder="1" applyAlignment="1">
      <alignment horizontal="center" vertical="center"/>
    </xf>
    <xf numFmtId="0" fontId="8" fillId="42" borderId="37" xfId="2" applyNumberFormat="1" applyFont="1" applyFill="1" applyBorder="1" applyAlignment="1">
      <alignment horizontal="center" vertical="center"/>
    </xf>
    <xf numFmtId="0" fontId="8" fillId="42" borderId="22" xfId="2" applyNumberFormat="1" applyFont="1" applyFill="1" applyBorder="1" applyAlignment="1">
      <alignment horizontal="center" vertical="center"/>
    </xf>
    <xf numFmtId="176" fontId="8" fillId="42" borderId="37" xfId="3" applyNumberFormat="1" applyFont="1" applyFill="1" applyBorder="1" applyAlignment="1">
      <alignment horizontal="center" vertical="center" wrapText="1"/>
    </xf>
    <xf numFmtId="176" fontId="8" fillId="42" borderId="30" xfId="3" applyNumberFormat="1" applyFont="1" applyFill="1" applyBorder="1" applyAlignment="1">
      <alignment horizontal="center" vertical="center" wrapText="1"/>
    </xf>
    <xf numFmtId="176" fontId="8" fillId="42" borderId="23" xfId="3" applyNumberFormat="1" applyFont="1" applyFill="1" applyBorder="1" applyAlignment="1">
      <alignment horizontal="center" vertical="center" wrapText="1"/>
    </xf>
    <xf numFmtId="176" fontId="8" fillId="42" borderId="3" xfId="3" applyNumberFormat="1" applyFont="1" applyFill="1" applyBorder="1" applyAlignment="1">
      <alignment horizontal="center" vertical="center" wrapText="1"/>
    </xf>
    <xf numFmtId="0" fontId="55" fillId="6" borderId="34" xfId="2" applyFont="1" applyFill="1" applyBorder="1" applyAlignment="1">
      <alignment horizontal="center" vertical="center"/>
    </xf>
    <xf numFmtId="0" fontId="55" fillId="6" borderId="23" xfId="2" applyFont="1" applyFill="1" applyBorder="1" applyAlignment="1">
      <alignment horizontal="center" vertical="center"/>
    </xf>
    <xf numFmtId="0" fontId="55" fillId="6" borderId="38" xfId="2" applyFont="1" applyFill="1" applyBorder="1" applyAlignment="1">
      <alignment horizontal="center" vertical="center"/>
    </xf>
    <xf numFmtId="0" fontId="55" fillId="6" borderId="35" xfId="2" applyFont="1" applyFill="1" applyBorder="1" applyAlignment="1">
      <alignment horizontal="center" vertical="center"/>
    </xf>
    <xf numFmtId="0" fontId="55" fillId="6" borderId="3" xfId="2" applyFont="1" applyFill="1" applyBorder="1" applyAlignment="1">
      <alignment horizontal="center" vertical="center"/>
    </xf>
    <xf numFmtId="0" fontId="55" fillId="6" borderId="120" xfId="2" applyFont="1" applyFill="1" applyBorder="1" applyAlignment="1">
      <alignment horizontal="center" vertical="center"/>
    </xf>
    <xf numFmtId="0" fontId="64" fillId="6" borderId="62" xfId="11" applyFont="1" applyFill="1" applyBorder="1" applyAlignment="1">
      <alignment horizontal="center" vertical="center"/>
    </xf>
    <xf numFmtId="0" fontId="64" fillId="6" borderId="64" xfId="11" applyFont="1" applyFill="1" applyBorder="1" applyAlignment="1">
      <alignment horizontal="center" vertical="center"/>
    </xf>
    <xf numFmtId="0" fontId="64" fillId="6" borderId="127" xfId="11" applyFont="1" applyFill="1" applyBorder="1" applyAlignment="1">
      <alignment horizontal="center" vertical="center"/>
    </xf>
    <xf numFmtId="0" fontId="12" fillId="0" borderId="121" xfId="3" applyNumberFormat="1" applyFont="1" applyBorder="1" applyAlignment="1">
      <alignment horizontal="left" vertical="center"/>
    </xf>
    <xf numFmtId="0" fontId="12" fillId="0" borderId="0" xfId="3" applyNumberFormat="1" applyFont="1" applyAlignment="1">
      <alignment horizontal="left" vertical="center"/>
    </xf>
    <xf numFmtId="0" fontId="8" fillId="6" borderId="128" xfId="2" applyFont="1" applyFill="1" applyBorder="1" applyAlignment="1">
      <alignment horizontal="center" vertical="center" wrapText="1"/>
    </xf>
    <xf numFmtId="0" fontId="8" fillId="6" borderId="19" xfId="2" applyFont="1" applyFill="1" applyBorder="1" applyAlignment="1">
      <alignment horizontal="center" vertical="center"/>
    </xf>
    <xf numFmtId="0" fontId="8" fillId="6" borderId="37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8" fillId="6" borderId="34" xfId="2" applyFont="1" applyFill="1" applyBorder="1" applyAlignment="1">
      <alignment horizontal="center" vertical="center"/>
    </xf>
    <xf numFmtId="41" fontId="55" fillId="6" borderId="37" xfId="3" applyFont="1" applyFill="1" applyBorder="1" applyAlignment="1">
      <alignment horizontal="center" vertical="center" wrapText="1"/>
    </xf>
    <xf numFmtId="41" fontId="55" fillId="6" borderId="30" xfId="3" applyFont="1" applyFill="1" applyBorder="1" applyAlignment="1">
      <alignment horizontal="center" vertical="center" wrapText="1"/>
    </xf>
    <xf numFmtId="41" fontId="55" fillId="6" borderId="23" xfId="3" applyFont="1" applyFill="1" applyBorder="1" applyAlignment="1">
      <alignment horizontal="center" vertical="center" wrapText="1"/>
    </xf>
    <xf numFmtId="41" fontId="55" fillId="6" borderId="3" xfId="3" applyFont="1" applyFill="1" applyBorder="1" applyAlignment="1">
      <alignment horizontal="center" vertical="center" wrapText="1"/>
    </xf>
    <xf numFmtId="0" fontId="31" fillId="0" borderId="0" xfId="11" applyFont="1" applyAlignment="1">
      <alignment horizontal="center"/>
    </xf>
    <xf numFmtId="0" fontId="34" fillId="0" borderId="68" xfId="11" applyFont="1" applyBorder="1" applyAlignment="1">
      <alignment horizontal="center" vertical="center"/>
    </xf>
    <xf numFmtId="0" fontId="34" fillId="0" borderId="158" xfId="11" applyFont="1" applyBorder="1" applyAlignment="1">
      <alignment horizontal="center" vertical="center"/>
    </xf>
    <xf numFmtId="0" fontId="34" fillId="0" borderId="17" xfId="11" applyFont="1" applyBorder="1" applyAlignment="1">
      <alignment horizontal="center" vertical="center"/>
    </xf>
    <xf numFmtId="0" fontId="34" fillId="0" borderId="19" xfId="11" applyFont="1" applyBorder="1" applyAlignment="1">
      <alignment horizontal="center" vertical="center"/>
    </xf>
    <xf numFmtId="0" fontId="34" fillId="3" borderId="62" xfId="11" applyFont="1" applyFill="1" applyBorder="1" applyAlignment="1">
      <alignment horizontal="center" vertical="center"/>
    </xf>
    <xf numFmtId="0" fontId="34" fillId="3" borderId="127" xfId="11" applyFont="1" applyFill="1" applyBorder="1" applyAlignment="1">
      <alignment horizontal="center" vertical="center"/>
    </xf>
    <xf numFmtId="0" fontId="34" fillId="0" borderId="99" xfId="11" applyFont="1" applyBorder="1" applyAlignment="1">
      <alignment horizontal="center" vertical="center"/>
    </xf>
    <xf numFmtId="0" fontId="34" fillId="0" borderId="66" xfId="11" applyFont="1" applyBorder="1" applyAlignment="1">
      <alignment horizontal="center" vertical="center"/>
    </xf>
    <xf numFmtId="0" fontId="99" fillId="0" borderId="0" xfId="11" applyFont="1" applyAlignment="1">
      <alignment horizontal="left" vertical="center"/>
    </xf>
    <xf numFmtId="0" fontId="34" fillId="3" borderId="64" xfId="11" applyFont="1" applyFill="1" applyBorder="1" applyAlignment="1">
      <alignment horizontal="center" vertical="center"/>
    </xf>
    <xf numFmtId="0" fontId="51" fillId="0" borderId="62" xfId="11" applyFont="1" applyBorder="1" applyAlignment="1">
      <alignment horizontal="left" vertical="center"/>
    </xf>
    <xf numFmtId="0" fontId="51" fillId="0" borderId="64" xfId="11" applyFont="1" applyBorder="1" applyAlignment="1">
      <alignment horizontal="left" vertical="center"/>
    </xf>
    <xf numFmtId="0" fontId="51" fillId="0" borderId="127" xfId="11" applyFont="1" applyBorder="1" applyAlignment="1">
      <alignment horizontal="left" vertical="center"/>
    </xf>
    <xf numFmtId="0" fontId="54" fillId="0" borderId="7" xfId="11" applyFont="1" applyBorder="1" applyAlignment="1">
      <alignment horizontal="left" vertical="center"/>
    </xf>
    <xf numFmtId="0" fontId="51" fillId="0" borderId="23" xfId="11" applyFont="1" applyBorder="1" applyAlignment="1">
      <alignment horizontal="left" vertical="center"/>
    </xf>
    <xf numFmtId="0" fontId="39" fillId="0" borderId="49" xfId="93" applyNumberFormat="1" applyFont="1" applyFill="1" applyBorder="1" applyAlignment="1" applyProtection="1">
      <alignment horizontal="left" vertical="center" wrapText="1"/>
      <protection locked="0"/>
    </xf>
    <xf numFmtId="0" fontId="39" fillId="0" borderId="49" xfId="93" applyFont="1" applyFill="1" applyBorder="1" applyAlignment="1" applyProtection="1">
      <alignment horizontal="left" vertical="center" wrapText="1"/>
      <protection locked="0"/>
    </xf>
    <xf numFmtId="0" fontId="39" fillId="0" borderId="49" xfId="93" applyFont="1" applyFill="1" applyBorder="1" applyAlignment="1" applyProtection="1">
      <alignment horizontal="left" vertical="center"/>
      <protection locked="0"/>
    </xf>
    <xf numFmtId="0" fontId="39" fillId="0" borderId="233" xfId="93" applyNumberFormat="1" applyFont="1" applyFill="1" applyBorder="1" applyAlignment="1" applyProtection="1">
      <alignment horizontal="left" vertical="center" wrapText="1"/>
      <protection locked="0"/>
    </xf>
    <xf numFmtId="0" fontId="39" fillId="0" borderId="208" xfId="93" applyNumberFormat="1" applyFont="1" applyFill="1" applyBorder="1" applyAlignment="1" applyProtection="1">
      <alignment horizontal="left" vertical="center" wrapText="1"/>
      <protection locked="0"/>
    </xf>
    <xf numFmtId="187" fontId="118" fillId="0" borderId="197" xfId="93" applyNumberFormat="1" applyFont="1" applyFill="1" applyBorder="1" applyAlignment="1">
      <alignment horizontal="center" vertical="center" wrapText="1"/>
    </xf>
    <xf numFmtId="187" fontId="118" fillId="0" borderId="202" xfId="93" applyNumberFormat="1" applyFont="1" applyFill="1" applyBorder="1" applyAlignment="1">
      <alignment horizontal="center" vertical="center" wrapText="1"/>
    </xf>
    <xf numFmtId="0" fontId="118" fillId="0" borderId="198" xfId="93" applyFont="1" applyFill="1" applyBorder="1" applyAlignment="1">
      <alignment horizontal="center" vertical="center" wrapText="1"/>
    </xf>
    <xf numFmtId="0" fontId="118" fillId="0" borderId="203" xfId="93" applyFont="1" applyFill="1" applyBorder="1" applyAlignment="1">
      <alignment horizontal="center" vertical="center"/>
    </xf>
    <xf numFmtId="0" fontId="119" fillId="0" borderId="204" xfId="93" applyFont="1" applyFill="1" applyBorder="1" applyAlignment="1" applyProtection="1">
      <alignment horizontal="center" vertical="center"/>
      <protection locked="0"/>
    </xf>
    <xf numFmtId="0" fontId="119" fillId="0" borderId="205" xfId="93" applyFont="1" applyFill="1" applyBorder="1" applyAlignment="1" applyProtection="1">
      <alignment horizontal="center" vertical="center"/>
      <protection locked="0"/>
    </xf>
    <xf numFmtId="0" fontId="115" fillId="0" borderId="0" xfId="93" applyFont="1" applyFill="1" applyAlignment="1" applyProtection="1">
      <alignment horizontal="center" vertical="center"/>
      <protection locked="0"/>
    </xf>
    <xf numFmtId="0" fontId="116" fillId="0" borderId="0" xfId="93" applyFont="1" applyFill="1" applyBorder="1" applyAlignment="1" applyProtection="1">
      <alignment horizontal="left" vertical="center"/>
      <protection locked="0"/>
    </xf>
    <xf numFmtId="0" fontId="118" fillId="0" borderId="195" xfId="93" applyFont="1" applyFill="1" applyBorder="1" applyAlignment="1">
      <alignment horizontal="center" vertical="center"/>
    </xf>
    <xf numFmtId="0" fontId="118" fillId="0" borderId="196" xfId="93" applyFont="1" applyFill="1" applyBorder="1" applyAlignment="1">
      <alignment horizontal="center" vertical="center"/>
    </xf>
    <xf numFmtId="0" fontId="118" fillId="0" borderId="46" xfId="93" applyFont="1" applyFill="1" applyBorder="1" applyAlignment="1">
      <alignment horizontal="center" vertical="center"/>
    </xf>
    <xf numFmtId="0" fontId="118" fillId="0" borderId="201" xfId="93" applyFont="1" applyFill="1" applyBorder="1" applyAlignment="1">
      <alignment horizontal="center" vertical="center"/>
    </xf>
    <xf numFmtId="177" fontId="51" fillId="5" borderId="7" xfId="0" applyNumberFormat="1" applyFont="1" applyFill="1" applyBorder="1" applyAlignment="1">
      <alignment vertical="center"/>
    </xf>
    <xf numFmtId="177" fontId="34" fillId="5" borderId="35" xfId="0" applyNumberFormat="1" applyFont="1" applyFill="1" applyBorder="1" applyAlignment="1">
      <alignment vertical="center"/>
    </xf>
  </cellXfs>
  <cellStyles count="104">
    <cellStyle name="20% - 강조색1 2" xfId="33" xr:uid="{00000000-0005-0000-0000-000000000000}"/>
    <cellStyle name="20% - 강조색2 2" xfId="34" xr:uid="{00000000-0005-0000-0000-000001000000}"/>
    <cellStyle name="20% - 강조색3 2" xfId="35" xr:uid="{00000000-0005-0000-0000-000002000000}"/>
    <cellStyle name="20% - 강조색4 2" xfId="36" xr:uid="{00000000-0005-0000-0000-000003000000}"/>
    <cellStyle name="20% - 강조색5 2" xfId="37" xr:uid="{00000000-0005-0000-0000-000004000000}"/>
    <cellStyle name="20% - 강조색6 2" xfId="38" xr:uid="{00000000-0005-0000-0000-000005000000}"/>
    <cellStyle name="40% - 강조색1 2" xfId="39" xr:uid="{00000000-0005-0000-0000-000006000000}"/>
    <cellStyle name="40% - 강조색2 2" xfId="40" xr:uid="{00000000-0005-0000-0000-000007000000}"/>
    <cellStyle name="40% - 강조색3 2" xfId="41" xr:uid="{00000000-0005-0000-0000-000008000000}"/>
    <cellStyle name="40% - 강조색4 2" xfId="42" xr:uid="{00000000-0005-0000-0000-000009000000}"/>
    <cellStyle name="40% - 강조색5 2" xfId="43" xr:uid="{00000000-0005-0000-0000-00000A000000}"/>
    <cellStyle name="40% - 강조색6 2" xfId="44" xr:uid="{00000000-0005-0000-0000-00000B000000}"/>
    <cellStyle name="60% - 강조색1 2" xfId="45" xr:uid="{00000000-0005-0000-0000-00000C000000}"/>
    <cellStyle name="60% - 강조색2 2" xfId="46" xr:uid="{00000000-0005-0000-0000-00000D000000}"/>
    <cellStyle name="60% - 강조색3 2" xfId="47" xr:uid="{00000000-0005-0000-0000-00000E000000}"/>
    <cellStyle name="60% - 강조색4 2" xfId="48" xr:uid="{00000000-0005-0000-0000-00000F000000}"/>
    <cellStyle name="60% - 강조색5 2" xfId="49" xr:uid="{00000000-0005-0000-0000-000010000000}"/>
    <cellStyle name="60% - 강조색6 2" xfId="50" xr:uid="{00000000-0005-0000-0000-000011000000}"/>
    <cellStyle name="강조색1 2" xfId="51" xr:uid="{00000000-0005-0000-0000-000012000000}"/>
    <cellStyle name="강조색2 2" xfId="52" xr:uid="{00000000-0005-0000-0000-000013000000}"/>
    <cellStyle name="강조색3 2" xfId="53" xr:uid="{00000000-0005-0000-0000-000014000000}"/>
    <cellStyle name="강조색4 2" xfId="54" xr:uid="{00000000-0005-0000-0000-000015000000}"/>
    <cellStyle name="강조색5 2" xfId="55" xr:uid="{00000000-0005-0000-0000-000016000000}"/>
    <cellStyle name="강조색6 2" xfId="56" xr:uid="{00000000-0005-0000-0000-000017000000}"/>
    <cellStyle name="경고문 2" xfId="57" xr:uid="{00000000-0005-0000-0000-000018000000}"/>
    <cellStyle name="계산 2" xfId="58" xr:uid="{00000000-0005-0000-0000-000019000000}"/>
    <cellStyle name="나쁨 2" xfId="59" xr:uid="{00000000-0005-0000-0000-00001A000000}"/>
    <cellStyle name="메모 2" xfId="60" xr:uid="{00000000-0005-0000-0000-00001B000000}"/>
    <cellStyle name="백분율 2" xfId="8" xr:uid="{00000000-0005-0000-0000-00001C000000}"/>
    <cellStyle name="백분율 2 2" xfId="25" xr:uid="{00000000-0005-0000-0000-00001D000000}"/>
    <cellStyle name="백분율 3" xfId="15" xr:uid="{00000000-0005-0000-0000-00001E000000}"/>
    <cellStyle name="보통 2" xfId="61" xr:uid="{00000000-0005-0000-0000-00001F000000}"/>
    <cellStyle name="설명 텍스트 2" xfId="62" xr:uid="{00000000-0005-0000-0000-000020000000}"/>
    <cellStyle name="셀 확인 2" xfId="63" xr:uid="{00000000-0005-0000-0000-000021000000}"/>
    <cellStyle name="쉼표 [0]" xfId="1" builtinId="6"/>
    <cellStyle name="쉼표 [0] 10" xfId="92" xr:uid="{DCE034E0-1DE8-41D7-B5A0-26DC6589A30C}"/>
    <cellStyle name="쉼표 [0] 11" xfId="94" xr:uid="{A8C2980E-47FB-49A7-B079-A22013A799D6}"/>
    <cellStyle name="쉼표 [0] 2" xfId="3" xr:uid="{00000000-0005-0000-0000-000023000000}"/>
    <cellStyle name="쉼표 [0] 2 2" xfId="12" xr:uid="{00000000-0005-0000-0000-000024000000}"/>
    <cellStyle name="쉼표 [0] 2 2 2" xfId="28" xr:uid="{00000000-0005-0000-0000-000025000000}"/>
    <cellStyle name="쉼표 [0] 2 2 3" xfId="82" xr:uid="{00000000-0005-0000-0000-000026000000}"/>
    <cellStyle name="쉼표 [0] 2 2 4" xfId="95" xr:uid="{C66236C6-3BCF-4C55-948C-BD5EEEA9D26A}"/>
    <cellStyle name="쉼표 [0] 2 2 5" xfId="97" xr:uid="{4FF7BDF7-8C9E-44E4-9F4F-D4D849FC5F19}"/>
    <cellStyle name="쉼표 [0] 2 3" xfId="16" xr:uid="{00000000-0005-0000-0000-000027000000}"/>
    <cellStyle name="쉼표 [0] 2 3 2" xfId="65" xr:uid="{00000000-0005-0000-0000-000028000000}"/>
    <cellStyle name="쉼표 [0] 2 3 2 2" xfId="98" xr:uid="{06E15D77-B2CA-4707-8BF2-EF0C69026F71}"/>
    <cellStyle name="쉼표 [0] 2 4" xfId="22" xr:uid="{00000000-0005-0000-0000-000029000000}"/>
    <cellStyle name="쉼표 [0] 2 4 2" xfId="103" xr:uid="{C45C2C45-E059-41AC-BFD2-46EB7CC24C13}"/>
    <cellStyle name="쉼표 [0] 2 5" xfId="81" xr:uid="{00000000-0005-0000-0000-00002A000000}"/>
    <cellStyle name="쉼표 [0] 3" xfId="10" xr:uid="{00000000-0005-0000-0000-00002B000000}"/>
    <cellStyle name="쉼표 [0] 3 2" xfId="30" xr:uid="{00000000-0005-0000-0000-00002C000000}"/>
    <cellStyle name="쉼표 [0] 3 3" xfId="21" xr:uid="{00000000-0005-0000-0000-00002D000000}"/>
    <cellStyle name="쉼표 [0] 3 3 2" xfId="101" xr:uid="{665C0E0B-92B6-4CF8-AC8F-EE43768F4EAF}"/>
    <cellStyle name="쉼표 [0] 3 4" xfId="83" xr:uid="{00000000-0005-0000-0000-00002E000000}"/>
    <cellStyle name="쉼표 [0] 4" xfId="4" xr:uid="{00000000-0005-0000-0000-00002F000000}"/>
    <cellStyle name="쉼표 [0] 4 2" xfId="24" xr:uid="{00000000-0005-0000-0000-000030000000}"/>
    <cellStyle name="쉼표 [0] 4 3" xfId="84" xr:uid="{00000000-0005-0000-0000-000031000000}"/>
    <cellStyle name="쉼표 [0] 5" xfId="14" xr:uid="{00000000-0005-0000-0000-000032000000}"/>
    <cellStyle name="쉼표 [0] 5 2" xfId="26" xr:uid="{00000000-0005-0000-0000-000033000000}"/>
    <cellStyle name="쉼표 [0] 5 3" xfId="85" xr:uid="{00000000-0005-0000-0000-000034000000}"/>
    <cellStyle name="쉼표 [0] 6" xfId="6" xr:uid="{00000000-0005-0000-0000-000035000000}"/>
    <cellStyle name="쉼표 [0] 6 2" xfId="27" xr:uid="{00000000-0005-0000-0000-000036000000}"/>
    <cellStyle name="쉼표 [0] 7" xfId="64" xr:uid="{00000000-0005-0000-0000-000037000000}"/>
    <cellStyle name="쉼표 [0] 8" xfId="20" xr:uid="{00000000-0005-0000-0000-000038000000}"/>
    <cellStyle name="쉼표 [0] 9" xfId="80" xr:uid="{00000000-0005-0000-0000-000039000000}"/>
    <cellStyle name="연결된 셀 2" xfId="66" xr:uid="{00000000-0005-0000-0000-00003A000000}"/>
    <cellStyle name="요약 2" xfId="67" xr:uid="{00000000-0005-0000-0000-00003B000000}"/>
    <cellStyle name="입력 2" xfId="68" xr:uid="{00000000-0005-0000-0000-00003C000000}"/>
    <cellStyle name="제목 1 2" xfId="70" xr:uid="{00000000-0005-0000-0000-00003D000000}"/>
    <cellStyle name="제목 2 2" xfId="71" xr:uid="{00000000-0005-0000-0000-00003E000000}"/>
    <cellStyle name="제목 3 2" xfId="72" xr:uid="{00000000-0005-0000-0000-00003F000000}"/>
    <cellStyle name="제목 4 2" xfId="73" xr:uid="{00000000-0005-0000-0000-000040000000}"/>
    <cellStyle name="제목 5" xfId="69" xr:uid="{00000000-0005-0000-0000-000041000000}"/>
    <cellStyle name="좋음 2" xfId="74" xr:uid="{00000000-0005-0000-0000-000042000000}"/>
    <cellStyle name="출력 2" xfId="75" xr:uid="{00000000-0005-0000-0000-000043000000}"/>
    <cellStyle name="표준" xfId="0" builtinId="0"/>
    <cellStyle name="표준 2" xfId="5" xr:uid="{00000000-0005-0000-0000-000045000000}"/>
    <cellStyle name="표준 2 2" xfId="2" xr:uid="{00000000-0005-0000-0000-000046000000}"/>
    <cellStyle name="표준 2 2 2" xfId="11" xr:uid="{00000000-0005-0000-0000-000047000000}"/>
    <cellStyle name="표준 2 2 2 2" xfId="96" xr:uid="{72233203-D6D2-494F-9BC3-B277BA9812A2}"/>
    <cellStyle name="표준 2 3" xfId="29" xr:uid="{00000000-0005-0000-0000-000048000000}"/>
    <cellStyle name="표준 2 4" xfId="76" xr:uid="{00000000-0005-0000-0000-000049000000}"/>
    <cellStyle name="표준 2 5" xfId="19" xr:uid="{00000000-0005-0000-0000-00004A000000}"/>
    <cellStyle name="표준 2 5 2" xfId="78" xr:uid="{00000000-0005-0000-0000-00004B000000}"/>
    <cellStyle name="표준 2 5 2 2" xfId="79" xr:uid="{00000000-0005-0000-0000-00004C000000}"/>
    <cellStyle name="표준 2 5 2 2 2" xfId="89" xr:uid="{4C62170C-9D49-4D77-94D1-C61A200E0165}"/>
    <cellStyle name="표준 2 5 2 2 2 2" xfId="90" xr:uid="{7AEDAC1A-0082-4794-B62E-9B721323DE2A}"/>
    <cellStyle name="표준 2 5 2 2 2 2 3" xfId="91" xr:uid="{5C9486B3-0D07-4593-AB08-14C8AD4C8895}"/>
    <cellStyle name="표준 2 5 2 2 2 2 3 2" xfId="102" xr:uid="{1BA31629-00CC-4FC8-A1FB-3780FB83769D}"/>
    <cellStyle name="표준 2 5 3" xfId="77" xr:uid="{00000000-0005-0000-0000-00004D000000}"/>
    <cellStyle name="표준 2 6" xfId="23" xr:uid="{00000000-0005-0000-0000-00004E000000}"/>
    <cellStyle name="표준 3" xfId="7" xr:uid="{00000000-0005-0000-0000-00004F000000}"/>
    <cellStyle name="표준 3 2" xfId="13" xr:uid="{00000000-0005-0000-0000-000050000000}"/>
    <cellStyle name="표준 3 2 2" xfId="18" xr:uid="{00000000-0005-0000-0000-000051000000}"/>
    <cellStyle name="표준 3 2 2 2" xfId="100" xr:uid="{7477FEA2-2175-4746-9E7F-DD3A7662832C}"/>
    <cellStyle name="표준 3 3" xfId="31" xr:uid="{00000000-0005-0000-0000-000052000000}"/>
    <cellStyle name="표준 4" xfId="9" xr:uid="{00000000-0005-0000-0000-000053000000}"/>
    <cellStyle name="표준 4 2" xfId="86" xr:uid="{00000000-0005-0000-0000-000054000000}"/>
    <cellStyle name="표준 5" xfId="17" xr:uid="{00000000-0005-0000-0000-000055000000}"/>
    <cellStyle name="표준 5 2" xfId="87" xr:uid="{00000000-0005-0000-0000-000056000000}"/>
    <cellStyle name="표준 5 3" xfId="99" xr:uid="{B90D6960-568A-49B5-929F-DD07C05962CE}"/>
    <cellStyle name="표준 6" xfId="32" xr:uid="{00000000-0005-0000-0000-000057000000}"/>
    <cellStyle name="표준 7" xfId="88" xr:uid="{00000000-0005-0000-0000-000058000000}"/>
    <cellStyle name="표준 8" xfId="93" xr:uid="{5E1F0647-9DCF-4460-9978-AA8589798261}"/>
  </cellStyles>
  <dxfs count="159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7CAAC"/>
          <bgColor rgb="FFF7CAA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203864"/>
      </font>
      <fill>
        <patternFill patternType="solid">
          <fgColor rgb="FFBED7EE"/>
          <bgColor rgb="FFBED7EE"/>
        </patternFill>
      </fill>
    </dxf>
    <dxf>
      <fill>
        <patternFill patternType="solid">
          <fgColor rgb="FFDBDBDB"/>
          <bgColor rgb="FFDBDBDB"/>
        </patternFill>
      </fill>
    </dxf>
    <dxf>
      <fill>
        <patternFill patternType="solid">
          <fgColor rgb="FFCC99FF"/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447114</xdr:colOff>
      <xdr:row>12</xdr:row>
      <xdr:rowOff>80124</xdr:rowOff>
    </xdr:from>
    <xdr:to>
      <xdr:col>6</xdr:col>
      <xdr:colOff>1319492</xdr:colOff>
      <xdr:row>16</xdr:row>
      <xdr:rowOff>161926</xdr:rowOff>
    </xdr:to>
    <xdr:pic>
      <xdr:nvPicPr>
        <xdr:cNvPr id="2" name="_x118233016" descr="EMB00002d0449d9">
          <a:extLst>
            <a:ext uri="{FF2B5EF4-FFF2-40B4-BE49-F238E27FC236}">
              <a16:creationId xmlns:a16="http://schemas.microsoft.com/office/drawing/2014/main" id="{8D84229E-9EB4-48C1-86DB-ADDF6586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014" y="4071099"/>
          <a:ext cx="3844178" cy="88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620;&#49368;/&#9675;%20&#50696;&#49328;/2024&#45380;/2.%20&#44277;&#45800;%20&#52628;&#44221;/2.%20&#51228;2&#54924;%20&#52628;&#44032;&#44221;&#51221;(&#50504;)/&#48537;&#51076;%201.%20&#51228;2&#54924;%20&#52628;&#44032;&#44221;&#51221;&#50696;&#49328;(&#50504;)_&#49688;&#5122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620;&#49368;\&#9675;%20&#50696;&#49328;\2024&#45380;\2.%20&#44277;&#45800;%20&#52628;&#44221;\2.%20&#51228;2&#54924;%20&#52628;&#44032;&#44221;&#51221;(&#50504;)\&#48537;&#51076;%201.%20&#51228;2&#54924;%20&#52628;&#44032;&#44221;&#51221;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1.사업운영계획"/>
      <sheetName val="사업운영계획1장"/>
      <sheetName val="2.예산총칙"/>
      <sheetName val="예산총칙"/>
      <sheetName val="3.예산총괄표"/>
      <sheetName val="예산총괄표3장"/>
      <sheetName val="3-1.사업예산총괄표"/>
      <sheetName val="3-2.자본예산총괄표"/>
      <sheetName val="가. 수입예산 총괄표(사업수익+자본적수입)"/>
      <sheetName val="나. 지출예산 총괄표"/>
      <sheetName val="경영본부"/>
      <sheetName val="교통휴양시설부"/>
      <sheetName val="도시미화부"/>
      <sheetName val="체육시설부"/>
      <sheetName val="환경자원사업소"/>
      <sheetName val="4.자금운영계획"/>
      <sheetName val="자금운용수입4장"/>
      <sheetName val="자금운용지출5장"/>
      <sheetName val="사고이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2">
          <cell r="J202"/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본부"/>
      <sheetName val="교통휴양시설부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18"/>
  <sheetViews>
    <sheetView zoomScaleNormal="100" workbookViewId="0">
      <selection activeCell="A8" sqref="A8:H8"/>
    </sheetView>
  </sheetViews>
  <sheetFormatPr defaultRowHeight="13.5"/>
  <cols>
    <col min="1" max="2" width="12.25" style="91" customWidth="1"/>
    <col min="3" max="3" width="10.875" style="91" customWidth="1"/>
    <col min="4" max="4" width="10.125" style="91" customWidth="1"/>
    <col min="5" max="6" width="9" style="91"/>
    <col min="7" max="7" width="33.5" style="91" customWidth="1"/>
    <col min="8" max="8" width="16.25" style="91" customWidth="1"/>
    <col min="9" max="256" width="9" style="91"/>
    <col min="257" max="258" width="12.25" style="91" customWidth="1"/>
    <col min="259" max="259" width="10.875" style="91" customWidth="1"/>
    <col min="260" max="260" width="10.125" style="91" customWidth="1"/>
    <col min="261" max="262" width="9" style="91"/>
    <col min="263" max="263" width="48.25" style="91" customWidth="1"/>
    <col min="264" max="512" width="9" style="91"/>
    <col min="513" max="514" width="12.25" style="91" customWidth="1"/>
    <col min="515" max="515" width="10.875" style="91" customWidth="1"/>
    <col min="516" max="516" width="10.125" style="91" customWidth="1"/>
    <col min="517" max="518" width="9" style="91"/>
    <col min="519" max="519" width="48.25" style="91" customWidth="1"/>
    <col min="520" max="768" width="9" style="91"/>
    <col min="769" max="770" width="12.25" style="91" customWidth="1"/>
    <col min="771" max="771" width="10.875" style="91" customWidth="1"/>
    <col min="772" max="772" width="10.125" style="91" customWidth="1"/>
    <col min="773" max="774" width="9" style="91"/>
    <col min="775" max="775" width="48.25" style="91" customWidth="1"/>
    <col min="776" max="1024" width="9" style="91"/>
    <col min="1025" max="1026" width="12.25" style="91" customWidth="1"/>
    <col min="1027" max="1027" width="10.875" style="91" customWidth="1"/>
    <col min="1028" max="1028" width="10.125" style="91" customWidth="1"/>
    <col min="1029" max="1030" width="9" style="91"/>
    <col min="1031" max="1031" width="48.25" style="91" customWidth="1"/>
    <col min="1032" max="1280" width="9" style="91"/>
    <col min="1281" max="1282" width="12.25" style="91" customWidth="1"/>
    <col min="1283" max="1283" width="10.875" style="91" customWidth="1"/>
    <col min="1284" max="1284" width="10.125" style="91" customWidth="1"/>
    <col min="1285" max="1286" width="9" style="91"/>
    <col min="1287" max="1287" width="48.25" style="91" customWidth="1"/>
    <col min="1288" max="1536" width="9" style="91"/>
    <col min="1537" max="1538" width="12.25" style="91" customWidth="1"/>
    <col min="1539" max="1539" width="10.875" style="91" customWidth="1"/>
    <col min="1540" max="1540" width="10.125" style="91" customWidth="1"/>
    <col min="1541" max="1542" width="9" style="91"/>
    <col min="1543" max="1543" width="48.25" style="91" customWidth="1"/>
    <col min="1544" max="1792" width="9" style="91"/>
    <col min="1793" max="1794" width="12.25" style="91" customWidth="1"/>
    <col min="1795" max="1795" width="10.875" style="91" customWidth="1"/>
    <col min="1796" max="1796" width="10.125" style="91" customWidth="1"/>
    <col min="1797" max="1798" width="9" style="91"/>
    <col min="1799" max="1799" width="48.25" style="91" customWidth="1"/>
    <col min="1800" max="2048" width="9" style="91"/>
    <col min="2049" max="2050" width="12.25" style="91" customWidth="1"/>
    <col min="2051" max="2051" width="10.875" style="91" customWidth="1"/>
    <col min="2052" max="2052" width="10.125" style="91" customWidth="1"/>
    <col min="2053" max="2054" width="9" style="91"/>
    <col min="2055" max="2055" width="48.25" style="91" customWidth="1"/>
    <col min="2056" max="2304" width="9" style="91"/>
    <col min="2305" max="2306" width="12.25" style="91" customWidth="1"/>
    <col min="2307" max="2307" width="10.875" style="91" customWidth="1"/>
    <col min="2308" max="2308" width="10.125" style="91" customWidth="1"/>
    <col min="2309" max="2310" width="9" style="91"/>
    <col min="2311" max="2311" width="48.25" style="91" customWidth="1"/>
    <col min="2312" max="2560" width="9" style="91"/>
    <col min="2561" max="2562" width="12.25" style="91" customWidth="1"/>
    <col min="2563" max="2563" width="10.875" style="91" customWidth="1"/>
    <col min="2564" max="2564" width="10.125" style="91" customWidth="1"/>
    <col min="2565" max="2566" width="9" style="91"/>
    <col min="2567" max="2567" width="48.25" style="91" customWidth="1"/>
    <col min="2568" max="2816" width="9" style="91"/>
    <col min="2817" max="2818" width="12.25" style="91" customWidth="1"/>
    <col min="2819" max="2819" width="10.875" style="91" customWidth="1"/>
    <col min="2820" max="2820" width="10.125" style="91" customWidth="1"/>
    <col min="2821" max="2822" width="9" style="91"/>
    <col min="2823" max="2823" width="48.25" style="91" customWidth="1"/>
    <col min="2824" max="3072" width="9" style="91"/>
    <col min="3073" max="3074" width="12.25" style="91" customWidth="1"/>
    <col min="3075" max="3075" width="10.875" style="91" customWidth="1"/>
    <col min="3076" max="3076" width="10.125" style="91" customWidth="1"/>
    <col min="3077" max="3078" width="9" style="91"/>
    <col min="3079" max="3079" width="48.25" style="91" customWidth="1"/>
    <col min="3080" max="3328" width="9" style="91"/>
    <col min="3329" max="3330" width="12.25" style="91" customWidth="1"/>
    <col min="3331" max="3331" width="10.875" style="91" customWidth="1"/>
    <col min="3332" max="3332" width="10.125" style="91" customWidth="1"/>
    <col min="3333" max="3334" width="9" style="91"/>
    <col min="3335" max="3335" width="48.25" style="91" customWidth="1"/>
    <col min="3336" max="3584" width="9" style="91"/>
    <col min="3585" max="3586" width="12.25" style="91" customWidth="1"/>
    <col min="3587" max="3587" width="10.875" style="91" customWidth="1"/>
    <col min="3588" max="3588" width="10.125" style="91" customWidth="1"/>
    <col min="3589" max="3590" width="9" style="91"/>
    <col min="3591" max="3591" width="48.25" style="91" customWidth="1"/>
    <col min="3592" max="3840" width="9" style="91"/>
    <col min="3841" max="3842" width="12.25" style="91" customWidth="1"/>
    <col min="3843" max="3843" width="10.875" style="91" customWidth="1"/>
    <col min="3844" max="3844" width="10.125" style="91" customWidth="1"/>
    <col min="3845" max="3846" width="9" style="91"/>
    <col min="3847" max="3847" width="48.25" style="91" customWidth="1"/>
    <col min="3848" max="4096" width="9" style="91"/>
    <col min="4097" max="4098" width="12.25" style="91" customWidth="1"/>
    <col min="4099" max="4099" width="10.875" style="91" customWidth="1"/>
    <col min="4100" max="4100" width="10.125" style="91" customWidth="1"/>
    <col min="4101" max="4102" width="9" style="91"/>
    <col min="4103" max="4103" width="48.25" style="91" customWidth="1"/>
    <col min="4104" max="4352" width="9" style="91"/>
    <col min="4353" max="4354" width="12.25" style="91" customWidth="1"/>
    <col min="4355" max="4355" width="10.875" style="91" customWidth="1"/>
    <col min="4356" max="4356" width="10.125" style="91" customWidth="1"/>
    <col min="4357" max="4358" width="9" style="91"/>
    <col min="4359" max="4359" width="48.25" style="91" customWidth="1"/>
    <col min="4360" max="4608" width="9" style="91"/>
    <col min="4609" max="4610" width="12.25" style="91" customWidth="1"/>
    <col min="4611" max="4611" width="10.875" style="91" customWidth="1"/>
    <col min="4612" max="4612" width="10.125" style="91" customWidth="1"/>
    <col min="4613" max="4614" width="9" style="91"/>
    <col min="4615" max="4615" width="48.25" style="91" customWidth="1"/>
    <col min="4616" max="4864" width="9" style="91"/>
    <col min="4865" max="4866" width="12.25" style="91" customWidth="1"/>
    <col min="4867" max="4867" width="10.875" style="91" customWidth="1"/>
    <col min="4868" max="4868" width="10.125" style="91" customWidth="1"/>
    <col min="4869" max="4870" width="9" style="91"/>
    <col min="4871" max="4871" width="48.25" style="91" customWidth="1"/>
    <col min="4872" max="5120" width="9" style="91"/>
    <col min="5121" max="5122" width="12.25" style="91" customWidth="1"/>
    <col min="5123" max="5123" width="10.875" style="91" customWidth="1"/>
    <col min="5124" max="5124" width="10.125" style="91" customWidth="1"/>
    <col min="5125" max="5126" width="9" style="91"/>
    <col min="5127" max="5127" width="48.25" style="91" customWidth="1"/>
    <col min="5128" max="5376" width="9" style="91"/>
    <col min="5377" max="5378" width="12.25" style="91" customWidth="1"/>
    <col min="5379" max="5379" width="10.875" style="91" customWidth="1"/>
    <col min="5380" max="5380" width="10.125" style="91" customWidth="1"/>
    <col min="5381" max="5382" width="9" style="91"/>
    <col min="5383" max="5383" width="48.25" style="91" customWidth="1"/>
    <col min="5384" max="5632" width="9" style="91"/>
    <col min="5633" max="5634" width="12.25" style="91" customWidth="1"/>
    <col min="5635" max="5635" width="10.875" style="91" customWidth="1"/>
    <col min="5636" max="5636" width="10.125" style="91" customWidth="1"/>
    <col min="5637" max="5638" width="9" style="91"/>
    <col min="5639" max="5639" width="48.25" style="91" customWidth="1"/>
    <col min="5640" max="5888" width="9" style="91"/>
    <col min="5889" max="5890" width="12.25" style="91" customWidth="1"/>
    <col min="5891" max="5891" width="10.875" style="91" customWidth="1"/>
    <col min="5892" max="5892" width="10.125" style="91" customWidth="1"/>
    <col min="5893" max="5894" width="9" style="91"/>
    <col min="5895" max="5895" width="48.25" style="91" customWidth="1"/>
    <col min="5896" max="6144" width="9" style="91"/>
    <col min="6145" max="6146" width="12.25" style="91" customWidth="1"/>
    <col min="6147" max="6147" width="10.875" style="91" customWidth="1"/>
    <col min="6148" max="6148" width="10.125" style="91" customWidth="1"/>
    <col min="6149" max="6150" width="9" style="91"/>
    <col min="6151" max="6151" width="48.25" style="91" customWidth="1"/>
    <col min="6152" max="6400" width="9" style="91"/>
    <col min="6401" max="6402" width="12.25" style="91" customWidth="1"/>
    <col min="6403" max="6403" width="10.875" style="91" customWidth="1"/>
    <col min="6404" max="6404" width="10.125" style="91" customWidth="1"/>
    <col min="6405" max="6406" width="9" style="91"/>
    <col min="6407" max="6407" width="48.25" style="91" customWidth="1"/>
    <col min="6408" max="6656" width="9" style="91"/>
    <col min="6657" max="6658" width="12.25" style="91" customWidth="1"/>
    <col min="6659" max="6659" width="10.875" style="91" customWidth="1"/>
    <col min="6660" max="6660" width="10.125" style="91" customWidth="1"/>
    <col min="6661" max="6662" width="9" style="91"/>
    <col min="6663" max="6663" width="48.25" style="91" customWidth="1"/>
    <col min="6664" max="6912" width="9" style="91"/>
    <col min="6913" max="6914" width="12.25" style="91" customWidth="1"/>
    <col min="6915" max="6915" width="10.875" style="91" customWidth="1"/>
    <col min="6916" max="6916" width="10.125" style="91" customWidth="1"/>
    <col min="6917" max="6918" width="9" style="91"/>
    <col min="6919" max="6919" width="48.25" style="91" customWidth="1"/>
    <col min="6920" max="7168" width="9" style="91"/>
    <col min="7169" max="7170" width="12.25" style="91" customWidth="1"/>
    <col min="7171" max="7171" width="10.875" style="91" customWidth="1"/>
    <col min="7172" max="7172" width="10.125" style="91" customWidth="1"/>
    <col min="7173" max="7174" width="9" style="91"/>
    <col min="7175" max="7175" width="48.25" style="91" customWidth="1"/>
    <col min="7176" max="7424" width="9" style="91"/>
    <col min="7425" max="7426" width="12.25" style="91" customWidth="1"/>
    <col min="7427" max="7427" width="10.875" style="91" customWidth="1"/>
    <col min="7428" max="7428" width="10.125" style="91" customWidth="1"/>
    <col min="7429" max="7430" width="9" style="91"/>
    <col min="7431" max="7431" width="48.25" style="91" customWidth="1"/>
    <col min="7432" max="7680" width="9" style="91"/>
    <col min="7681" max="7682" width="12.25" style="91" customWidth="1"/>
    <col min="7683" max="7683" width="10.875" style="91" customWidth="1"/>
    <col min="7684" max="7684" width="10.125" style="91" customWidth="1"/>
    <col min="7685" max="7686" width="9" style="91"/>
    <col min="7687" max="7687" width="48.25" style="91" customWidth="1"/>
    <col min="7688" max="7936" width="9" style="91"/>
    <col min="7937" max="7938" width="12.25" style="91" customWidth="1"/>
    <col min="7939" max="7939" width="10.875" style="91" customWidth="1"/>
    <col min="7940" max="7940" width="10.125" style="91" customWidth="1"/>
    <col min="7941" max="7942" width="9" style="91"/>
    <col min="7943" max="7943" width="48.25" style="91" customWidth="1"/>
    <col min="7944" max="8192" width="9" style="91"/>
    <col min="8193" max="8194" width="12.25" style="91" customWidth="1"/>
    <col min="8195" max="8195" width="10.875" style="91" customWidth="1"/>
    <col min="8196" max="8196" width="10.125" style="91" customWidth="1"/>
    <col min="8197" max="8198" width="9" style="91"/>
    <col min="8199" max="8199" width="48.25" style="91" customWidth="1"/>
    <col min="8200" max="8448" width="9" style="91"/>
    <col min="8449" max="8450" width="12.25" style="91" customWidth="1"/>
    <col min="8451" max="8451" width="10.875" style="91" customWidth="1"/>
    <col min="8452" max="8452" width="10.125" style="91" customWidth="1"/>
    <col min="8453" max="8454" width="9" style="91"/>
    <col min="8455" max="8455" width="48.25" style="91" customWidth="1"/>
    <col min="8456" max="8704" width="9" style="91"/>
    <col min="8705" max="8706" width="12.25" style="91" customWidth="1"/>
    <col min="8707" max="8707" width="10.875" style="91" customWidth="1"/>
    <col min="8708" max="8708" width="10.125" style="91" customWidth="1"/>
    <col min="8709" max="8710" width="9" style="91"/>
    <col min="8711" max="8711" width="48.25" style="91" customWidth="1"/>
    <col min="8712" max="8960" width="9" style="91"/>
    <col min="8961" max="8962" width="12.25" style="91" customWidth="1"/>
    <col min="8963" max="8963" width="10.875" style="91" customWidth="1"/>
    <col min="8964" max="8964" width="10.125" style="91" customWidth="1"/>
    <col min="8965" max="8966" width="9" style="91"/>
    <col min="8967" max="8967" width="48.25" style="91" customWidth="1"/>
    <col min="8968" max="9216" width="9" style="91"/>
    <col min="9217" max="9218" width="12.25" style="91" customWidth="1"/>
    <col min="9219" max="9219" width="10.875" style="91" customWidth="1"/>
    <col min="9220" max="9220" width="10.125" style="91" customWidth="1"/>
    <col min="9221" max="9222" width="9" style="91"/>
    <col min="9223" max="9223" width="48.25" style="91" customWidth="1"/>
    <col min="9224" max="9472" width="9" style="91"/>
    <col min="9473" max="9474" width="12.25" style="91" customWidth="1"/>
    <col min="9475" max="9475" width="10.875" style="91" customWidth="1"/>
    <col min="9476" max="9476" width="10.125" style="91" customWidth="1"/>
    <col min="9477" max="9478" width="9" style="91"/>
    <col min="9479" max="9479" width="48.25" style="91" customWidth="1"/>
    <col min="9480" max="9728" width="9" style="91"/>
    <col min="9729" max="9730" width="12.25" style="91" customWidth="1"/>
    <col min="9731" max="9731" width="10.875" style="91" customWidth="1"/>
    <col min="9732" max="9732" width="10.125" style="91" customWidth="1"/>
    <col min="9733" max="9734" width="9" style="91"/>
    <col min="9735" max="9735" width="48.25" style="91" customWidth="1"/>
    <col min="9736" max="9984" width="9" style="91"/>
    <col min="9985" max="9986" width="12.25" style="91" customWidth="1"/>
    <col min="9987" max="9987" width="10.875" style="91" customWidth="1"/>
    <col min="9988" max="9988" width="10.125" style="91" customWidth="1"/>
    <col min="9989" max="9990" width="9" style="91"/>
    <col min="9991" max="9991" width="48.25" style="91" customWidth="1"/>
    <col min="9992" max="10240" width="9" style="91"/>
    <col min="10241" max="10242" width="12.25" style="91" customWidth="1"/>
    <col min="10243" max="10243" width="10.875" style="91" customWidth="1"/>
    <col min="10244" max="10244" width="10.125" style="91" customWidth="1"/>
    <col min="10245" max="10246" width="9" style="91"/>
    <col min="10247" max="10247" width="48.25" style="91" customWidth="1"/>
    <col min="10248" max="10496" width="9" style="91"/>
    <col min="10497" max="10498" width="12.25" style="91" customWidth="1"/>
    <col min="10499" max="10499" width="10.875" style="91" customWidth="1"/>
    <col min="10500" max="10500" width="10.125" style="91" customWidth="1"/>
    <col min="10501" max="10502" width="9" style="91"/>
    <col min="10503" max="10503" width="48.25" style="91" customWidth="1"/>
    <col min="10504" max="10752" width="9" style="91"/>
    <col min="10753" max="10754" width="12.25" style="91" customWidth="1"/>
    <col min="10755" max="10755" width="10.875" style="91" customWidth="1"/>
    <col min="10756" max="10756" width="10.125" style="91" customWidth="1"/>
    <col min="10757" max="10758" width="9" style="91"/>
    <col min="10759" max="10759" width="48.25" style="91" customWidth="1"/>
    <col min="10760" max="11008" width="9" style="91"/>
    <col min="11009" max="11010" width="12.25" style="91" customWidth="1"/>
    <col min="11011" max="11011" width="10.875" style="91" customWidth="1"/>
    <col min="11012" max="11012" width="10.125" style="91" customWidth="1"/>
    <col min="11013" max="11014" width="9" style="91"/>
    <col min="11015" max="11015" width="48.25" style="91" customWidth="1"/>
    <col min="11016" max="11264" width="9" style="91"/>
    <col min="11265" max="11266" width="12.25" style="91" customWidth="1"/>
    <col min="11267" max="11267" width="10.875" style="91" customWidth="1"/>
    <col min="11268" max="11268" width="10.125" style="91" customWidth="1"/>
    <col min="11269" max="11270" width="9" style="91"/>
    <col min="11271" max="11271" width="48.25" style="91" customWidth="1"/>
    <col min="11272" max="11520" width="9" style="91"/>
    <col min="11521" max="11522" width="12.25" style="91" customWidth="1"/>
    <col min="11523" max="11523" width="10.875" style="91" customWidth="1"/>
    <col min="11524" max="11524" width="10.125" style="91" customWidth="1"/>
    <col min="11525" max="11526" width="9" style="91"/>
    <col min="11527" max="11527" width="48.25" style="91" customWidth="1"/>
    <col min="11528" max="11776" width="9" style="91"/>
    <col min="11777" max="11778" width="12.25" style="91" customWidth="1"/>
    <col min="11779" max="11779" width="10.875" style="91" customWidth="1"/>
    <col min="11780" max="11780" width="10.125" style="91" customWidth="1"/>
    <col min="11781" max="11782" width="9" style="91"/>
    <col min="11783" max="11783" width="48.25" style="91" customWidth="1"/>
    <col min="11784" max="12032" width="9" style="91"/>
    <col min="12033" max="12034" width="12.25" style="91" customWidth="1"/>
    <col min="12035" max="12035" width="10.875" style="91" customWidth="1"/>
    <col min="12036" max="12036" width="10.125" style="91" customWidth="1"/>
    <col min="12037" max="12038" width="9" style="91"/>
    <col min="12039" max="12039" width="48.25" style="91" customWidth="1"/>
    <col min="12040" max="12288" width="9" style="91"/>
    <col min="12289" max="12290" width="12.25" style="91" customWidth="1"/>
    <col min="12291" max="12291" width="10.875" style="91" customWidth="1"/>
    <col min="12292" max="12292" width="10.125" style="91" customWidth="1"/>
    <col min="12293" max="12294" width="9" style="91"/>
    <col min="12295" max="12295" width="48.25" style="91" customWidth="1"/>
    <col min="12296" max="12544" width="9" style="91"/>
    <col min="12545" max="12546" width="12.25" style="91" customWidth="1"/>
    <col min="12547" max="12547" width="10.875" style="91" customWidth="1"/>
    <col min="12548" max="12548" width="10.125" style="91" customWidth="1"/>
    <col min="12549" max="12550" width="9" style="91"/>
    <col min="12551" max="12551" width="48.25" style="91" customWidth="1"/>
    <col min="12552" max="12800" width="9" style="91"/>
    <col min="12801" max="12802" width="12.25" style="91" customWidth="1"/>
    <col min="12803" max="12803" width="10.875" style="91" customWidth="1"/>
    <col min="12804" max="12804" width="10.125" style="91" customWidth="1"/>
    <col min="12805" max="12806" width="9" style="91"/>
    <col min="12807" max="12807" width="48.25" style="91" customWidth="1"/>
    <col min="12808" max="13056" width="9" style="91"/>
    <col min="13057" max="13058" width="12.25" style="91" customWidth="1"/>
    <col min="13059" max="13059" width="10.875" style="91" customWidth="1"/>
    <col min="13060" max="13060" width="10.125" style="91" customWidth="1"/>
    <col min="13061" max="13062" width="9" style="91"/>
    <col min="13063" max="13063" width="48.25" style="91" customWidth="1"/>
    <col min="13064" max="13312" width="9" style="91"/>
    <col min="13313" max="13314" width="12.25" style="91" customWidth="1"/>
    <col min="13315" max="13315" width="10.875" style="91" customWidth="1"/>
    <col min="13316" max="13316" width="10.125" style="91" customWidth="1"/>
    <col min="13317" max="13318" width="9" style="91"/>
    <col min="13319" max="13319" width="48.25" style="91" customWidth="1"/>
    <col min="13320" max="13568" width="9" style="91"/>
    <col min="13569" max="13570" width="12.25" style="91" customWidth="1"/>
    <col min="13571" max="13571" width="10.875" style="91" customWidth="1"/>
    <col min="13572" max="13572" width="10.125" style="91" customWidth="1"/>
    <col min="13573" max="13574" width="9" style="91"/>
    <col min="13575" max="13575" width="48.25" style="91" customWidth="1"/>
    <col min="13576" max="13824" width="9" style="91"/>
    <col min="13825" max="13826" width="12.25" style="91" customWidth="1"/>
    <col min="13827" max="13827" width="10.875" style="91" customWidth="1"/>
    <col min="13828" max="13828" width="10.125" style="91" customWidth="1"/>
    <col min="13829" max="13830" width="9" style="91"/>
    <col min="13831" max="13831" width="48.25" style="91" customWidth="1"/>
    <col min="13832" max="14080" width="9" style="91"/>
    <col min="14081" max="14082" width="12.25" style="91" customWidth="1"/>
    <col min="14083" max="14083" width="10.875" style="91" customWidth="1"/>
    <col min="14084" max="14084" width="10.125" style="91" customWidth="1"/>
    <col min="14085" max="14086" width="9" style="91"/>
    <col min="14087" max="14087" width="48.25" style="91" customWidth="1"/>
    <col min="14088" max="14336" width="9" style="91"/>
    <col min="14337" max="14338" width="12.25" style="91" customWidth="1"/>
    <col min="14339" max="14339" width="10.875" style="91" customWidth="1"/>
    <col min="14340" max="14340" width="10.125" style="91" customWidth="1"/>
    <col min="14341" max="14342" width="9" style="91"/>
    <col min="14343" max="14343" width="48.25" style="91" customWidth="1"/>
    <col min="14344" max="14592" width="9" style="91"/>
    <col min="14593" max="14594" width="12.25" style="91" customWidth="1"/>
    <col min="14595" max="14595" width="10.875" style="91" customWidth="1"/>
    <col min="14596" max="14596" width="10.125" style="91" customWidth="1"/>
    <col min="14597" max="14598" width="9" style="91"/>
    <col min="14599" max="14599" width="48.25" style="91" customWidth="1"/>
    <col min="14600" max="14848" width="9" style="91"/>
    <col min="14849" max="14850" width="12.25" style="91" customWidth="1"/>
    <col min="14851" max="14851" width="10.875" style="91" customWidth="1"/>
    <col min="14852" max="14852" width="10.125" style="91" customWidth="1"/>
    <col min="14853" max="14854" width="9" style="91"/>
    <col min="14855" max="14855" width="48.25" style="91" customWidth="1"/>
    <col min="14856" max="15104" width="9" style="91"/>
    <col min="15105" max="15106" width="12.25" style="91" customWidth="1"/>
    <col min="15107" max="15107" width="10.875" style="91" customWidth="1"/>
    <col min="15108" max="15108" width="10.125" style="91" customWidth="1"/>
    <col min="15109" max="15110" width="9" style="91"/>
    <col min="15111" max="15111" width="48.25" style="91" customWidth="1"/>
    <col min="15112" max="15360" width="9" style="91"/>
    <col min="15361" max="15362" width="12.25" style="91" customWidth="1"/>
    <col min="15363" max="15363" width="10.875" style="91" customWidth="1"/>
    <col min="15364" max="15364" width="10.125" style="91" customWidth="1"/>
    <col min="15365" max="15366" width="9" style="91"/>
    <col min="15367" max="15367" width="48.25" style="91" customWidth="1"/>
    <col min="15368" max="15616" width="9" style="91"/>
    <col min="15617" max="15618" width="12.25" style="91" customWidth="1"/>
    <col min="15619" max="15619" width="10.875" style="91" customWidth="1"/>
    <col min="15620" max="15620" width="10.125" style="91" customWidth="1"/>
    <col min="15621" max="15622" width="9" style="91"/>
    <col min="15623" max="15623" width="48.25" style="91" customWidth="1"/>
    <col min="15624" max="15872" width="9" style="91"/>
    <col min="15873" max="15874" width="12.25" style="91" customWidth="1"/>
    <col min="15875" max="15875" width="10.875" style="91" customWidth="1"/>
    <col min="15876" max="15876" width="10.125" style="91" customWidth="1"/>
    <col min="15877" max="15878" width="9" style="91"/>
    <col min="15879" max="15879" width="48.25" style="91" customWidth="1"/>
    <col min="15880" max="16128" width="9" style="91"/>
    <col min="16129" max="16130" width="12.25" style="91" customWidth="1"/>
    <col min="16131" max="16131" width="10.875" style="91" customWidth="1"/>
    <col min="16132" max="16132" width="10.125" style="91" customWidth="1"/>
    <col min="16133" max="16134" width="9" style="91"/>
    <col min="16135" max="16135" width="48.25" style="91" customWidth="1"/>
    <col min="16136" max="16384" width="9" style="91"/>
  </cols>
  <sheetData>
    <row r="1" spans="1:8" ht="28.5" customHeight="1">
      <c r="A1" s="2801"/>
      <c r="B1" s="2801"/>
      <c r="C1" s="2801"/>
      <c r="D1" s="2801"/>
      <c r="E1" s="2801"/>
      <c r="F1" s="2801"/>
      <c r="G1" s="2801"/>
      <c r="H1" s="2801"/>
    </row>
    <row r="2" spans="1:8" ht="28.5" customHeight="1" thickBot="1">
      <c r="A2" s="92"/>
      <c r="B2" s="92"/>
      <c r="C2" s="92"/>
      <c r="D2" s="92"/>
      <c r="E2" s="92"/>
      <c r="F2" s="92"/>
      <c r="G2" s="92"/>
      <c r="H2" s="92" t="s">
        <v>113</v>
      </c>
    </row>
    <row r="3" spans="1:8" ht="34.5" customHeight="1" thickTop="1">
      <c r="A3" s="93"/>
      <c r="B3" s="94"/>
    </row>
    <row r="5" spans="1:8" ht="22.5" customHeight="1">
      <c r="H5" s="95" t="s">
        <v>2515</v>
      </c>
    </row>
    <row r="6" spans="1:8" ht="39" customHeight="1">
      <c r="A6" s="2802" t="s">
        <v>1528</v>
      </c>
      <c r="B6" s="2803"/>
      <c r="C6" s="2803"/>
      <c r="D6" s="2803"/>
      <c r="E6" s="2803"/>
      <c r="F6" s="2803"/>
      <c r="G6" s="2803"/>
      <c r="H6" s="2803"/>
    </row>
    <row r="7" spans="1:8" ht="11.25" customHeight="1"/>
    <row r="8" spans="1:8" ht="50.25" customHeight="1">
      <c r="A8" s="2804" t="s">
        <v>2516</v>
      </c>
      <c r="B8" s="2804"/>
      <c r="C8" s="2804"/>
      <c r="D8" s="2804"/>
      <c r="E8" s="2804"/>
      <c r="F8" s="2804"/>
      <c r="G8" s="2804"/>
      <c r="H8" s="2804"/>
    </row>
    <row r="9" spans="1:8" ht="27.75" customHeight="1">
      <c r="A9" s="96"/>
      <c r="B9" s="2805"/>
      <c r="C9" s="2805"/>
      <c r="D9" s="2805"/>
      <c r="E9" s="2805"/>
      <c r="F9" s="2805"/>
      <c r="G9" s="2805"/>
    </row>
    <row r="10" spans="1:8" ht="16.5" customHeight="1">
      <c r="A10" s="96"/>
      <c r="B10" s="96"/>
      <c r="C10" s="96"/>
      <c r="D10" s="96"/>
      <c r="E10" s="96"/>
      <c r="F10" s="96"/>
      <c r="G10" s="96"/>
    </row>
    <row r="11" spans="1:8" ht="16.5" customHeight="1">
      <c r="A11" s="96"/>
      <c r="B11" s="96"/>
      <c r="C11" s="96"/>
      <c r="D11" s="96"/>
      <c r="E11" s="96"/>
      <c r="F11" s="96"/>
      <c r="G11" s="96"/>
    </row>
    <row r="12" spans="1:8" ht="25.5">
      <c r="A12" s="2806"/>
      <c r="B12" s="2806"/>
      <c r="C12" s="2806"/>
      <c r="D12" s="2806"/>
      <c r="E12" s="2806"/>
      <c r="F12" s="2806"/>
      <c r="G12" s="2806"/>
      <c r="H12" s="2806"/>
    </row>
    <row r="13" spans="1:8" ht="16.5" customHeight="1">
      <c r="A13" s="96"/>
      <c r="B13" s="96"/>
      <c r="C13" s="96"/>
      <c r="D13" s="96"/>
      <c r="E13" s="96"/>
      <c r="F13" s="96"/>
      <c r="G13" s="96"/>
    </row>
    <row r="14" spans="1:8" ht="16.5" customHeight="1">
      <c r="A14" s="96"/>
      <c r="B14" s="97"/>
      <c r="C14" s="96"/>
      <c r="D14" s="96"/>
      <c r="E14" s="96"/>
      <c r="F14" s="96"/>
      <c r="G14" s="96"/>
    </row>
    <row r="15" spans="1:8" ht="16.5" customHeight="1">
      <c r="A15" s="96"/>
      <c r="B15" s="96"/>
      <c r="C15" s="96"/>
      <c r="D15" s="96"/>
      <c r="E15" s="96"/>
      <c r="F15" s="96"/>
      <c r="G15" s="96"/>
    </row>
    <row r="17" spans="1:8" ht="35.25">
      <c r="A17" s="2800"/>
      <c r="B17" s="2800"/>
      <c r="C17" s="2800"/>
      <c r="D17" s="2800"/>
      <c r="E17" s="2800"/>
      <c r="F17" s="2800"/>
      <c r="G17" s="2800"/>
      <c r="H17" s="2800"/>
    </row>
    <row r="18" spans="1:8">
      <c r="E18" s="97"/>
    </row>
  </sheetData>
  <mergeCells count="6">
    <mergeCell ref="A17:H17"/>
    <mergeCell ref="A1:H1"/>
    <mergeCell ref="A6:H6"/>
    <mergeCell ref="A8:H8"/>
    <mergeCell ref="B9:G9"/>
    <mergeCell ref="A12:H12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r:id="rId1"/>
  <headerFooter alignWithMargins="0">
    <oddHeader xml:space="preserve">&amp;L&amp;"돋움,굵게"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7" tint="0.39997558519241921"/>
  </sheetPr>
  <dimension ref="A1:M57"/>
  <sheetViews>
    <sheetView zoomScaleNormal="100" workbookViewId="0">
      <selection activeCell="J20" sqref="J20"/>
    </sheetView>
  </sheetViews>
  <sheetFormatPr defaultRowHeight="13.5"/>
  <cols>
    <col min="1" max="1" width="16.125" style="107" customWidth="1"/>
    <col min="2" max="2" width="22.25" style="107" customWidth="1"/>
    <col min="3" max="3" width="22" style="167" customWidth="1"/>
    <col min="4" max="4" width="20.625" style="107" customWidth="1"/>
    <col min="5" max="5" width="22.375" style="107" customWidth="1"/>
    <col min="6" max="6" width="23.5" style="167" customWidth="1"/>
    <col min="7" max="7" width="11" style="107" bestFit="1" customWidth="1"/>
    <col min="8" max="256" width="9" style="107"/>
    <col min="257" max="257" width="16.125" style="107" customWidth="1"/>
    <col min="258" max="258" width="22.25" style="107" customWidth="1"/>
    <col min="259" max="259" width="22" style="107" customWidth="1"/>
    <col min="260" max="260" width="20.625" style="107" customWidth="1"/>
    <col min="261" max="261" width="22.375" style="107" customWidth="1"/>
    <col min="262" max="262" width="23.5" style="107" customWidth="1"/>
    <col min="263" max="263" width="11" style="107" bestFit="1" customWidth="1"/>
    <col min="264" max="512" width="9" style="107"/>
    <col min="513" max="513" width="16.125" style="107" customWidth="1"/>
    <col min="514" max="514" width="22.25" style="107" customWidth="1"/>
    <col min="515" max="515" width="22" style="107" customWidth="1"/>
    <col min="516" max="516" width="20.625" style="107" customWidth="1"/>
    <col min="517" max="517" width="22.375" style="107" customWidth="1"/>
    <col min="518" max="518" width="23.5" style="107" customWidth="1"/>
    <col min="519" max="519" width="11" style="107" bestFit="1" customWidth="1"/>
    <col min="520" max="768" width="9" style="107"/>
    <col min="769" max="769" width="16.125" style="107" customWidth="1"/>
    <col min="770" max="770" width="22.25" style="107" customWidth="1"/>
    <col min="771" max="771" width="22" style="107" customWidth="1"/>
    <col min="772" max="772" width="20.625" style="107" customWidth="1"/>
    <col min="773" max="773" width="22.375" style="107" customWidth="1"/>
    <col min="774" max="774" width="23.5" style="107" customWidth="1"/>
    <col min="775" max="775" width="11" style="107" bestFit="1" customWidth="1"/>
    <col min="776" max="1024" width="9" style="107"/>
    <col min="1025" max="1025" width="16.125" style="107" customWidth="1"/>
    <col min="1026" max="1026" width="22.25" style="107" customWidth="1"/>
    <col min="1027" max="1027" width="22" style="107" customWidth="1"/>
    <col min="1028" max="1028" width="20.625" style="107" customWidth="1"/>
    <col min="1029" max="1029" width="22.375" style="107" customWidth="1"/>
    <col min="1030" max="1030" width="23.5" style="107" customWidth="1"/>
    <col min="1031" max="1031" width="11" style="107" bestFit="1" customWidth="1"/>
    <col min="1032" max="1280" width="9" style="107"/>
    <col min="1281" max="1281" width="16.125" style="107" customWidth="1"/>
    <col min="1282" max="1282" width="22.25" style="107" customWidth="1"/>
    <col min="1283" max="1283" width="22" style="107" customWidth="1"/>
    <col min="1284" max="1284" width="20.625" style="107" customWidth="1"/>
    <col min="1285" max="1285" width="22.375" style="107" customWidth="1"/>
    <col min="1286" max="1286" width="23.5" style="107" customWidth="1"/>
    <col min="1287" max="1287" width="11" style="107" bestFit="1" customWidth="1"/>
    <col min="1288" max="1536" width="9" style="107"/>
    <col min="1537" max="1537" width="16.125" style="107" customWidth="1"/>
    <col min="1538" max="1538" width="22.25" style="107" customWidth="1"/>
    <col min="1539" max="1539" width="22" style="107" customWidth="1"/>
    <col min="1540" max="1540" width="20.625" style="107" customWidth="1"/>
    <col min="1541" max="1541" width="22.375" style="107" customWidth="1"/>
    <col min="1542" max="1542" width="23.5" style="107" customWidth="1"/>
    <col min="1543" max="1543" width="11" style="107" bestFit="1" customWidth="1"/>
    <col min="1544" max="1792" width="9" style="107"/>
    <col min="1793" max="1793" width="16.125" style="107" customWidth="1"/>
    <col min="1794" max="1794" width="22.25" style="107" customWidth="1"/>
    <col min="1795" max="1795" width="22" style="107" customWidth="1"/>
    <col min="1796" max="1796" width="20.625" style="107" customWidth="1"/>
    <col min="1797" max="1797" width="22.375" style="107" customWidth="1"/>
    <col min="1798" max="1798" width="23.5" style="107" customWidth="1"/>
    <col min="1799" max="1799" width="11" style="107" bestFit="1" customWidth="1"/>
    <col min="1800" max="2048" width="9" style="107"/>
    <col min="2049" max="2049" width="16.125" style="107" customWidth="1"/>
    <col min="2050" max="2050" width="22.25" style="107" customWidth="1"/>
    <col min="2051" max="2051" width="22" style="107" customWidth="1"/>
    <col min="2052" max="2052" width="20.625" style="107" customWidth="1"/>
    <col min="2053" max="2053" width="22.375" style="107" customWidth="1"/>
    <col min="2054" max="2054" width="23.5" style="107" customWidth="1"/>
    <col min="2055" max="2055" width="11" style="107" bestFit="1" customWidth="1"/>
    <col min="2056" max="2304" width="9" style="107"/>
    <col min="2305" max="2305" width="16.125" style="107" customWidth="1"/>
    <col min="2306" max="2306" width="22.25" style="107" customWidth="1"/>
    <col min="2307" max="2307" width="22" style="107" customWidth="1"/>
    <col min="2308" max="2308" width="20.625" style="107" customWidth="1"/>
    <col min="2309" max="2309" width="22.375" style="107" customWidth="1"/>
    <col min="2310" max="2310" width="23.5" style="107" customWidth="1"/>
    <col min="2311" max="2311" width="11" style="107" bestFit="1" customWidth="1"/>
    <col min="2312" max="2560" width="9" style="107"/>
    <col min="2561" max="2561" width="16.125" style="107" customWidth="1"/>
    <col min="2562" max="2562" width="22.25" style="107" customWidth="1"/>
    <col min="2563" max="2563" width="22" style="107" customWidth="1"/>
    <col min="2564" max="2564" width="20.625" style="107" customWidth="1"/>
    <col min="2565" max="2565" width="22.375" style="107" customWidth="1"/>
    <col min="2566" max="2566" width="23.5" style="107" customWidth="1"/>
    <col min="2567" max="2567" width="11" style="107" bestFit="1" customWidth="1"/>
    <col min="2568" max="2816" width="9" style="107"/>
    <col min="2817" max="2817" width="16.125" style="107" customWidth="1"/>
    <col min="2818" max="2818" width="22.25" style="107" customWidth="1"/>
    <col min="2819" max="2819" width="22" style="107" customWidth="1"/>
    <col min="2820" max="2820" width="20.625" style="107" customWidth="1"/>
    <col min="2821" max="2821" width="22.375" style="107" customWidth="1"/>
    <col min="2822" max="2822" width="23.5" style="107" customWidth="1"/>
    <col min="2823" max="2823" width="11" style="107" bestFit="1" customWidth="1"/>
    <col min="2824" max="3072" width="9" style="107"/>
    <col min="3073" max="3073" width="16.125" style="107" customWidth="1"/>
    <col min="3074" max="3074" width="22.25" style="107" customWidth="1"/>
    <col min="3075" max="3075" width="22" style="107" customWidth="1"/>
    <col min="3076" max="3076" width="20.625" style="107" customWidth="1"/>
    <col min="3077" max="3077" width="22.375" style="107" customWidth="1"/>
    <col min="3078" max="3078" width="23.5" style="107" customWidth="1"/>
    <col min="3079" max="3079" width="11" style="107" bestFit="1" customWidth="1"/>
    <col min="3080" max="3328" width="9" style="107"/>
    <col min="3329" max="3329" width="16.125" style="107" customWidth="1"/>
    <col min="3330" max="3330" width="22.25" style="107" customWidth="1"/>
    <col min="3331" max="3331" width="22" style="107" customWidth="1"/>
    <col min="3332" max="3332" width="20.625" style="107" customWidth="1"/>
    <col min="3333" max="3333" width="22.375" style="107" customWidth="1"/>
    <col min="3334" max="3334" width="23.5" style="107" customWidth="1"/>
    <col min="3335" max="3335" width="11" style="107" bestFit="1" customWidth="1"/>
    <col min="3336" max="3584" width="9" style="107"/>
    <col min="3585" max="3585" width="16.125" style="107" customWidth="1"/>
    <col min="3586" max="3586" width="22.25" style="107" customWidth="1"/>
    <col min="3587" max="3587" width="22" style="107" customWidth="1"/>
    <col min="3588" max="3588" width="20.625" style="107" customWidth="1"/>
    <col min="3589" max="3589" width="22.375" style="107" customWidth="1"/>
    <col min="3590" max="3590" width="23.5" style="107" customWidth="1"/>
    <col min="3591" max="3591" width="11" style="107" bestFit="1" customWidth="1"/>
    <col min="3592" max="3840" width="9" style="107"/>
    <col min="3841" max="3841" width="16.125" style="107" customWidth="1"/>
    <col min="3842" max="3842" width="22.25" style="107" customWidth="1"/>
    <col min="3843" max="3843" width="22" style="107" customWidth="1"/>
    <col min="3844" max="3844" width="20.625" style="107" customWidth="1"/>
    <col min="3845" max="3845" width="22.375" style="107" customWidth="1"/>
    <col min="3846" max="3846" width="23.5" style="107" customWidth="1"/>
    <col min="3847" max="3847" width="11" style="107" bestFit="1" customWidth="1"/>
    <col min="3848" max="4096" width="9" style="107"/>
    <col min="4097" max="4097" width="16.125" style="107" customWidth="1"/>
    <col min="4098" max="4098" width="22.25" style="107" customWidth="1"/>
    <col min="4099" max="4099" width="22" style="107" customWidth="1"/>
    <col min="4100" max="4100" width="20.625" style="107" customWidth="1"/>
    <col min="4101" max="4101" width="22.375" style="107" customWidth="1"/>
    <col min="4102" max="4102" width="23.5" style="107" customWidth="1"/>
    <col min="4103" max="4103" width="11" style="107" bestFit="1" customWidth="1"/>
    <col min="4104" max="4352" width="9" style="107"/>
    <col min="4353" max="4353" width="16.125" style="107" customWidth="1"/>
    <col min="4354" max="4354" width="22.25" style="107" customWidth="1"/>
    <col min="4355" max="4355" width="22" style="107" customWidth="1"/>
    <col min="4356" max="4356" width="20.625" style="107" customWidth="1"/>
    <col min="4357" max="4357" width="22.375" style="107" customWidth="1"/>
    <col min="4358" max="4358" width="23.5" style="107" customWidth="1"/>
    <col min="4359" max="4359" width="11" style="107" bestFit="1" customWidth="1"/>
    <col min="4360" max="4608" width="9" style="107"/>
    <col min="4609" max="4609" width="16.125" style="107" customWidth="1"/>
    <col min="4610" max="4610" width="22.25" style="107" customWidth="1"/>
    <col min="4611" max="4611" width="22" style="107" customWidth="1"/>
    <col min="4612" max="4612" width="20.625" style="107" customWidth="1"/>
    <col min="4613" max="4613" width="22.375" style="107" customWidth="1"/>
    <col min="4614" max="4614" width="23.5" style="107" customWidth="1"/>
    <col min="4615" max="4615" width="11" style="107" bestFit="1" customWidth="1"/>
    <col min="4616" max="4864" width="9" style="107"/>
    <col min="4865" max="4865" width="16.125" style="107" customWidth="1"/>
    <col min="4866" max="4866" width="22.25" style="107" customWidth="1"/>
    <col min="4867" max="4867" width="22" style="107" customWidth="1"/>
    <col min="4868" max="4868" width="20.625" style="107" customWidth="1"/>
    <col min="4869" max="4869" width="22.375" style="107" customWidth="1"/>
    <col min="4870" max="4870" width="23.5" style="107" customWidth="1"/>
    <col min="4871" max="4871" width="11" style="107" bestFit="1" customWidth="1"/>
    <col min="4872" max="5120" width="9" style="107"/>
    <col min="5121" max="5121" width="16.125" style="107" customWidth="1"/>
    <col min="5122" max="5122" width="22.25" style="107" customWidth="1"/>
    <col min="5123" max="5123" width="22" style="107" customWidth="1"/>
    <col min="5124" max="5124" width="20.625" style="107" customWidth="1"/>
    <col min="5125" max="5125" width="22.375" style="107" customWidth="1"/>
    <col min="5126" max="5126" width="23.5" style="107" customWidth="1"/>
    <col min="5127" max="5127" width="11" style="107" bestFit="1" customWidth="1"/>
    <col min="5128" max="5376" width="9" style="107"/>
    <col min="5377" max="5377" width="16.125" style="107" customWidth="1"/>
    <col min="5378" max="5378" width="22.25" style="107" customWidth="1"/>
    <col min="5379" max="5379" width="22" style="107" customWidth="1"/>
    <col min="5380" max="5380" width="20.625" style="107" customWidth="1"/>
    <col min="5381" max="5381" width="22.375" style="107" customWidth="1"/>
    <col min="5382" max="5382" width="23.5" style="107" customWidth="1"/>
    <col min="5383" max="5383" width="11" style="107" bestFit="1" customWidth="1"/>
    <col min="5384" max="5632" width="9" style="107"/>
    <col min="5633" max="5633" width="16.125" style="107" customWidth="1"/>
    <col min="5634" max="5634" width="22.25" style="107" customWidth="1"/>
    <col min="5635" max="5635" width="22" style="107" customWidth="1"/>
    <col min="5636" max="5636" width="20.625" style="107" customWidth="1"/>
    <col min="5637" max="5637" width="22.375" style="107" customWidth="1"/>
    <col min="5638" max="5638" width="23.5" style="107" customWidth="1"/>
    <col min="5639" max="5639" width="11" style="107" bestFit="1" customWidth="1"/>
    <col min="5640" max="5888" width="9" style="107"/>
    <col min="5889" max="5889" width="16.125" style="107" customWidth="1"/>
    <col min="5890" max="5890" width="22.25" style="107" customWidth="1"/>
    <col min="5891" max="5891" width="22" style="107" customWidth="1"/>
    <col min="5892" max="5892" width="20.625" style="107" customWidth="1"/>
    <col min="5893" max="5893" width="22.375" style="107" customWidth="1"/>
    <col min="5894" max="5894" width="23.5" style="107" customWidth="1"/>
    <col min="5895" max="5895" width="11" style="107" bestFit="1" customWidth="1"/>
    <col min="5896" max="6144" width="9" style="107"/>
    <col min="6145" max="6145" width="16.125" style="107" customWidth="1"/>
    <col min="6146" max="6146" width="22.25" style="107" customWidth="1"/>
    <col min="6147" max="6147" width="22" style="107" customWidth="1"/>
    <col min="6148" max="6148" width="20.625" style="107" customWidth="1"/>
    <col min="6149" max="6149" width="22.375" style="107" customWidth="1"/>
    <col min="6150" max="6150" width="23.5" style="107" customWidth="1"/>
    <col min="6151" max="6151" width="11" style="107" bestFit="1" customWidth="1"/>
    <col min="6152" max="6400" width="9" style="107"/>
    <col min="6401" max="6401" width="16.125" style="107" customWidth="1"/>
    <col min="6402" max="6402" width="22.25" style="107" customWidth="1"/>
    <col min="6403" max="6403" width="22" style="107" customWidth="1"/>
    <col min="6404" max="6404" width="20.625" style="107" customWidth="1"/>
    <col min="6405" max="6405" width="22.375" style="107" customWidth="1"/>
    <col min="6406" max="6406" width="23.5" style="107" customWidth="1"/>
    <col min="6407" max="6407" width="11" style="107" bestFit="1" customWidth="1"/>
    <col min="6408" max="6656" width="9" style="107"/>
    <col min="6657" max="6657" width="16.125" style="107" customWidth="1"/>
    <col min="6658" max="6658" width="22.25" style="107" customWidth="1"/>
    <col min="6659" max="6659" width="22" style="107" customWidth="1"/>
    <col min="6660" max="6660" width="20.625" style="107" customWidth="1"/>
    <col min="6661" max="6661" width="22.375" style="107" customWidth="1"/>
    <col min="6662" max="6662" width="23.5" style="107" customWidth="1"/>
    <col min="6663" max="6663" width="11" style="107" bestFit="1" customWidth="1"/>
    <col min="6664" max="6912" width="9" style="107"/>
    <col min="6913" max="6913" width="16.125" style="107" customWidth="1"/>
    <col min="6914" max="6914" width="22.25" style="107" customWidth="1"/>
    <col min="6915" max="6915" width="22" style="107" customWidth="1"/>
    <col min="6916" max="6916" width="20.625" style="107" customWidth="1"/>
    <col min="6917" max="6917" width="22.375" style="107" customWidth="1"/>
    <col min="6918" max="6918" width="23.5" style="107" customWidth="1"/>
    <col min="6919" max="6919" width="11" style="107" bestFit="1" customWidth="1"/>
    <col min="6920" max="7168" width="9" style="107"/>
    <col min="7169" max="7169" width="16.125" style="107" customWidth="1"/>
    <col min="7170" max="7170" width="22.25" style="107" customWidth="1"/>
    <col min="7171" max="7171" width="22" style="107" customWidth="1"/>
    <col min="7172" max="7172" width="20.625" style="107" customWidth="1"/>
    <col min="7173" max="7173" width="22.375" style="107" customWidth="1"/>
    <col min="7174" max="7174" width="23.5" style="107" customWidth="1"/>
    <col min="7175" max="7175" width="11" style="107" bestFit="1" customWidth="1"/>
    <col min="7176" max="7424" width="9" style="107"/>
    <col min="7425" max="7425" width="16.125" style="107" customWidth="1"/>
    <col min="7426" max="7426" width="22.25" style="107" customWidth="1"/>
    <col min="7427" max="7427" width="22" style="107" customWidth="1"/>
    <col min="7428" max="7428" width="20.625" style="107" customWidth="1"/>
    <col min="7429" max="7429" width="22.375" style="107" customWidth="1"/>
    <col min="7430" max="7430" width="23.5" style="107" customWidth="1"/>
    <col min="7431" max="7431" width="11" style="107" bestFit="1" customWidth="1"/>
    <col min="7432" max="7680" width="9" style="107"/>
    <col min="7681" max="7681" width="16.125" style="107" customWidth="1"/>
    <col min="7682" max="7682" width="22.25" style="107" customWidth="1"/>
    <col min="7683" max="7683" width="22" style="107" customWidth="1"/>
    <col min="7684" max="7684" width="20.625" style="107" customWidth="1"/>
    <col min="7685" max="7685" width="22.375" style="107" customWidth="1"/>
    <col min="7686" max="7686" width="23.5" style="107" customWidth="1"/>
    <col min="7687" max="7687" width="11" style="107" bestFit="1" customWidth="1"/>
    <col min="7688" max="7936" width="9" style="107"/>
    <col min="7937" max="7937" width="16.125" style="107" customWidth="1"/>
    <col min="7938" max="7938" width="22.25" style="107" customWidth="1"/>
    <col min="7939" max="7939" width="22" style="107" customWidth="1"/>
    <col min="7940" max="7940" width="20.625" style="107" customWidth="1"/>
    <col min="7941" max="7941" width="22.375" style="107" customWidth="1"/>
    <col min="7942" max="7942" width="23.5" style="107" customWidth="1"/>
    <col min="7943" max="7943" width="11" style="107" bestFit="1" customWidth="1"/>
    <col min="7944" max="8192" width="9" style="107"/>
    <col min="8193" max="8193" width="16.125" style="107" customWidth="1"/>
    <col min="8194" max="8194" width="22.25" style="107" customWidth="1"/>
    <col min="8195" max="8195" width="22" style="107" customWidth="1"/>
    <col min="8196" max="8196" width="20.625" style="107" customWidth="1"/>
    <col min="8197" max="8197" width="22.375" style="107" customWidth="1"/>
    <col min="8198" max="8198" width="23.5" style="107" customWidth="1"/>
    <col min="8199" max="8199" width="11" style="107" bestFit="1" customWidth="1"/>
    <col min="8200" max="8448" width="9" style="107"/>
    <col min="8449" max="8449" width="16.125" style="107" customWidth="1"/>
    <col min="8450" max="8450" width="22.25" style="107" customWidth="1"/>
    <col min="8451" max="8451" width="22" style="107" customWidth="1"/>
    <col min="8452" max="8452" width="20.625" style="107" customWidth="1"/>
    <col min="8453" max="8453" width="22.375" style="107" customWidth="1"/>
    <col min="8454" max="8454" width="23.5" style="107" customWidth="1"/>
    <col min="8455" max="8455" width="11" style="107" bestFit="1" customWidth="1"/>
    <col min="8456" max="8704" width="9" style="107"/>
    <col min="8705" max="8705" width="16.125" style="107" customWidth="1"/>
    <col min="8706" max="8706" width="22.25" style="107" customWidth="1"/>
    <col min="8707" max="8707" width="22" style="107" customWidth="1"/>
    <col min="8708" max="8708" width="20.625" style="107" customWidth="1"/>
    <col min="8709" max="8709" width="22.375" style="107" customWidth="1"/>
    <col min="8710" max="8710" width="23.5" style="107" customWidth="1"/>
    <col min="8711" max="8711" width="11" style="107" bestFit="1" customWidth="1"/>
    <col min="8712" max="8960" width="9" style="107"/>
    <col min="8961" max="8961" width="16.125" style="107" customWidth="1"/>
    <col min="8962" max="8962" width="22.25" style="107" customWidth="1"/>
    <col min="8963" max="8963" width="22" style="107" customWidth="1"/>
    <col min="8964" max="8964" width="20.625" style="107" customWidth="1"/>
    <col min="8965" max="8965" width="22.375" style="107" customWidth="1"/>
    <col min="8966" max="8966" width="23.5" style="107" customWidth="1"/>
    <col min="8967" max="8967" width="11" style="107" bestFit="1" customWidth="1"/>
    <col min="8968" max="9216" width="9" style="107"/>
    <col min="9217" max="9217" width="16.125" style="107" customWidth="1"/>
    <col min="9218" max="9218" width="22.25" style="107" customWidth="1"/>
    <col min="9219" max="9219" width="22" style="107" customWidth="1"/>
    <col min="9220" max="9220" width="20.625" style="107" customWidth="1"/>
    <col min="9221" max="9221" width="22.375" style="107" customWidth="1"/>
    <col min="9222" max="9222" width="23.5" style="107" customWidth="1"/>
    <col min="9223" max="9223" width="11" style="107" bestFit="1" customWidth="1"/>
    <col min="9224" max="9472" width="9" style="107"/>
    <col min="9473" max="9473" width="16.125" style="107" customWidth="1"/>
    <col min="9474" max="9474" width="22.25" style="107" customWidth="1"/>
    <col min="9475" max="9475" width="22" style="107" customWidth="1"/>
    <col min="9476" max="9476" width="20.625" style="107" customWidth="1"/>
    <col min="9477" max="9477" width="22.375" style="107" customWidth="1"/>
    <col min="9478" max="9478" width="23.5" style="107" customWidth="1"/>
    <col min="9479" max="9479" width="11" style="107" bestFit="1" customWidth="1"/>
    <col min="9480" max="9728" width="9" style="107"/>
    <col min="9729" max="9729" width="16.125" style="107" customWidth="1"/>
    <col min="9730" max="9730" width="22.25" style="107" customWidth="1"/>
    <col min="9731" max="9731" width="22" style="107" customWidth="1"/>
    <col min="9732" max="9732" width="20.625" style="107" customWidth="1"/>
    <col min="9733" max="9733" width="22.375" style="107" customWidth="1"/>
    <col min="9734" max="9734" width="23.5" style="107" customWidth="1"/>
    <col min="9735" max="9735" width="11" style="107" bestFit="1" customWidth="1"/>
    <col min="9736" max="9984" width="9" style="107"/>
    <col min="9985" max="9985" width="16.125" style="107" customWidth="1"/>
    <col min="9986" max="9986" width="22.25" style="107" customWidth="1"/>
    <col min="9987" max="9987" width="22" style="107" customWidth="1"/>
    <col min="9988" max="9988" width="20.625" style="107" customWidth="1"/>
    <col min="9989" max="9989" width="22.375" style="107" customWidth="1"/>
    <col min="9990" max="9990" width="23.5" style="107" customWidth="1"/>
    <col min="9991" max="9991" width="11" style="107" bestFit="1" customWidth="1"/>
    <col min="9992" max="10240" width="9" style="107"/>
    <col min="10241" max="10241" width="16.125" style="107" customWidth="1"/>
    <col min="10242" max="10242" width="22.25" style="107" customWidth="1"/>
    <col min="10243" max="10243" width="22" style="107" customWidth="1"/>
    <col min="10244" max="10244" width="20.625" style="107" customWidth="1"/>
    <col min="10245" max="10245" width="22.375" style="107" customWidth="1"/>
    <col min="10246" max="10246" width="23.5" style="107" customWidth="1"/>
    <col min="10247" max="10247" width="11" style="107" bestFit="1" customWidth="1"/>
    <col min="10248" max="10496" width="9" style="107"/>
    <col min="10497" max="10497" width="16.125" style="107" customWidth="1"/>
    <col min="10498" max="10498" width="22.25" style="107" customWidth="1"/>
    <col min="10499" max="10499" width="22" style="107" customWidth="1"/>
    <col min="10500" max="10500" width="20.625" style="107" customWidth="1"/>
    <col min="10501" max="10501" width="22.375" style="107" customWidth="1"/>
    <col min="10502" max="10502" width="23.5" style="107" customWidth="1"/>
    <col min="10503" max="10503" width="11" style="107" bestFit="1" customWidth="1"/>
    <col min="10504" max="10752" width="9" style="107"/>
    <col min="10753" max="10753" width="16.125" style="107" customWidth="1"/>
    <col min="10754" max="10754" width="22.25" style="107" customWidth="1"/>
    <col min="10755" max="10755" width="22" style="107" customWidth="1"/>
    <col min="10756" max="10756" width="20.625" style="107" customWidth="1"/>
    <col min="10757" max="10757" width="22.375" style="107" customWidth="1"/>
    <col min="10758" max="10758" width="23.5" style="107" customWidth="1"/>
    <col min="10759" max="10759" width="11" style="107" bestFit="1" customWidth="1"/>
    <col min="10760" max="11008" width="9" style="107"/>
    <col min="11009" max="11009" width="16.125" style="107" customWidth="1"/>
    <col min="11010" max="11010" width="22.25" style="107" customWidth="1"/>
    <col min="11011" max="11011" width="22" style="107" customWidth="1"/>
    <col min="11012" max="11012" width="20.625" style="107" customWidth="1"/>
    <col min="11013" max="11013" width="22.375" style="107" customWidth="1"/>
    <col min="11014" max="11014" width="23.5" style="107" customWidth="1"/>
    <col min="11015" max="11015" width="11" style="107" bestFit="1" customWidth="1"/>
    <col min="11016" max="11264" width="9" style="107"/>
    <col min="11265" max="11265" width="16.125" style="107" customWidth="1"/>
    <col min="11266" max="11266" width="22.25" style="107" customWidth="1"/>
    <col min="11267" max="11267" width="22" style="107" customWidth="1"/>
    <col min="11268" max="11268" width="20.625" style="107" customWidth="1"/>
    <col min="11269" max="11269" width="22.375" style="107" customWidth="1"/>
    <col min="11270" max="11270" width="23.5" style="107" customWidth="1"/>
    <col min="11271" max="11271" width="11" style="107" bestFit="1" customWidth="1"/>
    <col min="11272" max="11520" width="9" style="107"/>
    <col min="11521" max="11521" width="16.125" style="107" customWidth="1"/>
    <col min="11522" max="11522" width="22.25" style="107" customWidth="1"/>
    <col min="11523" max="11523" width="22" style="107" customWidth="1"/>
    <col min="11524" max="11524" width="20.625" style="107" customWidth="1"/>
    <col min="11525" max="11525" width="22.375" style="107" customWidth="1"/>
    <col min="11526" max="11526" width="23.5" style="107" customWidth="1"/>
    <col min="11527" max="11527" width="11" style="107" bestFit="1" customWidth="1"/>
    <col min="11528" max="11776" width="9" style="107"/>
    <col min="11777" max="11777" width="16.125" style="107" customWidth="1"/>
    <col min="11778" max="11778" width="22.25" style="107" customWidth="1"/>
    <col min="11779" max="11779" width="22" style="107" customWidth="1"/>
    <col min="11780" max="11780" width="20.625" style="107" customWidth="1"/>
    <col min="11781" max="11781" width="22.375" style="107" customWidth="1"/>
    <col min="11782" max="11782" width="23.5" style="107" customWidth="1"/>
    <col min="11783" max="11783" width="11" style="107" bestFit="1" customWidth="1"/>
    <col min="11784" max="12032" width="9" style="107"/>
    <col min="12033" max="12033" width="16.125" style="107" customWidth="1"/>
    <col min="12034" max="12034" width="22.25" style="107" customWidth="1"/>
    <col min="12035" max="12035" width="22" style="107" customWidth="1"/>
    <col min="12036" max="12036" width="20.625" style="107" customWidth="1"/>
    <col min="12037" max="12037" width="22.375" style="107" customWidth="1"/>
    <col min="12038" max="12038" width="23.5" style="107" customWidth="1"/>
    <col min="12039" max="12039" width="11" style="107" bestFit="1" customWidth="1"/>
    <col min="12040" max="12288" width="9" style="107"/>
    <col min="12289" max="12289" width="16.125" style="107" customWidth="1"/>
    <col min="12290" max="12290" width="22.25" style="107" customWidth="1"/>
    <col min="12291" max="12291" width="22" style="107" customWidth="1"/>
    <col min="12292" max="12292" width="20.625" style="107" customWidth="1"/>
    <col min="12293" max="12293" width="22.375" style="107" customWidth="1"/>
    <col min="12294" max="12294" width="23.5" style="107" customWidth="1"/>
    <col min="12295" max="12295" width="11" style="107" bestFit="1" customWidth="1"/>
    <col min="12296" max="12544" width="9" style="107"/>
    <col min="12545" max="12545" width="16.125" style="107" customWidth="1"/>
    <col min="12546" max="12546" width="22.25" style="107" customWidth="1"/>
    <col min="12547" max="12547" width="22" style="107" customWidth="1"/>
    <col min="12548" max="12548" width="20.625" style="107" customWidth="1"/>
    <col min="12549" max="12549" width="22.375" style="107" customWidth="1"/>
    <col min="12550" max="12550" width="23.5" style="107" customWidth="1"/>
    <col min="12551" max="12551" width="11" style="107" bestFit="1" customWidth="1"/>
    <col min="12552" max="12800" width="9" style="107"/>
    <col min="12801" max="12801" width="16.125" style="107" customWidth="1"/>
    <col min="12802" max="12802" width="22.25" style="107" customWidth="1"/>
    <col min="12803" max="12803" width="22" style="107" customWidth="1"/>
    <col min="12804" max="12804" width="20.625" style="107" customWidth="1"/>
    <col min="12805" max="12805" width="22.375" style="107" customWidth="1"/>
    <col min="12806" max="12806" width="23.5" style="107" customWidth="1"/>
    <col min="12807" max="12807" width="11" style="107" bestFit="1" customWidth="1"/>
    <col min="12808" max="13056" width="9" style="107"/>
    <col min="13057" max="13057" width="16.125" style="107" customWidth="1"/>
    <col min="13058" max="13058" width="22.25" style="107" customWidth="1"/>
    <col min="13059" max="13059" width="22" style="107" customWidth="1"/>
    <col min="13060" max="13060" width="20.625" style="107" customWidth="1"/>
    <col min="13061" max="13061" width="22.375" style="107" customWidth="1"/>
    <col min="13062" max="13062" width="23.5" style="107" customWidth="1"/>
    <col min="13063" max="13063" width="11" style="107" bestFit="1" customWidth="1"/>
    <col min="13064" max="13312" width="9" style="107"/>
    <col min="13313" max="13313" width="16.125" style="107" customWidth="1"/>
    <col min="13314" max="13314" width="22.25" style="107" customWidth="1"/>
    <col min="13315" max="13315" width="22" style="107" customWidth="1"/>
    <col min="13316" max="13316" width="20.625" style="107" customWidth="1"/>
    <col min="13317" max="13317" width="22.375" style="107" customWidth="1"/>
    <col min="13318" max="13318" width="23.5" style="107" customWidth="1"/>
    <col min="13319" max="13319" width="11" style="107" bestFit="1" customWidth="1"/>
    <col min="13320" max="13568" width="9" style="107"/>
    <col min="13569" max="13569" width="16.125" style="107" customWidth="1"/>
    <col min="13570" max="13570" width="22.25" style="107" customWidth="1"/>
    <col min="13571" max="13571" width="22" style="107" customWidth="1"/>
    <col min="13572" max="13572" width="20.625" style="107" customWidth="1"/>
    <col min="13573" max="13573" width="22.375" style="107" customWidth="1"/>
    <col min="13574" max="13574" width="23.5" style="107" customWidth="1"/>
    <col min="13575" max="13575" width="11" style="107" bestFit="1" customWidth="1"/>
    <col min="13576" max="13824" width="9" style="107"/>
    <col min="13825" max="13825" width="16.125" style="107" customWidth="1"/>
    <col min="13826" max="13826" width="22.25" style="107" customWidth="1"/>
    <col min="13827" max="13827" width="22" style="107" customWidth="1"/>
    <col min="13828" max="13828" width="20.625" style="107" customWidth="1"/>
    <col min="13829" max="13829" width="22.375" style="107" customWidth="1"/>
    <col min="13830" max="13830" width="23.5" style="107" customWidth="1"/>
    <col min="13831" max="13831" width="11" style="107" bestFit="1" customWidth="1"/>
    <col min="13832" max="14080" width="9" style="107"/>
    <col min="14081" max="14081" width="16.125" style="107" customWidth="1"/>
    <col min="14082" max="14082" width="22.25" style="107" customWidth="1"/>
    <col min="14083" max="14083" width="22" style="107" customWidth="1"/>
    <col min="14084" max="14084" width="20.625" style="107" customWidth="1"/>
    <col min="14085" max="14085" width="22.375" style="107" customWidth="1"/>
    <col min="14086" max="14086" width="23.5" style="107" customWidth="1"/>
    <col min="14087" max="14087" width="11" style="107" bestFit="1" customWidth="1"/>
    <col min="14088" max="14336" width="9" style="107"/>
    <col min="14337" max="14337" width="16.125" style="107" customWidth="1"/>
    <col min="14338" max="14338" width="22.25" style="107" customWidth="1"/>
    <col min="14339" max="14339" width="22" style="107" customWidth="1"/>
    <col min="14340" max="14340" width="20.625" style="107" customWidth="1"/>
    <col min="14341" max="14341" width="22.375" style="107" customWidth="1"/>
    <col min="14342" max="14342" width="23.5" style="107" customWidth="1"/>
    <col min="14343" max="14343" width="11" style="107" bestFit="1" customWidth="1"/>
    <col min="14344" max="14592" width="9" style="107"/>
    <col min="14593" max="14593" width="16.125" style="107" customWidth="1"/>
    <col min="14594" max="14594" width="22.25" style="107" customWidth="1"/>
    <col min="14595" max="14595" width="22" style="107" customWidth="1"/>
    <col min="14596" max="14596" width="20.625" style="107" customWidth="1"/>
    <col min="14597" max="14597" width="22.375" style="107" customWidth="1"/>
    <col min="14598" max="14598" width="23.5" style="107" customWidth="1"/>
    <col min="14599" max="14599" width="11" style="107" bestFit="1" customWidth="1"/>
    <col min="14600" max="14848" width="9" style="107"/>
    <col min="14849" max="14849" width="16.125" style="107" customWidth="1"/>
    <col min="14850" max="14850" width="22.25" style="107" customWidth="1"/>
    <col min="14851" max="14851" width="22" style="107" customWidth="1"/>
    <col min="14852" max="14852" width="20.625" style="107" customWidth="1"/>
    <col min="14853" max="14853" width="22.375" style="107" customWidth="1"/>
    <col min="14854" max="14854" width="23.5" style="107" customWidth="1"/>
    <col min="14855" max="14855" width="11" style="107" bestFit="1" customWidth="1"/>
    <col min="14856" max="15104" width="9" style="107"/>
    <col min="15105" max="15105" width="16.125" style="107" customWidth="1"/>
    <col min="15106" max="15106" width="22.25" style="107" customWidth="1"/>
    <col min="15107" max="15107" width="22" style="107" customWidth="1"/>
    <col min="15108" max="15108" width="20.625" style="107" customWidth="1"/>
    <col min="15109" max="15109" width="22.375" style="107" customWidth="1"/>
    <col min="15110" max="15110" width="23.5" style="107" customWidth="1"/>
    <col min="15111" max="15111" width="11" style="107" bestFit="1" customWidth="1"/>
    <col min="15112" max="15360" width="9" style="107"/>
    <col min="15361" max="15361" width="16.125" style="107" customWidth="1"/>
    <col min="15362" max="15362" width="22.25" style="107" customWidth="1"/>
    <col min="15363" max="15363" width="22" style="107" customWidth="1"/>
    <col min="15364" max="15364" width="20.625" style="107" customWidth="1"/>
    <col min="15365" max="15365" width="22.375" style="107" customWidth="1"/>
    <col min="15366" max="15366" width="23.5" style="107" customWidth="1"/>
    <col min="15367" max="15367" width="11" style="107" bestFit="1" customWidth="1"/>
    <col min="15368" max="15616" width="9" style="107"/>
    <col min="15617" max="15617" width="16.125" style="107" customWidth="1"/>
    <col min="15618" max="15618" width="22.25" style="107" customWidth="1"/>
    <col min="15619" max="15619" width="22" style="107" customWidth="1"/>
    <col min="15620" max="15620" width="20.625" style="107" customWidth="1"/>
    <col min="15621" max="15621" width="22.375" style="107" customWidth="1"/>
    <col min="15622" max="15622" width="23.5" style="107" customWidth="1"/>
    <col min="15623" max="15623" width="11" style="107" bestFit="1" customWidth="1"/>
    <col min="15624" max="15872" width="9" style="107"/>
    <col min="15873" max="15873" width="16.125" style="107" customWidth="1"/>
    <col min="15874" max="15874" width="22.25" style="107" customWidth="1"/>
    <col min="15875" max="15875" width="22" style="107" customWidth="1"/>
    <col min="15876" max="15876" width="20.625" style="107" customWidth="1"/>
    <col min="15877" max="15877" width="22.375" style="107" customWidth="1"/>
    <col min="15878" max="15878" width="23.5" style="107" customWidth="1"/>
    <col min="15879" max="15879" width="11" style="107" bestFit="1" customWidth="1"/>
    <col min="15880" max="16128" width="9" style="107"/>
    <col min="16129" max="16129" width="16.125" style="107" customWidth="1"/>
    <col min="16130" max="16130" width="22.25" style="107" customWidth="1"/>
    <col min="16131" max="16131" width="22" style="107" customWidth="1"/>
    <col min="16132" max="16132" width="20.625" style="107" customWidth="1"/>
    <col min="16133" max="16133" width="22.375" style="107" customWidth="1"/>
    <col min="16134" max="16134" width="23.5" style="107" customWidth="1"/>
    <col min="16135" max="16135" width="11" style="107" bestFit="1" customWidth="1"/>
    <col min="16136" max="16384" width="9" style="107"/>
  </cols>
  <sheetData>
    <row r="1" spans="1:13" ht="36.75" customHeight="1">
      <c r="A1" s="211" t="s">
        <v>258</v>
      </c>
      <c r="G1" s="155"/>
      <c r="H1" s="155"/>
      <c r="I1" s="155"/>
      <c r="J1" s="155"/>
      <c r="K1" s="155"/>
      <c r="L1" s="155"/>
      <c r="M1" s="155"/>
    </row>
    <row r="2" spans="1:13" s="213" customFormat="1" ht="21" customHeight="1" thickBot="1">
      <c r="A2" s="258"/>
      <c r="C2" s="212"/>
      <c r="F2" s="259" t="s">
        <v>162</v>
      </c>
      <c r="G2" s="260"/>
      <c r="H2" s="260"/>
      <c r="I2" s="260"/>
      <c r="J2" s="260"/>
      <c r="K2" s="260"/>
      <c r="L2" s="260"/>
      <c r="M2" s="260"/>
    </row>
    <row r="3" spans="1:13" ht="15.75" customHeight="1">
      <c r="A3" s="2872" t="s">
        <v>259</v>
      </c>
      <c r="B3" s="2873"/>
      <c r="C3" s="2874"/>
      <c r="D3" s="2872" t="s">
        <v>260</v>
      </c>
      <c r="E3" s="2873"/>
      <c r="F3" s="2874"/>
      <c r="G3" s="155"/>
      <c r="H3" s="155"/>
      <c r="I3" s="155"/>
      <c r="J3" s="155"/>
      <c r="K3" s="155"/>
      <c r="L3" s="155"/>
      <c r="M3" s="155"/>
    </row>
    <row r="4" spans="1:13" ht="15.75" customHeight="1">
      <c r="A4" s="2875" t="s">
        <v>239</v>
      </c>
      <c r="B4" s="2876"/>
      <c r="C4" s="261" t="s">
        <v>240</v>
      </c>
      <c r="D4" s="2875" t="s">
        <v>239</v>
      </c>
      <c r="E4" s="2876"/>
      <c r="F4" s="261" t="s">
        <v>240</v>
      </c>
      <c r="G4" s="155"/>
      <c r="H4" s="155"/>
      <c r="I4" s="155"/>
      <c r="J4" s="155"/>
      <c r="K4" s="155"/>
      <c r="L4" s="155"/>
      <c r="M4" s="155"/>
    </row>
    <row r="5" spans="1:13" ht="15.75" customHeight="1">
      <c r="A5" s="2877" t="s">
        <v>241</v>
      </c>
      <c r="B5" s="2878"/>
      <c r="C5" s="262">
        <f>C6+C10+C15+C17+C21+C24</f>
        <v>1609990</v>
      </c>
      <c r="D5" s="2877" t="s">
        <v>242</v>
      </c>
      <c r="E5" s="2878"/>
      <c r="F5" s="263">
        <f>F6+F10+F15+F17+F19+F21+F23+F25</f>
        <v>1609990</v>
      </c>
      <c r="G5" s="155"/>
      <c r="H5" s="155"/>
      <c r="I5" s="155"/>
      <c r="J5" s="155"/>
      <c r="K5" s="155"/>
      <c r="L5" s="155"/>
      <c r="M5" s="155"/>
    </row>
    <row r="6" spans="1:13" ht="15.75" customHeight="1">
      <c r="A6" s="264" t="s">
        <v>261</v>
      </c>
      <c r="B6" s="265" t="s">
        <v>262</v>
      </c>
      <c r="C6" s="266">
        <f>SUM(C7:C9)</f>
        <v>0</v>
      </c>
      <c r="D6" s="267" t="s">
        <v>263</v>
      </c>
      <c r="E6" s="265" t="s">
        <v>262</v>
      </c>
      <c r="F6" s="268">
        <f>SUM(F7:F9)</f>
        <v>0</v>
      </c>
      <c r="G6" s="155"/>
      <c r="H6" s="155"/>
      <c r="I6" s="155"/>
      <c r="J6" s="155"/>
      <c r="K6" s="155"/>
      <c r="L6" s="155"/>
      <c r="M6" s="155"/>
    </row>
    <row r="7" spans="1:13" ht="15.75" customHeight="1">
      <c r="A7" s="267"/>
      <c r="B7" s="269" t="s">
        <v>212</v>
      </c>
      <c r="C7" s="270">
        <v>0</v>
      </c>
      <c r="D7" s="267"/>
      <c r="E7" s="271"/>
      <c r="F7" s="272"/>
      <c r="G7" s="155"/>
      <c r="H7" s="155"/>
      <c r="I7" s="155"/>
      <c r="J7" s="155"/>
      <c r="K7" s="155"/>
      <c r="L7" s="155"/>
      <c r="M7" s="155"/>
    </row>
    <row r="8" spans="1:13" ht="15.75" customHeight="1">
      <c r="A8" s="267"/>
      <c r="B8" s="271"/>
      <c r="C8" s="273">
        <v>0</v>
      </c>
      <c r="D8" s="267"/>
      <c r="E8" s="271" t="s">
        <v>264</v>
      </c>
      <c r="F8" s="272">
        <v>0</v>
      </c>
      <c r="G8" s="155"/>
      <c r="H8" s="155"/>
      <c r="I8" s="155"/>
      <c r="J8" s="155"/>
      <c r="K8" s="155"/>
      <c r="L8" s="155"/>
      <c r="M8" s="155"/>
    </row>
    <row r="9" spans="1:13" ht="15.75" customHeight="1">
      <c r="A9" s="274"/>
      <c r="B9" s="275"/>
      <c r="C9" s="276"/>
      <c r="D9" s="267"/>
      <c r="E9" s="275" t="s">
        <v>265</v>
      </c>
      <c r="F9" s="277">
        <f>F36+F63</f>
        <v>0</v>
      </c>
      <c r="G9" s="155"/>
      <c r="H9" s="155"/>
      <c r="I9" s="155"/>
      <c r="J9" s="155"/>
      <c r="K9" s="155"/>
      <c r="L9" s="155"/>
      <c r="M9" s="155"/>
    </row>
    <row r="10" spans="1:13" ht="15.75" customHeight="1">
      <c r="A10" s="278" t="s">
        <v>214</v>
      </c>
      <c r="B10" s="265" t="s">
        <v>262</v>
      </c>
      <c r="C10" s="266">
        <f>SUM(C11:C13)</f>
        <v>0</v>
      </c>
      <c r="D10" s="264" t="s">
        <v>266</v>
      </c>
      <c r="E10" s="265" t="s">
        <v>168</v>
      </c>
      <c r="F10" s="277">
        <f>C19</f>
        <v>1109990</v>
      </c>
      <c r="G10" s="279"/>
      <c r="H10" s="279"/>
      <c r="I10" s="279"/>
      <c r="K10" s="279"/>
      <c r="L10" s="279"/>
      <c r="M10" s="155"/>
    </row>
    <row r="11" spans="1:13" ht="15.75" customHeight="1">
      <c r="A11" s="267"/>
      <c r="B11" s="269" t="s">
        <v>267</v>
      </c>
      <c r="C11" s="280">
        <v>0</v>
      </c>
      <c r="E11" s="271" t="s">
        <v>268</v>
      </c>
      <c r="F11" s="272"/>
      <c r="G11" s="155"/>
      <c r="H11" s="155"/>
      <c r="I11" s="155"/>
      <c r="J11" s="155"/>
      <c r="K11" s="155"/>
      <c r="L11" s="155"/>
      <c r="M11" s="155"/>
    </row>
    <row r="12" spans="1:13" ht="15.75" customHeight="1">
      <c r="A12" s="267"/>
      <c r="B12" s="271"/>
      <c r="C12" s="273">
        <f>+C39+C66</f>
        <v>0</v>
      </c>
      <c r="D12" s="281"/>
      <c r="E12" s="271" t="s">
        <v>269</v>
      </c>
      <c r="F12" s="272">
        <f>'나. 지출예산 총괄표'!H302</f>
        <v>150000</v>
      </c>
      <c r="G12" s="155"/>
      <c r="H12" s="155"/>
      <c r="I12" s="155"/>
      <c r="J12" s="155"/>
      <c r="K12" s="155"/>
      <c r="L12" s="155"/>
      <c r="M12" s="155"/>
    </row>
    <row r="13" spans="1:13" ht="15.75" customHeight="1">
      <c r="A13" s="267"/>
      <c r="B13" s="271"/>
      <c r="C13" s="273">
        <v>0</v>
      </c>
      <c r="D13" s="282"/>
      <c r="E13" s="271" t="s">
        <v>270</v>
      </c>
      <c r="F13" s="272"/>
      <c r="G13" s="177"/>
      <c r="H13" s="155"/>
      <c r="I13" s="155"/>
      <c r="J13" s="155"/>
      <c r="K13" s="155"/>
      <c r="L13" s="155"/>
      <c r="M13" s="155"/>
    </row>
    <row r="14" spans="1:13" ht="15.75" customHeight="1">
      <c r="A14" s="283"/>
      <c r="B14" s="284"/>
      <c r="C14" s="285"/>
      <c r="D14" s="274"/>
      <c r="E14" s="275" t="s">
        <v>271</v>
      </c>
      <c r="F14" s="277">
        <f>F10-F12</f>
        <v>959990</v>
      </c>
      <c r="G14" s="155"/>
      <c r="H14" s="155"/>
      <c r="I14" s="155"/>
      <c r="J14" s="155"/>
      <c r="K14" s="155"/>
      <c r="L14" s="155"/>
      <c r="M14" s="155"/>
    </row>
    <row r="15" spans="1:13" ht="15.75" customHeight="1">
      <c r="A15" s="264" t="s">
        <v>216</v>
      </c>
      <c r="B15" s="265" t="s">
        <v>262</v>
      </c>
      <c r="C15" s="266">
        <f>C16</f>
        <v>0</v>
      </c>
      <c r="D15" s="2867" t="s">
        <v>227</v>
      </c>
      <c r="E15" s="275" t="s">
        <v>262</v>
      </c>
      <c r="F15" s="277">
        <f>F16</f>
        <v>0</v>
      </c>
      <c r="G15" s="155"/>
      <c r="H15" s="155"/>
      <c r="I15" s="155"/>
      <c r="J15" s="155"/>
      <c r="K15" s="155"/>
      <c r="L15" s="155"/>
      <c r="M15" s="155"/>
    </row>
    <row r="16" spans="1:13" ht="15.75" customHeight="1">
      <c r="A16" s="267"/>
      <c r="B16" s="269" t="s">
        <v>272</v>
      </c>
      <c r="C16" s="280"/>
      <c r="D16" s="2868"/>
      <c r="E16" s="275" t="s">
        <v>273</v>
      </c>
      <c r="F16" s="277">
        <v>0</v>
      </c>
      <c r="G16" s="155"/>
      <c r="H16" s="155"/>
      <c r="I16" s="155"/>
      <c r="J16" s="155"/>
      <c r="K16" s="155"/>
      <c r="L16" s="155"/>
      <c r="M16" s="155"/>
    </row>
    <row r="17" spans="1:13" ht="15.75" customHeight="1">
      <c r="A17" s="264" t="s">
        <v>217</v>
      </c>
      <c r="B17" s="265" t="s">
        <v>262</v>
      </c>
      <c r="C17" s="266">
        <f>C18+C19</f>
        <v>1109990</v>
      </c>
      <c r="D17" s="267" t="s">
        <v>274</v>
      </c>
      <c r="E17" s="275" t="s">
        <v>262</v>
      </c>
      <c r="F17" s="277">
        <f>F18</f>
        <v>0</v>
      </c>
      <c r="G17" s="155"/>
      <c r="H17" s="155"/>
      <c r="I17" s="155"/>
      <c r="J17" s="155"/>
      <c r="K17" s="155"/>
      <c r="L17" s="155"/>
      <c r="M17" s="155"/>
    </row>
    <row r="18" spans="1:13" ht="15.75" customHeight="1">
      <c r="A18" s="267"/>
      <c r="B18" s="269" t="s">
        <v>275</v>
      </c>
      <c r="C18" s="280">
        <v>0</v>
      </c>
      <c r="D18" s="274"/>
      <c r="E18" s="275" t="s">
        <v>212</v>
      </c>
      <c r="F18" s="277"/>
      <c r="G18" s="155"/>
      <c r="H18" s="155"/>
      <c r="I18" s="155"/>
      <c r="J18" s="155"/>
      <c r="K18" s="155"/>
      <c r="L18" s="155"/>
      <c r="M18" s="155"/>
    </row>
    <row r="19" spans="1:13" ht="15.75" customHeight="1">
      <c r="A19" s="267"/>
      <c r="B19" s="271" t="s">
        <v>276</v>
      </c>
      <c r="C19" s="286">
        <f>'가. 수입예산 총괄표(사업수익+자본적수입)'!F30</f>
        <v>1109990</v>
      </c>
      <c r="D19" s="267" t="s">
        <v>277</v>
      </c>
      <c r="E19" s="275" t="s">
        <v>168</v>
      </c>
      <c r="F19" s="277"/>
      <c r="G19" s="155"/>
      <c r="H19" s="155"/>
      <c r="I19" s="155"/>
      <c r="J19" s="155"/>
      <c r="K19" s="155"/>
      <c r="L19" s="155"/>
      <c r="M19" s="155"/>
    </row>
    <row r="20" spans="1:13" ht="15.75" customHeight="1">
      <c r="A20" s="274"/>
      <c r="B20" s="275"/>
      <c r="C20" s="287">
        <v>0</v>
      </c>
      <c r="D20" s="274"/>
      <c r="E20" s="275" t="s">
        <v>278</v>
      </c>
      <c r="F20" s="277"/>
      <c r="G20" s="155"/>
      <c r="H20" s="155"/>
      <c r="I20" s="155"/>
      <c r="J20" s="155"/>
      <c r="K20" s="155"/>
      <c r="L20" s="155"/>
      <c r="M20" s="155"/>
    </row>
    <row r="21" spans="1:13" ht="15.75" customHeight="1">
      <c r="A21" s="267" t="s">
        <v>219</v>
      </c>
      <c r="B21" s="275" t="s">
        <v>262</v>
      </c>
      <c r="C21" s="288">
        <f>C22</f>
        <v>500000</v>
      </c>
      <c r="D21" s="264" t="s">
        <v>231</v>
      </c>
      <c r="E21" s="275" t="s">
        <v>262</v>
      </c>
      <c r="F21" s="277">
        <f>F22</f>
        <v>0</v>
      </c>
      <c r="G21" s="155"/>
      <c r="H21" s="155"/>
      <c r="I21" s="155"/>
      <c r="J21" s="155"/>
      <c r="K21" s="155"/>
      <c r="L21" s="155"/>
      <c r="M21" s="155"/>
    </row>
    <row r="22" spans="1:13" ht="15.75" customHeight="1">
      <c r="A22" s="267"/>
      <c r="B22" s="271" t="s">
        <v>219</v>
      </c>
      <c r="C22" s="273">
        <f>'가. 수입예산 총괄표(사업수익+자본적수입)'!F43</f>
        <v>500000</v>
      </c>
      <c r="D22" s="274"/>
      <c r="E22" s="275" t="s">
        <v>278</v>
      </c>
      <c r="F22" s="277"/>
      <c r="G22" s="155"/>
      <c r="H22" s="155"/>
      <c r="I22" s="155"/>
      <c r="J22" s="155"/>
      <c r="K22" s="155"/>
      <c r="L22" s="155"/>
      <c r="M22" s="155"/>
    </row>
    <row r="23" spans="1:13" ht="15.75" customHeight="1">
      <c r="A23" s="267"/>
      <c r="B23" s="271"/>
      <c r="C23" s="276"/>
      <c r="D23" s="267" t="s">
        <v>232</v>
      </c>
      <c r="E23" s="275" t="s">
        <v>262</v>
      </c>
      <c r="F23" s="277">
        <f>F24</f>
        <v>0</v>
      </c>
      <c r="G23" s="155"/>
      <c r="H23" s="155"/>
      <c r="I23" s="155"/>
      <c r="J23" s="155"/>
      <c r="K23" s="155"/>
      <c r="L23" s="155"/>
      <c r="M23" s="155"/>
    </row>
    <row r="24" spans="1:13" ht="15.75" customHeight="1">
      <c r="A24" s="264" t="s">
        <v>279</v>
      </c>
      <c r="B24" s="265" t="s">
        <v>262</v>
      </c>
      <c r="C24" s="266">
        <f>SUM(C25:C26)</f>
        <v>0</v>
      </c>
      <c r="D24" s="267"/>
      <c r="E24" s="275" t="s">
        <v>232</v>
      </c>
      <c r="F24" s="277"/>
      <c r="G24" s="155"/>
      <c r="H24" s="155"/>
      <c r="I24" s="155"/>
      <c r="J24" s="155"/>
      <c r="K24" s="155"/>
      <c r="L24" s="155"/>
      <c r="M24" s="155"/>
    </row>
    <row r="25" spans="1:13" ht="15.75" customHeight="1">
      <c r="A25" s="267"/>
      <c r="B25" s="269" t="s">
        <v>279</v>
      </c>
      <c r="C25" s="270">
        <f>+C52+C79</f>
        <v>0</v>
      </c>
      <c r="D25" s="264" t="s">
        <v>229</v>
      </c>
      <c r="E25" s="275" t="s">
        <v>262</v>
      </c>
      <c r="F25" s="277">
        <f>F26</f>
        <v>500000</v>
      </c>
      <c r="G25" s="155"/>
      <c r="H25" s="155"/>
      <c r="I25" s="155"/>
      <c r="J25" s="155"/>
      <c r="K25" s="155"/>
      <c r="L25" s="155"/>
      <c r="M25" s="155"/>
    </row>
    <row r="26" spans="1:13" ht="15.75" customHeight="1" thickBot="1">
      <c r="A26" s="289"/>
      <c r="B26" s="290"/>
      <c r="C26" s="291"/>
      <c r="D26" s="289"/>
      <c r="E26" s="290" t="s">
        <v>229</v>
      </c>
      <c r="F26" s="292">
        <v>500000</v>
      </c>
      <c r="G26" s="155"/>
      <c r="H26" s="155"/>
      <c r="I26" s="155"/>
      <c r="J26" s="155"/>
      <c r="K26" s="155"/>
      <c r="L26" s="155"/>
      <c r="M26" s="155"/>
    </row>
    <row r="27" spans="1:13" ht="15.75" customHeight="1" thickBot="1">
      <c r="A27" s="2869" t="s">
        <v>257</v>
      </c>
      <c r="B27" s="2870"/>
      <c r="C27" s="2870"/>
      <c r="D27" s="2870"/>
      <c r="E27" s="2871"/>
      <c r="F27" s="293">
        <f>C5-F5</f>
        <v>0</v>
      </c>
      <c r="G27" s="155"/>
      <c r="H27" s="155"/>
      <c r="I27" s="155"/>
      <c r="J27" s="155"/>
      <c r="K27" s="155"/>
      <c r="L27" s="155"/>
      <c r="M27" s="155"/>
    </row>
    <row r="28" spans="1:13">
      <c r="A28" s="155"/>
      <c r="B28" s="155"/>
      <c r="C28" s="166"/>
      <c r="D28" s="155"/>
      <c r="E28" s="155"/>
      <c r="F28" s="166"/>
      <c r="G28" s="155"/>
      <c r="H28" s="155"/>
      <c r="I28" s="155"/>
      <c r="J28" s="155"/>
      <c r="K28" s="155"/>
      <c r="L28" s="155"/>
      <c r="M28" s="155"/>
    </row>
    <row r="29" spans="1:13">
      <c r="A29" s="155"/>
      <c r="B29" s="155"/>
      <c r="C29" s="166"/>
      <c r="D29" s="155"/>
      <c r="E29" s="155"/>
      <c r="F29" s="166"/>
      <c r="G29" s="155"/>
      <c r="H29" s="155"/>
      <c r="I29" s="155"/>
      <c r="J29" s="155"/>
      <c r="K29" s="155"/>
      <c r="L29" s="155"/>
      <c r="M29" s="155"/>
    </row>
    <row r="30" spans="1:13">
      <c r="A30" s="155"/>
      <c r="B30" s="155"/>
      <c r="C30" s="166"/>
      <c r="D30" s="155"/>
      <c r="E30" s="155"/>
      <c r="F30" s="166"/>
      <c r="G30" s="155"/>
      <c r="H30" s="155"/>
      <c r="I30" s="155"/>
      <c r="J30" s="155"/>
      <c r="K30" s="155"/>
      <c r="L30" s="155"/>
      <c r="M30" s="155"/>
    </row>
    <row r="31" spans="1:13">
      <c r="A31" s="155"/>
      <c r="B31" s="155"/>
      <c r="C31" s="166"/>
      <c r="D31" s="155"/>
      <c r="E31" s="155"/>
      <c r="F31" s="166"/>
      <c r="G31" s="155"/>
      <c r="H31" s="155"/>
      <c r="I31" s="155"/>
      <c r="J31" s="155"/>
      <c r="K31" s="155"/>
      <c r="L31" s="155"/>
      <c r="M31" s="155"/>
    </row>
    <row r="32" spans="1:13">
      <c r="A32" s="155"/>
      <c r="B32" s="155"/>
      <c r="C32" s="166"/>
      <c r="D32" s="155"/>
      <c r="E32" s="155"/>
      <c r="F32" s="166"/>
      <c r="G32" s="155"/>
      <c r="H32" s="155"/>
      <c r="I32" s="155"/>
      <c r="J32" s="155"/>
      <c r="K32" s="155"/>
      <c r="L32" s="155"/>
      <c r="M32" s="155"/>
    </row>
    <row r="33" spans="1:13">
      <c r="A33" s="155"/>
      <c r="B33" s="155"/>
      <c r="C33" s="166"/>
      <c r="D33" s="155"/>
      <c r="E33" s="155"/>
      <c r="F33" s="166"/>
      <c r="G33" s="155"/>
      <c r="H33" s="155"/>
      <c r="I33" s="155"/>
      <c r="J33" s="155"/>
      <c r="K33" s="155"/>
      <c r="L33" s="155"/>
      <c r="M33" s="155"/>
    </row>
    <row r="34" spans="1:13">
      <c r="A34" s="155"/>
      <c r="B34" s="155"/>
      <c r="C34" s="166"/>
      <c r="D34" s="155"/>
      <c r="E34" s="155"/>
      <c r="F34" s="166"/>
      <c r="G34" s="155"/>
      <c r="H34" s="155"/>
      <c r="I34" s="155"/>
      <c r="J34" s="155"/>
      <c r="K34" s="155"/>
      <c r="L34" s="155"/>
      <c r="M34" s="155"/>
    </row>
    <row r="35" spans="1:13">
      <c r="A35" s="155"/>
      <c r="B35" s="155"/>
      <c r="C35" s="166"/>
      <c r="D35" s="155"/>
      <c r="E35" s="155"/>
      <c r="F35" s="166"/>
      <c r="G35" s="155"/>
      <c r="H35" s="155"/>
      <c r="I35" s="155"/>
      <c r="J35" s="155"/>
      <c r="K35" s="155"/>
      <c r="L35" s="155"/>
      <c r="M35" s="155"/>
    </row>
    <row r="36" spans="1:13">
      <c r="A36" s="155"/>
      <c r="B36" s="155"/>
      <c r="C36" s="166"/>
      <c r="D36" s="155"/>
      <c r="E36" s="155"/>
      <c r="F36" s="166"/>
      <c r="G36" s="155"/>
      <c r="H36" s="155"/>
      <c r="I36" s="155"/>
      <c r="J36" s="155"/>
      <c r="K36" s="155"/>
      <c r="L36" s="155"/>
      <c r="M36" s="155"/>
    </row>
    <row r="37" spans="1:13">
      <c r="A37" s="155"/>
      <c r="B37" s="155"/>
      <c r="C37" s="166"/>
      <c r="D37" s="155"/>
      <c r="E37" s="155"/>
      <c r="F37" s="166"/>
      <c r="G37" s="155"/>
      <c r="H37" s="155"/>
      <c r="I37" s="155"/>
      <c r="J37" s="155"/>
      <c r="K37" s="155"/>
      <c r="L37" s="155"/>
      <c r="M37" s="155"/>
    </row>
    <row r="38" spans="1:13">
      <c r="A38" s="155"/>
      <c r="B38" s="155"/>
      <c r="C38" s="166"/>
      <c r="D38" s="155"/>
      <c r="E38" s="155"/>
      <c r="F38" s="166"/>
      <c r="G38" s="155"/>
      <c r="H38" s="155"/>
      <c r="I38" s="155"/>
      <c r="J38" s="155"/>
      <c r="K38" s="155"/>
      <c r="L38" s="155"/>
      <c r="M38" s="155"/>
    </row>
    <row r="39" spans="1:13">
      <c r="A39" s="155"/>
      <c r="B39" s="155"/>
      <c r="C39" s="166"/>
      <c r="D39" s="155"/>
      <c r="E39" s="155"/>
      <c r="F39" s="166"/>
      <c r="G39" s="155"/>
      <c r="H39" s="155"/>
      <c r="I39" s="155"/>
      <c r="J39" s="155"/>
      <c r="K39" s="155"/>
      <c r="L39" s="155"/>
      <c r="M39" s="155"/>
    </row>
    <row r="40" spans="1:13">
      <c r="A40" s="155"/>
      <c r="B40" s="155"/>
      <c r="C40" s="166"/>
      <c r="D40" s="155"/>
      <c r="E40" s="155"/>
      <c r="F40" s="166"/>
      <c r="G40" s="155"/>
      <c r="H40" s="155"/>
      <c r="I40" s="155"/>
      <c r="J40" s="155"/>
      <c r="K40" s="155"/>
      <c r="L40" s="155"/>
      <c r="M40" s="155"/>
    </row>
    <row r="41" spans="1:13">
      <c r="A41" s="155"/>
      <c r="B41" s="155"/>
      <c r="C41" s="166"/>
      <c r="D41" s="155"/>
      <c r="E41" s="155"/>
      <c r="F41" s="166"/>
      <c r="G41" s="155"/>
      <c r="H41" s="155"/>
      <c r="I41" s="155"/>
      <c r="J41" s="155"/>
      <c r="K41" s="155"/>
      <c r="L41" s="155"/>
      <c r="M41" s="155"/>
    </row>
    <row r="42" spans="1:13">
      <c r="A42" s="155"/>
      <c r="B42" s="155"/>
      <c r="C42" s="166"/>
      <c r="D42" s="155"/>
      <c r="E42" s="155"/>
      <c r="F42" s="166"/>
      <c r="G42" s="155"/>
      <c r="H42" s="155"/>
      <c r="I42" s="155"/>
      <c r="J42" s="155"/>
      <c r="K42" s="155"/>
      <c r="L42" s="155"/>
      <c r="M42" s="155"/>
    </row>
    <row r="43" spans="1:13">
      <c r="A43" s="155"/>
      <c r="B43" s="155"/>
      <c r="C43" s="166"/>
      <c r="D43" s="155"/>
      <c r="E43" s="155"/>
      <c r="F43" s="166"/>
      <c r="G43" s="155"/>
      <c r="H43" s="155"/>
      <c r="I43" s="155"/>
      <c r="J43" s="155"/>
      <c r="K43" s="155"/>
      <c r="L43" s="155"/>
      <c r="M43" s="155"/>
    </row>
    <row r="44" spans="1:13">
      <c r="A44" s="155"/>
      <c r="B44" s="155"/>
      <c r="C44" s="166"/>
      <c r="D44" s="155"/>
      <c r="E44" s="155"/>
      <c r="F44" s="166"/>
      <c r="G44" s="155"/>
      <c r="H44" s="155"/>
      <c r="I44" s="155"/>
      <c r="J44" s="155"/>
      <c r="K44" s="155"/>
      <c r="L44" s="155"/>
      <c r="M44" s="155"/>
    </row>
    <row r="45" spans="1:13">
      <c r="A45" s="155"/>
      <c r="B45" s="155"/>
      <c r="C45" s="166"/>
      <c r="D45" s="155"/>
      <c r="E45" s="155"/>
      <c r="F45" s="166"/>
      <c r="G45" s="155"/>
      <c r="H45" s="155"/>
      <c r="I45" s="155"/>
      <c r="J45" s="155"/>
      <c r="K45" s="155"/>
      <c r="L45" s="155"/>
      <c r="M45" s="155"/>
    </row>
    <row r="46" spans="1:13">
      <c r="A46" s="155"/>
      <c r="B46" s="155"/>
      <c r="C46" s="166"/>
      <c r="D46" s="155"/>
      <c r="E46" s="155"/>
      <c r="F46" s="166"/>
      <c r="G46" s="155"/>
      <c r="H46" s="155"/>
      <c r="I46" s="155"/>
      <c r="J46" s="155"/>
      <c r="K46" s="155"/>
      <c r="L46" s="155"/>
      <c r="M46" s="155"/>
    </row>
    <row r="47" spans="1:13">
      <c r="A47" s="155"/>
      <c r="B47" s="155"/>
      <c r="C47" s="166"/>
      <c r="D47" s="155"/>
      <c r="E47" s="155"/>
      <c r="F47" s="166"/>
      <c r="G47" s="155"/>
      <c r="H47" s="155"/>
      <c r="I47" s="155"/>
      <c r="J47" s="155"/>
      <c r="K47" s="155"/>
      <c r="L47" s="155"/>
      <c r="M47" s="155"/>
    </row>
    <row r="48" spans="1:13">
      <c r="A48" s="155"/>
      <c r="B48" s="155"/>
      <c r="C48" s="166"/>
      <c r="D48" s="155"/>
      <c r="E48" s="155"/>
      <c r="F48" s="166"/>
      <c r="G48" s="155"/>
      <c r="H48" s="155"/>
      <c r="I48" s="155"/>
      <c r="J48" s="155"/>
      <c r="K48" s="155"/>
      <c r="L48" s="155"/>
      <c r="M48" s="155"/>
    </row>
    <row r="49" spans="1:13">
      <c r="A49" s="155"/>
      <c r="B49" s="155"/>
      <c r="C49" s="166"/>
      <c r="D49" s="155"/>
      <c r="E49" s="155"/>
      <c r="F49" s="166"/>
      <c r="G49" s="155"/>
      <c r="H49" s="155"/>
      <c r="I49" s="155"/>
      <c r="J49" s="155"/>
      <c r="K49" s="155"/>
      <c r="L49" s="155"/>
      <c r="M49" s="155"/>
    </row>
    <row r="50" spans="1:13">
      <c r="A50" s="155"/>
      <c r="B50" s="155"/>
      <c r="C50" s="166"/>
      <c r="D50" s="155"/>
      <c r="E50" s="155"/>
      <c r="F50" s="166"/>
      <c r="G50" s="155"/>
      <c r="H50" s="155"/>
      <c r="I50" s="155"/>
      <c r="J50" s="155"/>
      <c r="K50" s="155"/>
      <c r="L50" s="155"/>
      <c r="M50" s="155"/>
    </row>
    <row r="51" spans="1:13">
      <c r="A51" s="155"/>
      <c r="B51" s="155"/>
      <c r="C51" s="166"/>
      <c r="D51" s="155"/>
      <c r="E51" s="155"/>
      <c r="F51" s="166"/>
      <c r="G51" s="155"/>
      <c r="H51" s="155"/>
      <c r="I51" s="155"/>
      <c r="J51" s="155"/>
      <c r="K51" s="155"/>
      <c r="L51" s="155"/>
      <c r="M51" s="155"/>
    </row>
    <row r="52" spans="1:13">
      <c r="A52" s="155"/>
      <c r="B52" s="155"/>
      <c r="C52" s="166"/>
      <c r="D52" s="155"/>
      <c r="E52" s="155"/>
      <c r="F52" s="166"/>
      <c r="G52" s="155"/>
      <c r="H52" s="155"/>
      <c r="I52" s="155"/>
      <c r="J52" s="155"/>
      <c r="K52" s="155"/>
      <c r="L52" s="155"/>
      <c r="M52" s="155"/>
    </row>
    <row r="53" spans="1:13">
      <c r="A53" s="155"/>
      <c r="B53" s="155"/>
      <c r="C53" s="166"/>
      <c r="D53" s="155"/>
      <c r="E53" s="155"/>
      <c r="F53" s="166"/>
      <c r="G53" s="155"/>
      <c r="H53" s="155"/>
      <c r="I53" s="155"/>
      <c r="J53" s="155"/>
      <c r="K53" s="155"/>
      <c r="L53" s="155"/>
      <c r="M53" s="155"/>
    </row>
    <row r="54" spans="1:13">
      <c r="A54" s="155"/>
      <c r="B54" s="155"/>
      <c r="C54" s="166"/>
      <c r="D54" s="155"/>
      <c r="E54" s="155"/>
      <c r="F54" s="166"/>
      <c r="G54" s="155"/>
      <c r="H54" s="155"/>
      <c r="I54" s="155"/>
      <c r="J54" s="155"/>
      <c r="K54" s="155"/>
      <c r="L54" s="155"/>
      <c r="M54" s="155"/>
    </row>
    <row r="55" spans="1:13">
      <c r="A55" s="155"/>
      <c r="B55" s="155"/>
      <c r="C55" s="166"/>
      <c r="D55" s="155"/>
      <c r="E55" s="155"/>
      <c r="F55" s="166"/>
      <c r="G55" s="155"/>
      <c r="H55" s="155"/>
      <c r="I55" s="155"/>
      <c r="J55" s="155"/>
      <c r="K55" s="155"/>
      <c r="L55" s="155"/>
      <c r="M55" s="155"/>
    </row>
    <row r="56" spans="1:13">
      <c r="A56" s="155"/>
      <c r="B56" s="155"/>
      <c r="C56" s="166"/>
      <c r="D56" s="155"/>
      <c r="E56" s="155"/>
      <c r="F56" s="166"/>
      <c r="G56" s="155"/>
      <c r="H56" s="155"/>
      <c r="I56" s="155"/>
      <c r="J56" s="155"/>
      <c r="K56" s="155"/>
      <c r="L56" s="155"/>
      <c r="M56" s="155"/>
    </row>
    <row r="57" spans="1:13">
      <c r="A57" s="155"/>
      <c r="B57" s="155"/>
      <c r="C57" s="166"/>
      <c r="D57" s="155"/>
      <c r="E57" s="155"/>
      <c r="F57" s="166"/>
      <c r="G57" s="155"/>
      <c r="H57" s="155"/>
      <c r="I57" s="155"/>
      <c r="J57" s="155"/>
      <c r="K57" s="155"/>
      <c r="L57" s="155"/>
      <c r="M57" s="155"/>
    </row>
  </sheetData>
  <mergeCells count="8">
    <mergeCell ref="D15:D16"/>
    <mergeCell ref="A27:E27"/>
    <mergeCell ref="A3:C3"/>
    <mergeCell ref="D3:F3"/>
    <mergeCell ref="A4:B4"/>
    <mergeCell ref="D4:E4"/>
    <mergeCell ref="A5:B5"/>
    <mergeCell ref="D5:E5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92" orientation="landscape" useFirstPageNumber="1" r:id="rId1"/>
  <headerFooter alignWithMargins="0">
    <oddHeader xml:space="preserve">&amp;L&amp;"돋움,굵게"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46"/>
  <sheetViews>
    <sheetView topLeftCell="A4" zoomScaleNormal="100" workbookViewId="0">
      <selection activeCell="H14" activeCellId="1" sqref="H36 H14"/>
    </sheetView>
  </sheetViews>
  <sheetFormatPr defaultRowHeight="16.5"/>
  <cols>
    <col min="5" max="5" width="14.25" customWidth="1"/>
    <col min="6" max="6" width="14.375" customWidth="1"/>
    <col min="7" max="7" width="14.375" style="1731" customWidth="1"/>
    <col min="8" max="8" width="12.125" customWidth="1"/>
    <col min="9" max="9" width="45.125" customWidth="1"/>
    <col min="10" max="10" width="3.625" customWidth="1"/>
    <col min="11" max="11" width="13.5" customWidth="1"/>
  </cols>
  <sheetData>
    <row r="1" spans="1:11" ht="27.95" customHeight="1">
      <c r="A1" s="381" t="s">
        <v>559</v>
      </c>
      <c r="B1" s="381"/>
      <c r="C1" s="382"/>
      <c r="D1" s="382"/>
      <c r="E1" s="382"/>
      <c r="F1" s="383"/>
      <c r="G1" s="1726"/>
      <c r="H1" s="383"/>
      <c r="I1" s="383"/>
      <c r="J1" s="384"/>
      <c r="K1" s="385"/>
    </row>
    <row r="2" spans="1:11" ht="27.95" customHeight="1" thickBot="1">
      <c r="A2" s="386"/>
      <c r="B2" s="386"/>
      <c r="C2" s="386"/>
      <c r="D2" s="386"/>
      <c r="E2" s="386"/>
      <c r="F2" s="386"/>
      <c r="G2" s="1727"/>
      <c r="H2" s="386"/>
      <c r="I2" s="386"/>
      <c r="J2" s="387"/>
      <c r="K2" s="388" t="s">
        <v>162</v>
      </c>
    </row>
    <row r="3" spans="1:11" ht="27.95" customHeight="1">
      <c r="A3" s="2902" t="s">
        <v>280</v>
      </c>
      <c r="B3" s="2903"/>
      <c r="C3" s="2903"/>
      <c r="D3" s="2903"/>
      <c r="E3" s="2904"/>
      <c r="F3" s="2905" t="s">
        <v>281</v>
      </c>
      <c r="G3" s="2907" t="s">
        <v>282</v>
      </c>
      <c r="H3" s="2909" t="s">
        <v>283</v>
      </c>
      <c r="I3" s="2911" t="s">
        <v>284</v>
      </c>
      <c r="J3" s="2912"/>
      <c r="K3" s="2913"/>
    </row>
    <row r="4" spans="1:11" ht="27.95" customHeight="1" thickBot="1">
      <c r="A4" s="747" t="s">
        <v>561</v>
      </c>
      <c r="B4" s="391" t="s">
        <v>562</v>
      </c>
      <c r="C4" s="391" t="s">
        <v>563</v>
      </c>
      <c r="D4" s="391" t="s">
        <v>564</v>
      </c>
      <c r="E4" s="391" t="s">
        <v>285</v>
      </c>
      <c r="F4" s="2906"/>
      <c r="G4" s="2908"/>
      <c r="H4" s="2910"/>
      <c r="I4" s="2914"/>
      <c r="J4" s="2915"/>
      <c r="K4" s="2916"/>
    </row>
    <row r="5" spans="1:11" ht="27.95" customHeight="1" thickBot="1">
      <c r="A5" s="2892" t="s">
        <v>286</v>
      </c>
      <c r="B5" s="2893"/>
      <c r="C5" s="2893"/>
      <c r="D5" s="2893"/>
      <c r="E5" s="2894"/>
      <c r="F5" s="392">
        <f>F6+F27</f>
        <v>47211348</v>
      </c>
      <c r="G5" s="1728">
        <f>G6+G27</f>
        <v>49686584.700000003</v>
      </c>
      <c r="H5" s="393">
        <f t="shared" ref="H5:H10" si="0">F5-G5</f>
        <v>-2475236.700000003</v>
      </c>
      <c r="I5" s="394"/>
      <c r="J5" s="395"/>
      <c r="K5" s="396"/>
    </row>
    <row r="6" spans="1:11" ht="27.95" customHeight="1">
      <c r="A6" s="2895" t="s">
        <v>204</v>
      </c>
      <c r="B6" s="2896"/>
      <c r="C6" s="2897"/>
      <c r="D6" s="2897"/>
      <c r="E6" s="453"/>
      <c r="F6" s="984">
        <f>F8+F23</f>
        <v>45601358</v>
      </c>
      <c r="G6" s="2599">
        <f>G8+G23</f>
        <v>46229778.700000003</v>
      </c>
      <c r="H6" s="2600">
        <f t="shared" si="0"/>
        <v>-628420.70000000298</v>
      </c>
      <c r="I6" s="454"/>
      <c r="J6" s="455"/>
      <c r="K6" s="456"/>
    </row>
    <row r="7" spans="1:11" ht="27.95" customHeight="1">
      <c r="A7" s="397"/>
      <c r="B7" s="2881" t="s">
        <v>560</v>
      </c>
      <c r="C7" s="2882"/>
      <c r="D7" s="2882"/>
      <c r="E7" s="2883"/>
      <c r="F7" s="985">
        <f>F8+F23</f>
        <v>45601358</v>
      </c>
      <c r="G7" s="2601">
        <f>G8+G23</f>
        <v>46229778.700000003</v>
      </c>
      <c r="H7" s="2602">
        <f t="shared" si="0"/>
        <v>-628420.70000000298</v>
      </c>
      <c r="I7" s="415"/>
      <c r="J7" s="416"/>
      <c r="K7" s="746"/>
    </row>
    <row r="8" spans="1:11" ht="27.95" customHeight="1">
      <c r="A8" s="398"/>
      <c r="B8" s="403"/>
      <c r="C8" s="2881" t="s">
        <v>287</v>
      </c>
      <c r="D8" s="2882"/>
      <c r="E8" s="2883"/>
      <c r="F8" s="986">
        <f>F9</f>
        <v>45601358</v>
      </c>
      <c r="G8" s="2603">
        <f>G9</f>
        <v>46229778.700000003</v>
      </c>
      <c r="H8" s="2604">
        <f t="shared" si="0"/>
        <v>-628420.70000000298</v>
      </c>
      <c r="I8" s="415"/>
      <c r="J8" s="416"/>
      <c r="K8" s="417"/>
    </row>
    <row r="9" spans="1:11" ht="27.95" customHeight="1">
      <c r="A9" s="398"/>
      <c r="B9" s="404"/>
      <c r="C9" s="399"/>
      <c r="D9" s="2881" t="s">
        <v>288</v>
      </c>
      <c r="E9" s="2898"/>
      <c r="F9" s="986">
        <f>F10+F21</f>
        <v>45601358</v>
      </c>
      <c r="G9" s="2603">
        <f>G10+G21</f>
        <v>46229778.700000003</v>
      </c>
      <c r="H9" s="2604">
        <f t="shared" si="0"/>
        <v>-628420.70000000298</v>
      </c>
      <c r="I9" s="418"/>
      <c r="J9" s="419"/>
      <c r="K9" s="417"/>
    </row>
    <row r="10" spans="1:11" ht="27.95" customHeight="1">
      <c r="A10" s="398"/>
      <c r="B10" s="404"/>
      <c r="C10" s="399"/>
      <c r="D10" s="2899"/>
      <c r="E10" s="403" t="s">
        <v>289</v>
      </c>
      <c r="F10" s="2605">
        <f>SUM(F11:F20)</f>
        <v>29447308</v>
      </c>
      <c r="G10" s="2605">
        <v>30339593.699999999</v>
      </c>
      <c r="H10" s="2606">
        <f t="shared" si="0"/>
        <v>-892285.69999999925</v>
      </c>
      <c r="I10" s="407"/>
      <c r="J10" s="408"/>
      <c r="K10" s="409">
        <f>SUM(K11:K20)</f>
        <v>29447308</v>
      </c>
    </row>
    <row r="11" spans="1:11" ht="27.95" customHeight="1">
      <c r="A11" s="398"/>
      <c r="B11" s="404"/>
      <c r="C11" s="399"/>
      <c r="D11" s="2900"/>
      <c r="E11" s="404"/>
      <c r="F11" s="410">
        <f t="shared" ref="F11:F15" si="1">K11</f>
        <v>1577711</v>
      </c>
      <c r="G11" s="410">
        <v>1456881</v>
      </c>
      <c r="H11" s="411">
        <f t="shared" ref="H11:H20" si="2">F11-G11</f>
        <v>120830</v>
      </c>
      <c r="I11" s="378" t="s">
        <v>294</v>
      </c>
      <c r="J11" s="389" t="s">
        <v>291</v>
      </c>
      <c r="K11" s="470">
        <f>'나. 지출예산 총괄표'!H9</f>
        <v>1577711</v>
      </c>
    </row>
    <row r="12" spans="1:11" ht="27.95" customHeight="1">
      <c r="A12" s="398"/>
      <c r="B12" s="404"/>
      <c r="C12" s="399"/>
      <c r="D12" s="2900"/>
      <c r="E12" s="2901"/>
      <c r="F12" s="410">
        <f t="shared" si="1"/>
        <v>168033</v>
      </c>
      <c r="G12" s="410">
        <v>230088</v>
      </c>
      <c r="H12" s="411">
        <f t="shared" si="2"/>
        <v>-62055</v>
      </c>
      <c r="I12" s="457" t="s">
        <v>298</v>
      </c>
      <c r="J12" s="389" t="s">
        <v>292</v>
      </c>
      <c r="K12" s="470">
        <f>'나. 지출예산 총괄표'!H31</f>
        <v>168033</v>
      </c>
    </row>
    <row r="13" spans="1:11" ht="27.95" customHeight="1">
      <c r="A13" s="398"/>
      <c r="B13" s="404"/>
      <c r="C13" s="399"/>
      <c r="D13" s="2900"/>
      <c r="E13" s="2901"/>
      <c r="F13" s="410">
        <f t="shared" si="1"/>
        <v>297674</v>
      </c>
      <c r="G13" s="410">
        <v>299424</v>
      </c>
      <c r="H13" s="411">
        <f t="shared" si="2"/>
        <v>-1750</v>
      </c>
      <c r="I13" s="413" t="s">
        <v>484</v>
      </c>
      <c r="J13" s="389" t="s">
        <v>292</v>
      </c>
      <c r="K13" s="470">
        <f>'나. 지출예산 총괄표'!H47</f>
        <v>297674</v>
      </c>
    </row>
    <row r="14" spans="1:11" ht="27.95" customHeight="1">
      <c r="A14" s="398"/>
      <c r="B14" s="404"/>
      <c r="C14" s="399"/>
      <c r="D14" s="2900"/>
      <c r="E14" s="2901"/>
      <c r="F14" s="410">
        <f t="shared" ref="F14" si="3">K14</f>
        <v>185000</v>
      </c>
      <c r="G14" s="410">
        <v>0</v>
      </c>
      <c r="H14" s="411">
        <f t="shared" ref="H14" si="4">F14-G14</f>
        <v>185000</v>
      </c>
      <c r="I14" s="413" t="s">
        <v>2477</v>
      </c>
      <c r="J14" s="389" t="s">
        <v>292</v>
      </c>
      <c r="K14" s="470">
        <f>'나. 지출예산 총괄표'!H66</f>
        <v>185000</v>
      </c>
    </row>
    <row r="15" spans="1:11" ht="27.95" customHeight="1">
      <c r="A15" s="398"/>
      <c r="B15" s="404"/>
      <c r="C15" s="399"/>
      <c r="D15" s="2900"/>
      <c r="E15" s="2901"/>
      <c r="F15" s="410">
        <f t="shared" si="1"/>
        <v>21539757</v>
      </c>
      <c r="G15" s="410">
        <v>21828236</v>
      </c>
      <c r="H15" s="411">
        <f t="shared" si="2"/>
        <v>-288479</v>
      </c>
      <c r="I15" s="362" t="s">
        <v>290</v>
      </c>
      <c r="J15" s="389" t="s">
        <v>292</v>
      </c>
      <c r="K15" s="470">
        <f>'나. 지출예산 총괄표'!H139</f>
        <v>21539757</v>
      </c>
    </row>
    <row r="16" spans="1:11" ht="27.95" customHeight="1">
      <c r="A16" s="398"/>
      <c r="B16" s="404"/>
      <c r="C16" s="399"/>
      <c r="D16" s="2900"/>
      <c r="E16" s="2901"/>
      <c r="F16" s="410">
        <f t="shared" ref="F16:F21" si="5">K16</f>
        <v>100803</v>
      </c>
      <c r="G16" s="410">
        <v>101745</v>
      </c>
      <c r="H16" s="411">
        <f t="shared" si="2"/>
        <v>-942</v>
      </c>
      <c r="I16" s="413" t="s">
        <v>293</v>
      </c>
      <c r="J16" s="389" t="s">
        <v>292</v>
      </c>
      <c r="K16" s="470">
        <f>'나. 지출예산 총괄표'!H163</f>
        <v>100803</v>
      </c>
    </row>
    <row r="17" spans="1:11" ht="27.95" customHeight="1">
      <c r="A17" s="398"/>
      <c r="B17" s="404"/>
      <c r="C17" s="399"/>
      <c r="D17" s="2900"/>
      <c r="E17" s="2901"/>
      <c r="F17" s="410">
        <f t="shared" si="5"/>
        <v>1004886</v>
      </c>
      <c r="G17" s="410">
        <v>1029364</v>
      </c>
      <c r="H17" s="411">
        <f t="shared" si="2"/>
        <v>-24478</v>
      </c>
      <c r="I17" s="413" t="s">
        <v>295</v>
      </c>
      <c r="J17" s="389" t="s">
        <v>292</v>
      </c>
      <c r="K17" s="470">
        <f>'나. 지출예산 총괄표'!H88</f>
        <v>1004886</v>
      </c>
    </row>
    <row r="18" spans="1:11" ht="27.95" customHeight="1">
      <c r="A18" s="398"/>
      <c r="B18" s="404"/>
      <c r="C18" s="399"/>
      <c r="D18" s="2900"/>
      <c r="E18" s="2901"/>
      <c r="F18" s="410">
        <f t="shared" si="5"/>
        <v>747817</v>
      </c>
      <c r="G18" s="410">
        <v>745283</v>
      </c>
      <c r="H18" s="411">
        <f t="shared" si="2"/>
        <v>2534</v>
      </c>
      <c r="I18" s="457" t="s">
        <v>296</v>
      </c>
      <c r="J18" s="389" t="s">
        <v>292</v>
      </c>
      <c r="K18" s="470">
        <f>'나. 지출예산 총괄표'!H108</f>
        <v>747817</v>
      </c>
    </row>
    <row r="19" spans="1:11" ht="27.95" customHeight="1">
      <c r="A19" s="398"/>
      <c r="B19" s="404"/>
      <c r="C19" s="399"/>
      <c r="D19" s="401"/>
      <c r="E19" s="405"/>
      <c r="F19" s="410">
        <f t="shared" si="5"/>
        <v>225039</v>
      </c>
      <c r="G19" s="410">
        <v>224991</v>
      </c>
      <c r="H19" s="411">
        <f t="shared" si="2"/>
        <v>48</v>
      </c>
      <c r="I19" s="413" t="s">
        <v>297</v>
      </c>
      <c r="J19" s="389" t="s">
        <v>292</v>
      </c>
      <c r="K19" s="470">
        <f>'나. 지출예산 총괄표'!H124</f>
        <v>225039</v>
      </c>
    </row>
    <row r="20" spans="1:11" ht="27.95" customHeight="1">
      <c r="A20" s="398"/>
      <c r="B20" s="404"/>
      <c r="C20" s="399"/>
      <c r="D20" s="401"/>
      <c r="E20" s="406"/>
      <c r="F20" s="410">
        <f t="shared" si="5"/>
        <v>3600588</v>
      </c>
      <c r="G20" s="410">
        <v>4423581.7</v>
      </c>
      <c r="H20" s="411">
        <f t="shared" si="2"/>
        <v>-822993.70000000019</v>
      </c>
      <c r="I20" s="413" t="s">
        <v>485</v>
      </c>
      <c r="J20" s="389" t="s">
        <v>292</v>
      </c>
      <c r="K20" s="470">
        <f>'나. 지출예산 총괄표'!H178</f>
        <v>3600588</v>
      </c>
    </row>
    <row r="21" spans="1:11" ht="27.95" customHeight="1">
      <c r="A21" s="748"/>
      <c r="B21" s="402"/>
      <c r="C21" s="400"/>
      <c r="D21" s="402"/>
      <c r="E21" s="403" t="s">
        <v>299</v>
      </c>
      <c r="F21" s="987">
        <f t="shared" si="5"/>
        <v>16154050</v>
      </c>
      <c r="G21" s="987">
        <v>15890185</v>
      </c>
      <c r="H21" s="2607">
        <f>F21-G21</f>
        <v>263865</v>
      </c>
      <c r="I21" s="407" t="s">
        <v>300</v>
      </c>
      <c r="J21" s="408"/>
      <c r="K21" s="409">
        <f>K22</f>
        <v>16154050</v>
      </c>
    </row>
    <row r="22" spans="1:11" ht="27.95" customHeight="1" thickBot="1">
      <c r="A22" s="748"/>
      <c r="B22" s="402"/>
      <c r="C22" s="400"/>
      <c r="D22" s="400"/>
      <c r="E22" s="404"/>
      <c r="F22" s="312"/>
      <c r="G22" s="1729"/>
      <c r="H22" s="421"/>
      <c r="I22" s="400" t="s">
        <v>301</v>
      </c>
      <c r="J22" s="422" t="s">
        <v>292</v>
      </c>
      <c r="K22" s="379">
        <f>'나. 지출예산 총괄표'!H202-'나. 지출예산 총괄표'!H235</f>
        <v>16154050</v>
      </c>
    </row>
    <row r="23" spans="1:11" ht="24.95" hidden="1" customHeight="1" thickBot="1">
      <c r="A23" s="398"/>
      <c r="B23" s="404"/>
      <c r="C23" s="2881" t="s">
        <v>302</v>
      </c>
      <c r="D23" s="2882"/>
      <c r="E23" s="2883"/>
      <c r="F23" s="309">
        <f>F24</f>
        <v>0</v>
      </c>
      <c r="G23" s="309">
        <f>G24</f>
        <v>0</v>
      </c>
      <c r="H23" s="423">
        <f>H24</f>
        <v>0</v>
      </c>
      <c r="I23" s="418"/>
      <c r="J23" s="419"/>
      <c r="K23" s="424"/>
    </row>
    <row r="24" spans="1:11" ht="24.95" hidden="1" customHeight="1">
      <c r="A24" s="398"/>
      <c r="B24" s="404"/>
      <c r="C24" s="425"/>
      <c r="D24" s="2884" t="s">
        <v>303</v>
      </c>
      <c r="E24" s="2885"/>
      <c r="F24" s="414">
        <f>K25</f>
        <v>0</v>
      </c>
      <c r="G24" s="414">
        <f>L25</f>
        <v>0</v>
      </c>
      <c r="H24" s="426">
        <f>F24-G24</f>
        <v>0</v>
      </c>
      <c r="I24" s="415"/>
      <c r="J24" s="416"/>
      <c r="K24" s="427"/>
    </row>
    <row r="25" spans="1:11" ht="24.95" hidden="1" customHeight="1">
      <c r="A25" s="398"/>
      <c r="B25" s="404"/>
      <c r="C25" s="425"/>
      <c r="D25" s="402"/>
      <c r="E25" s="403" t="s">
        <v>304</v>
      </c>
      <c r="F25" s="428">
        <f>K25</f>
        <v>0</v>
      </c>
      <c r="G25" s="428">
        <f>L25</f>
        <v>0</v>
      </c>
      <c r="H25" s="420">
        <f>F25-G25</f>
        <v>0</v>
      </c>
      <c r="I25" s="429"/>
      <c r="J25" s="430"/>
      <c r="K25" s="431">
        <f>K26</f>
        <v>0</v>
      </c>
    </row>
    <row r="26" spans="1:11" ht="24.95" hidden="1" customHeight="1" thickBot="1">
      <c r="A26" s="749"/>
      <c r="B26" s="464"/>
      <c r="C26" s="462"/>
      <c r="D26" s="463"/>
      <c r="E26" s="464"/>
      <c r="F26" s="449"/>
      <c r="G26" s="1730"/>
      <c r="H26" s="465"/>
      <c r="I26" s="466" t="s">
        <v>305</v>
      </c>
      <c r="J26" s="467" t="s">
        <v>292</v>
      </c>
      <c r="K26" s="468">
        <f>'나. 지출예산 총괄표'!H235</f>
        <v>0</v>
      </c>
    </row>
    <row r="27" spans="1:11" ht="24.95" customHeight="1">
      <c r="A27" s="2886" t="s">
        <v>205</v>
      </c>
      <c r="B27" s="2887"/>
      <c r="C27" s="2888"/>
      <c r="D27" s="2888"/>
      <c r="E27" s="460"/>
      <c r="F27" s="989">
        <f>F28</f>
        <v>1609990</v>
      </c>
      <c r="G27" s="989">
        <f>G28</f>
        <v>3456806</v>
      </c>
      <c r="H27" s="989">
        <f>F27-G27</f>
        <v>-1846816</v>
      </c>
      <c r="I27" s="351"/>
      <c r="J27" s="352"/>
      <c r="K27" s="461"/>
    </row>
    <row r="28" spans="1:11" ht="24.95" customHeight="1">
      <c r="A28" s="750"/>
      <c r="B28" s="2879" t="s">
        <v>565</v>
      </c>
      <c r="C28" s="2891"/>
      <c r="D28" s="2891"/>
      <c r="E28" s="2880"/>
      <c r="F28" s="2608">
        <f>F29+F43</f>
        <v>1609990</v>
      </c>
      <c r="G28" s="2608">
        <f>G29+G43</f>
        <v>3456806</v>
      </c>
      <c r="H28" s="2609">
        <f t="shared" ref="H28:H45" si="6">F28-G28</f>
        <v>-1846816</v>
      </c>
      <c r="I28" s="362"/>
      <c r="J28" s="751"/>
      <c r="K28" s="752"/>
    </row>
    <row r="29" spans="1:11" ht="24.95" customHeight="1">
      <c r="A29" s="380"/>
      <c r="B29" s="377"/>
      <c r="C29" s="2879" t="s">
        <v>306</v>
      </c>
      <c r="D29" s="2889"/>
      <c r="E29" s="2890"/>
      <c r="F29" s="2609">
        <f>F30</f>
        <v>1109990</v>
      </c>
      <c r="G29" s="2609">
        <f>G30</f>
        <v>2956806</v>
      </c>
      <c r="H29" s="2609">
        <f t="shared" si="6"/>
        <v>-1846816</v>
      </c>
      <c r="I29" s="372"/>
      <c r="J29" s="432"/>
      <c r="K29" s="433">
        <f>K30</f>
        <v>0</v>
      </c>
    </row>
    <row r="30" spans="1:11" ht="24.95" customHeight="1">
      <c r="A30" s="380"/>
      <c r="B30" s="482"/>
      <c r="C30" s="377"/>
      <c r="D30" s="2879" t="s">
        <v>307</v>
      </c>
      <c r="E30" s="2880"/>
      <c r="F30" s="2610">
        <f>F31</f>
        <v>1109990</v>
      </c>
      <c r="G30" s="2610">
        <f>G31</f>
        <v>2956806</v>
      </c>
      <c r="H30" s="2610">
        <f t="shared" si="6"/>
        <v>-1846816</v>
      </c>
      <c r="I30" s="434"/>
      <c r="J30" s="435"/>
      <c r="K30" s="436"/>
    </row>
    <row r="31" spans="1:11" ht="24.95" customHeight="1">
      <c r="A31" s="380"/>
      <c r="B31" s="482"/>
      <c r="C31" s="318"/>
      <c r="D31" s="361"/>
      <c r="E31" s="437" t="s">
        <v>308</v>
      </c>
      <c r="F31" s="2608">
        <f>SUM(F32:F42)</f>
        <v>1109990</v>
      </c>
      <c r="G31" s="2608">
        <v>2956806</v>
      </c>
      <c r="H31" s="2608">
        <f t="shared" si="6"/>
        <v>-1846816</v>
      </c>
      <c r="I31" s="439"/>
      <c r="J31" s="458"/>
      <c r="K31" s="440">
        <f>SUM(K32:K42)</f>
        <v>1109990</v>
      </c>
    </row>
    <row r="32" spans="1:11" ht="24.95" customHeight="1">
      <c r="A32" s="380"/>
      <c r="B32" s="482"/>
      <c r="C32" s="314"/>
      <c r="D32" s="361"/>
      <c r="E32" s="437"/>
      <c r="F32" s="438">
        <f t="shared" ref="F32:F42" si="7">K32</f>
        <v>8000</v>
      </c>
      <c r="G32" s="438">
        <v>32396</v>
      </c>
      <c r="H32" s="438">
        <f>F32-G32</f>
        <v>-24396</v>
      </c>
      <c r="I32" s="412" t="s">
        <v>309</v>
      </c>
      <c r="J32" s="459" t="s">
        <v>292</v>
      </c>
      <c r="K32" s="441">
        <f>'나. 지출예산 총괄표'!H309</f>
        <v>8000</v>
      </c>
    </row>
    <row r="33" spans="1:11" ht="24.95" customHeight="1">
      <c r="A33" s="380"/>
      <c r="B33" s="482"/>
      <c r="C33" s="314"/>
      <c r="D33" s="354"/>
      <c r="E33" s="442"/>
      <c r="F33" s="438">
        <f t="shared" si="7"/>
        <v>150000</v>
      </c>
      <c r="G33" s="438">
        <v>127500</v>
      </c>
      <c r="H33" s="438">
        <f t="shared" ref="H33:H42" si="8">F33-G33</f>
        <v>22500</v>
      </c>
      <c r="I33" s="362" t="s">
        <v>310</v>
      </c>
      <c r="J33" s="459" t="s">
        <v>292</v>
      </c>
      <c r="K33" s="441">
        <f>'나. 지출예산 총괄표'!H261</f>
        <v>150000</v>
      </c>
    </row>
    <row r="34" spans="1:11" ht="24.95" customHeight="1">
      <c r="A34" s="380"/>
      <c r="B34" s="482"/>
      <c r="C34" s="314"/>
      <c r="D34" s="354"/>
      <c r="E34" s="442"/>
      <c r="F34" s="312">
        <f>K34</f>
        <v>0</v>
      </c>
      <c r="G34" s="312">
        <v>0</v>
      </c>
      <c r="H34" s="438">
        <f t="shared" si="8"/>
        <v>0</v>
      </c>
      <c r="I34" s="362" t="s">
        <v>508</v>
      </c>
      <c r="J34" s="459" t="s">
        <v>292</v>
      </c>
      <c r="K34" s="441">
        <v>0</v>
      </c>
    </row>
    <row r="35" spans="1:11" ht="24.95" customHeight="1">
      <c r="A35" s="380"/>
      <c r="B35" s="482"/>
      <c r="C35" s="314"/>
      <c r="D35" s="354"/>
      <c r="E35" s="442"/>
      <c r="F35" s="312">
        <f>K35</f>
        <v>1750</v>
      </c>
      <c r="G35" s="312">
        <v>0</v>
      </c>
      <c r="H35" s="438">
        <f t="shared" si="8"/>
        <v>1750</v>
      </c>
      <c r="I35" s="362" t="s">
        <v>311</v>
      </c>
      <c r="J35" s="459" t="s">
        <v>292</v>
      </c>
      <c r="K35" s="441">
        <f>'나. 지출예산 총괄표'!H265</f>
        <v>1750</v>
      </c>
    </row>
    <row r="36" spans="1:11" ht="24.95" customHeight="1">
      <c r="A36" s="380"/>
      <c r="B36" s="482"/>
      <c r="C36" s="314"/>
      <c r="D36" s="354"/>
      <c r="E36" s="442"/>
      <c r="F36" s="312">
        <f>K36</f>
        <v>15000</v>
      </c>
      <c r="G36" s="312">
        <v>0</v>
      </c>
      <c r="H36" s="438">
        <f t="shared" ref="H36" si="9">F36-G36</f>
        <v>15000</v>
      </c>
      <c r="I36" s="413" t="s">
        <v>2271</v>
      </c>
      <c r="J36" s="459" t="s">
        <v>292</v>
      </c>
      <c r="K36" s="441">
        <f>'나. 지출예산 총괄표'!H269</f>
        <v>15000</v>
      </c>
    </row>
    <row r="37" spans="1:11" ht="24.95" customHeight="1">
      <c r="A37" s="380"/>
      <c r="B37" s="482"/>
      <c r="C37" s="314"/>
      <c r="D37" s="354"/>
      <c r="E37" s="442"/>
      <c r="F37" s="438">
        <f t="shared" si="7"/>
        <v>707000</v>
      </c>
      <c r="G37" s="438">
        <v>665113</v>
      </c>
      <c r="H37" s="438">
        <f t="shared" si="8"/>
        <v>41887</v>
      </c>
      <c r="I37" s="469" t="s">
        <v>486</v>
      </c>
      <c r="J37" s="389" t="s">
        <v>291</v>
      </c>
      <c r="K37" s="390">
        <f>'나. 지출예산 총괄표'!H287</f>
        <v>707000</v>
      </c>
    </row>
    <row r="38" spans="1:11" ht="24.95" customHeight="1">
      <c r="A38" s="380"/>
      <c r="B38" s="482"/>
      <c r="C38" s="314"/>
      <c r="D38" s="354"/>
      <c r="E38" s="442"/>
      <c r="F38" s="312">
        <f>K38</f>
        <v>0</v>
      </c>
      <c r="G38" s="312">
        <v>0</v>
      </c>
      <c r="H38" s="438">
        <f t="shared" si="8"/>
        <v>0</v>
      </c>
      <c r="I38" s="412" t="s">
        <v>509</v>
      </c>
      <c r="J38" s="389" t="s">
        <v>291</v>
      </c>
      <c r="K38" s="390">
        <f>'나. 지출예산 총괄표'!H294</f>
        <v>0</v>
      </c>
    </row>
    <row r="39" spans="1:11" ht="24.95" customHeight="1">
      <c r="A39" s="380"/>
      <c r="B39" s="482"/>
      <c r="C39" s="314"/>
      <c r="D39" s="354"/>
      <c r="E39" s="442"/>
      <c r="F39" s="438">
        <f t="shared" si="7"/>
        <v>19170</v>
      </c>
      <c r="G39" s="438">
        <v>3470</v>
      </c>
      <c r="H39" s="438">
        <f t="shared" si="8"/>
        <v>15700</v>
      </c>
      <c r="I39" s="412" t="s">
        <v>312</v>
      </c>
      <c r="J39" s="459" t="s">
        <v>292</v>
      </c>
      <c r="K39" s="441">
        <f>'나. 지출예산 총괄표'!H274</f>
        <v>19170</v>
      </c>
    </row>
    <row r="40" spans="1:11" ht="24.95" customHeight="1">
      <c r="A40" s="380"/>
      <c r="B40" s="482"/>
      <c r="C40" s="314"/>
      <c r="D40" s="354"/>
      <c r="E40" s="442"/>
      <c r="F40" s="438">
        <f t="shared" si="7"/>
        <v>1470</v>
      </c>
      <c r="G40" s="438">
        <v>21886</v>
      </c>
      <c r="H40" s="438">
        <f t="shared" si="8"/>
        <v>-20416</v>
      </c>
      <c r="I40" s="362" t="s">
        <v>313</v>
      </c>
      <c r="J40" s="459" t="s">
        <v>292</v>
      </c>
      <c r="K40" s="441">
        <f>'나. 지출예산 총괄표'!H278</f>
        <v>1470</v>
      </c>
    </row>
    <row r="41" spans="1:11" ht="24.95" customHeight="1">
      <c r="A41" s="380"/>
      <c r="B41" s="482"/>
      <c r="C41" s="314"/>
      <c r="D41" s="354"/>
      <c r="E41" s="442"/>
      <c r="F41" s="312">
        <f>K41</f>
        <v>0</v>
      </c>
      <c r="G41" s="312">
        <v>0</v>
      </c>
      <c r="H41" s="438">
        <f t="shared" si="8"/>
        <v>0</v>
      </c>
      <c r="I41" s="412" t="s">
        <v>314</v>
      </c>
      <c r="J41" s="459" t="s">
        <v>292</v>
      </c>
      <c r="K41" s="441">
        <f>'나. 지출예산 총괄표'!H282</f>
        <v>0</v>
      </c>
    </row>
    <row r="42" spans="1:11" ht="24.95" customHeight="1">
      <c r="A42" s="380"/>
      <c r="B42" s="482"/>
      <c r="C42" s="314"/>
      <c r="D42" s="354"/>
      <c r="E42" s="442"/>
      <c r="F42" s="438">
        <f t="shared" si="7"/>
        <v>207600</v>
      </c>
      <c r="G42" s="438">
        <v>2106441</v>
      </c>
      <c r="H42" s="438">
        <f t="shared" si="8"/>
        <v>-1898841</v>
      </c>
      <c r="I42" s="469" t="s">
        <v>487</v>
      </c>
      <c r="J42" s="459" t="s">
        <v>292</v>
      </c>
      <c r="K42" s="441">
        <f>'나. 지출예산 총괄표'!H298</f>
        <v>207600</v>
      </c>
    </row>
    <row r="43" spans="1:11" ht="24.95" customHeight="1">
      <c r="A43" s="380"/>
      <c r="B43" s="482"/>
      <c r="C43" s="2879" t="s">
        <v>315</v>
      </c>
      <c r="D43" s="2891"/>
      <c r="E43" s="2880"/>
      <c r="F43" s="2610">
        <f>F44</f>
        <v>500000</v>
      </c>
      <c r="G43" s="2603">
        <v>500000</v>
      </c>
      <c r="H43" s="986">
        <f t="shared" si="6"/>
        <v>0</v>
      </c>
      <c r="I43" s="371"/>
      <c r="J43" s="435"/>
      <c r="K43" s="443"/>
    </row>
    <row r="44" spans="1:11" ht="24.95" customHeight="1">
      <c r="A44" s="380"/>
      <c r="B44" s="482"/>
      <c r="C44" s="377"/>
      <c r="D44" s="2879" t="s">
        <v>316</v>
      </c>
      <c r="E44" s="2880"/>
      <c r="F44" s="2610">
        <f>F45</f>
        <v>500000</v>
      </c>
      <c r="G44" s="2603">
        <v>500000</v>
      </c>
      <c r="H44" s="986">
        <f t="shared" si="6"/>
        <v>0</v>
      </c>
      <c r="I44" s="434"/>
      <c r="J44" s="435"/>
      <c r="K44" s="443"/>
    </row>
    <row r="45" spans="1:11" ht="24.95" customHeight="1">
      <c r="A45" s="380"/>
      <c r="B45" s="482"/>
      <c r="C45" s="318"/>
      <c r="D45" s="361"/>
      <c r="E45" s="444" t="s">
        <v>317</v>
      </c>
      <c r="F45" s="2608">
        <v>500000</v>
      </c>
      <c r="G45" s="2611">
        <v>500000</v>
      </c>
      <c r="H45" s="2612">
        <f t="shared" si="6"/>
        <v>0</v>
      </c>
      <c r="I45" s="439"/>
      <c r="J45" s="458"/>
      <c r="K45" s="441">
        <f>K46</f>
        <v>500000</v>
      </c>
    </row>
    <row r="46" spans="1:11" ht="24.95" customHeight="1" thickBot="1">
      <c r="A46" s="445"/>
      <c r="B46" s="487"/>
      <c r="C46" s="343"/>
      <c r="D46" s="446"/>
      <c r="E46" s="447"/>
      <c r="F46" s="448"/>
      <c r="G46" s="1730"/>
      <c r="H46" s="448"/>
      <c r="I46" s="450" t="s">
        <v>318</v>
      </c>
      <c r="J46" s="451" t="s">
        <v>292</v>
      </c>
      <c r="K46" s="452">
        <f>'나. 지출예산 총괄표'!H313</f>
        <v>500000</v>
      </c>
    </row>
  </sheetData>
  <mergeCells count="20">
    <mergeCell ref="A3:E3"/>
    <mergeCell ref="F3:F4"/>
    <mergeCell ref="G3:G4"/>
    <mergeCell ref="H3:H4"/>
    <mergeCell ref="I3:K4"/>
    <mergeCell ref="A5:E5"/>
    <mergeCell ref="A6:D6"/>
    <mergeCell ref="C8:E8"/>
    <mergeCell ref="D9:E9"/>
    <mergeCell ref="D10:D18"/>
    <mergeCell ref="E12:E18"/>
    <mergeCell ref="B7:E7"/>
    <mergeCell ref="D44:E44"/>
    <mergeCell ref="C23:E23"/>
    <mergeCell ref="D24:E24"/>
    <mergeCell ref="A27:D27"/>
    <mergeCell ref="C29:E29"/>
    <mergeCell ref="D30:E30"/>
    <mergeCell ref="C43:E43"/>
    <mergeCell ref="B28:E28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76" fitToHeight="0" orientation="landscape" useFirstPageNumber="1" r:id="rId1"/>
  <headerFooter alignWithMargins="0">
    <oddHeader xml:space="preserve">&amp;L&amp;"돋움,굵게"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3889-E55B-4866-96DA-99BFF4A391D3}">
  <sheetPr codeName="Sheet25"/>
  <dimension ref="A1:M316"/>
  <sheetViews>
    <sheetView tabSelected="1" topLeftCell="A238" zoomScaleNormal="100" workbookViewId="0">
      <selection activeCell="J257" sqref="J257"/>
    </sheetView>
  </sheetViews>
  <sheetFormatPr defaultRowHeight="16.5"/>
  <cols>
    <col min="1" max="1" width="9" style="1291"/>
    <col min="2" max="5" width="8" style="1291" bestFit="1" customWidth="1"/>
    <col min="6" max="6" width="6.75" style="1291" bestFit="1" customWidth="1"/>
    <col min="7" max="7" width="22.375" style="1291" customWidth="1"/>
    <col min="8" max="9" width="14.375" style="1291" customWidth="1"/>
    <col min="10" max="10" width="12.125" style="1291" customWidth="1"/>
  </cols>
  <sheetData>
    <row r="1" spans="1:10" ht="18" customHeight="1">
      <c r="A1" s="381" t="s">
        <v>566</v>
      </c>
      <c r="B1" s="381"/>
      <c r="C1" s="382"/>
      <c r="D1" s="382"/>
      <c r="E1" s="382"/>
      <c r="F1" s="382"/>
      <c r="G1" s="382"/>
      <c r="H1" s="383"/>
      <c r="I1" s="383"/>
      <c r="J1" s="383"/>
    </row>
    <row r="2" spans="1:10" ht="18" customHeight="1" thickBot="1">
      <c r="A2" s="386"/>
      <c r="B2" s="386"/>
      <c r="C2" s="386"/>
      <c r="D2" s="386"/>
      <c r="E2" s="386"/>
      <c r="F2" s="386"/>
      <c r="G2" s="386"/>
      <c r="H2" s="386"/>
      <c r="I2" s="386"/>
      <c r="J2" s="388" t="s">
        <v>162</v>
      </c>
    </row>
    <row r="3" spans="1:10" ht="18" customHeight="1">
      <c r="A3" s="2920" t="s">
        <v>280</v>
      </c>
      <c r="B3" s="2921"/>
      <c r="C3" s="2921"/>
      <c r="D3" s="2921"/>
      <c r="E3" s="2921"/>
      <c r="F3" s="2921"/>
      <c r="G3" s="2922"/>
      <c r="H3" s="2905" t="s">
        <v>281</v>
      </c>
      <c r="I3" s="2905" t="s">
        <v>282</v>
      </c>
      <c r="J3" s="2918" t="s">
        <v>283</v>
      </c>
    </row>
    <row r="4" spans="1:10" ht="18" customHeight="1" thickBot="1">
      <c r="A4" s="747" t="s">
        <v>561</v>
      </c>
      <c r="B4" s="391" t="s">
        <v>567</v>
      </c>
      <c r="C4" s="391" t="s">
        <v>568</v>
      </c>
      <c r="D4" s="391" t="s">
        <v>569</v>
      </c>
      <c r="E4" s="391" t="s">
        <v>570</v>
      </c>
      <c r="F4" s="391" t="s">
        <v>285</v>
      </c>
      <c r="G4" s="391" t="s">
        <v>796</v>
      </c>
      <c r="H4" s="2917"/>
      <c r="I4" s="2917"/>
      <c r="J4" s="2919"/>
    </row>
    <row r="5" spans="1:10" ht="18" customHeight="1" thickBot="1">
      <c r="A5" s="2892" t="s">
        <v>613</v>
      </c>
      <c r="B5" s="2893"/>
      <c r="C5" s="2893"/>
      <c r="D5" s="2893"/>
      <c r="E5" s="2893"/>
      <c r="F5" s="2893"/>
      <c r="G5" s="2894"/>
      <c r="H5" s="1723">
        <f>H6+H258</f>
        <v>47211348</v>
      </c>
      <c r="I5" s="1723">
        <f>I6+I258</f>
        <v>49686585</v>
      </c>
      <c r="J5" s="1267">
        <f>H5-I5</f>
        <v>-2475237</v>
      </c>
    </row>
    <row r="6" spans="1:10" ht="18" customHeight="1">
      <c r="A6" s="1302" t="s">
        <v>204</v>
      </c>
      <c r="B6" s="1303"/>
      <c r="C6" s="1303"/>
      <c r="D6" s="1303"/>
      <c r="E6" s="1303"/>
      <c r="F6" s="1303"/>
      <c r="G6" s="1304"/>
      <c r="H6" s="984">
        <f>H7</f>
        <v>45601358</v>
      </c>
      <c r="I6" s="984">
        <f>I7</f>
        <v>46229779</v>
      </c>
      <c r="J6" s="994">
        <f>H6-I6</f>
        <v>-628421</v>
      </c>
    </row>
    <row r="7" spans="1:10" ht="18" customHeight="1">
      <c r="A7" s="1268"/>
      <c r="B7" s="1299" t="s">
        <v>902</v>
      </c>
      <c r="C7" s="1300"/>
      <c r="D7" s="1300"/>
      <c r="E7" s="1300"/>
      <c r="F7" s="1300"/>
      <c r="G7" s="1301"/>
      <c r="H7" s="985">
        <f>H8+H87+H138+H202</f>
        <v>45601358</v>
      </c>
      <c r="I7" s="985">
        <f>I8+I87+I138+I202</f>
        <v>46229779</v>
      </c>
      <c r="J7" s="995">
        <f t="shared" ref="J7:J156" si="0">H7-I7</f>
        <v>-628421</v>
      </c>
    </row>
    <row r="8" spans="1:10" ht="18" customHeight="1">
      <c r="A8" s="1269"/>
      <c r="B8" s="1270"/>
      <c r="C8" s="1292" t="s">
        <v>906</v>
      </c>
      <c r="D8" s="1293"/>
      <c r="E8" s="1293"/>
      <c r="F8" s="1293"/>
      <c r="G8" s="1294"/>
      <c r="H8" s="990">
        <f>H9+H31+H47+H66</f>
        <v>2228418</v>
      </c>
      <c r="I8" s="990">
        <f>I9+I31+I47+I66</f>
        <v>1986393</v>
      </c>
      <c r="J8" s="996">
        <f t="shared" si="0"/>
        <v>242025</v>
      </c>
    </row>
    <row r="9" spans="1:10" ht="18" customHeight="1">
      <c r="A9" s="1269"/>
      <c r="B9" s="1271"/>
      <c r="C9" s="1272"/>
      <c r="D9" s="1299" t="s">
        <v>910</v>
      </c>
      <c r="E9" s="1300"/>
      <c r="F9" s="1300"/>
      <c r="G9" s="1301"/>
      <c r="H9" s="986">
        <f>H10+H28</f>
        <v>1577711</v>
      </c>
      <c r="I9" s="986">
        <f>I10+I28</f>
        <v>1456881</v>
      </c>
      <c r="J9" s="995">
        <f t="shared" si="0"/>
        <v>120830</v>
      </c>
    </row>
    <row r="10" spans="1:10" ht="18" customHeight="1">
      <c r="A10" s="1269"/>
      <c r="B10" s="1271"/>
      <c r="C10" s="1273"/>
      <c r="D10" s="1274"/>
      <c r="E10" s="1299" t="s">
        <v>571</v>
      </c>
      <c r="F10" s="1300"/>
      <c r="G10" s="1301"/>
      <c r="H10" s="987">
        <f>H11+H13+H20+H22+H24+H26</f>
        <v>1396852</v>
      </c>
      <c r="I10" s="987">
        <f>I11+I13+I20+I22+I24+I26</f>
        <v>1271881</v>
      </c>
      <c r="J10" s="995">
        <f t="shared" si="0"/>
        <v>124971</v>
      </c>
    </row>
    <row r="11" spans="1:10" ht="18" customHeight="1">
      <c r="A11" s="1269"/>
      <c r="B11" s="1271"/>
      <c r="C11" s="1273"/>
      <c r="D11" s="1272"/>
      <c r="E11" s="1274"/>
      <c r="F11" s="1299" t="s">
        <v>572</v>
      </c>
      <c r="G11" s="1301"/>
      <c r="H11" s="987">
        <f>교통휴양시설부!H9</f>
        <v>374709</v>
      </c>
      <c r="I11" s="987">
        <f>교통휴양시설부!I9</f>
        <v>491919</v>
      </c>
      <c r="J11" s="995">
        <f t="shared" si="0"/>
        <v>-117210</v>
      </c>
    </row>
    <row r="12" spans="1:10" ht="18" customHeight="1">
      <c r="A12" s="748"/>
      <c r="B12" s="402"/>
      <c r="C12" s="1275"/>
      <c r="D12" s="1276"/>
      <c r="E12" s="1275"/>
      <c r="F12" s="1277"/>
      <c r="G12" s="1278" t="s">
        <v>797</v>
      </c>
      <c r="H12" s="315">
        <f>교통휴양시설부!H11</f>
        <v>374709</v>
      </c>
      <c r="I12" s="315">
        <f>교통휴양시설부!I11</f>
        <v>491919</v>
      </c>
      <c r="J12" s="997">
        <f t="shared" si="0"/>
        <v>-117210</v>
      </c>
    </row>
    <row r="13" spans="1:10" s="988" customFormat="1" ht="18" customHeight="1">
      <c r="A13" s="1269"/>
      <c r="B13" s="1271"/>
      <c r="C13" s="1273"/>
      <c r="D13" s="1272"/>
      <c r="E13" s="1273"/>
      <c r="F13" s="1299" t="s">
        <v>575</v>
      </c>
      <c r="G13" s="1301"/>
      <c r="H13" s="987">
        <f>교통휴양시설부!H25</f>
        <v>992443</v>
      </c>
      <c r="I13" s="987">
        <f>교통휴양시설부!I25</f>
        <v>651602</v>
      </c>
      <c r="J13" s="995">
        <f t="shared" si="0"/>
        <v>340841</v>
      </c>
    </row>
    <row r="14" spans="1:10" ht="18" customHeight="1">
      <c r="A14" s="748"/>
      <c r="B14" s="402"/>
      <c r="C14" s="1275"/>
      <c r="D14" s="1276"/>
      <c r="E14" s="1275"/>
      <c r="F14" s="1278"/>
      <c r="G14" s="1278" t="s">
        <v>798</v>
      </c>
      <c r="H14" s="315">
        <f>교통휴양시설부!H26</f>
        <v>184250</v>
      </c>
      <c r="I14" s="315">
        <f>교통휴양시설부!I26</f>
        <v>107062</v>
      </c>
      <c r="J14" s="998">
        <f>H14-I14</f>
        <v>77188</v>
      </c>
    </row>
    <row r="15" spans="1:10" ht="18" customHeight="1">
      <c r="A15" s="748"/>
      <c r="B15" s="402"/>
      <c r="C15" s="1275"/>
      <c r="D15" s="1276"/>
      <c r="E15" s="1275"/>
      <c r="F15" s="1275"/>
      <c r="G15" s="1278" t="s">
        <v>799</v>
      </c>
      <c r="H15" s="315">
        <f>교통휴양시설부!H38</f>
        <v>315689</v>
      </c>
      <c r="I15" s="315">
        <f>교통휴양시설부!I38</f>
        <v>170510</v>
      </c>
      <c r="J15" s="998">
        <f t="shared" ref="J15:J19" si="1">H15-I15</f>
        <v>145179</v>
      </c>
    </row>
    <row r="16" spans="1:10" ht="18" customHeight="1">
      <c r="A16" s="748"/>
      <c r="B16" s="402"/>
      <c r="C16" s="1275"/>
      <c r="D16" s="1276"/>
      <c r="E16" s="1275"/>
      <c r="F16" s="1275"/>
      <c r="G16" s="1278" t="s">
        <v>800</v>
      </c>
      <c r="H16" s="315">
        <f>교통휴양시설부!H60</f>
        <v>52204</v>
      </c>
      <c r="I16" s="315">
        <f>교통휴양시설부!I60</f>
        <v>45593</v>
      </c>
      <c r="J16" s="998">
        <f t="shared" si="1"/>
        <v>6611</v>
      </c>
    </row>
    <row r="17" spans="1:10" ht="18" customHeight="1">
      <c r="A17" s="748"/>
      <c r="B17" s="402"/>
      <c r="C17" s="1275"/>
      <c r="D17" s="1276"/>
      <c r="E17" s="1275"/>
      <c r="F17" s="1275"/>
      <c r="G17" s="1278" t="s">
        <v>801</v>
      </c>
      <c r="H17" s="315">
        <f>교통휴양시설부!H75</f>
        <v>39500</v>
      </c>
      <c r="I17" s="315">
        <f>교통휴양시설부!I75</f>
        <v>28350</v>
      </c>
      <c r="J17" s="998">
        <f t="shared" si="1"/>
        <v>11150</v>
      </c>
    </row>
    <row r="18" spans="1:10" ht="18" customHeight="1">
      <c r="A18" s="748"/>
      <c r="B18" s="402"/>
      <c r="C18" s="1275"/>
      <c r="D18" s="1276"/>
      <c r="E18" s="1275"/>
      <c r="F18" s="1275"/>
      <c r="G18" s="1278" t="s">
        <v>802</v>
      </c>
      <c r="H18" s="315">
        <f>교통휴양시설부!H81</f>
        <v>397200</v>
      </c>
      <c r="I18" s="315">
        <f>교통휴양시설부!I81</f>
        <v>294792</v>
      </c>
      <c r="J18" s="998">
        <f t="shared" si="1"/>
        <v>102408</v>
      </c>
    </row>
    <row r="19" spans="1:10" ht="18" customHeight="1">
      <c r="A19" s="748"/>
      <c r="B19" s="402"/>
      <c r="C19" s="1275"/>
      <c r="D19" s="1276"/>
      <c r="E19" s="1275"/>
      <c r="F19" s="1279"/>
      <c r="G19" s="1278" t="s">
        <v>803</v>
      </c>
      <c r="H19" s="315">
        <f>교통휴양시설부!H87</f>
        <v>3600</v>
      </c>
      <c r="I19" s="315">
        <f>교통휴양시설부!I87</f>
        <v>5295</v>
      </c>
      <c r="J19" s="998">
        <f t="shared" si="1"/>
        <v>-1695</v>
      </c>
    </row>
    <row r="20" spans="1:10" s="988" customFormat="1" ht="18" customHeight="1">
      <c r="A20" s="1269"/>
      <c r="B20" s="1271"/>
      <c r="C20" s="1273"/>
      <c r="D20" s="1272"/>
      <c r="E20" s="1273"/>
      <c r="F20" s="1299" t="s">
        <v>576</v>
      </c>
      <c r="G20" s="1301"/>
      <c r="H20" s="987">
        <f>교통휴양시설부!H89</f>
        <v>16400</v>
      </c>
      <c r="I20" s="987">
        <f>교통휴양시설부!I89</f>
        <v>15060</v>
      </c>
      <c r="J20" s="995">
        <f t="shared" si="0"/>
        <v>1340</v>
      </c>
    </row>
    <row r="21" spans="1:10" ht="18" customHeight="1">
      <c r="A21" s="748"/>
      <c r="B21" s="402"/>
      <c r="C21" s="1275"/>
      <c r="D21" s="1276"/>
      <c r="E21" s="1275"/>
      <c r="F21" s="1277"/>
      <c r="G21" s="1278" t="s">
        <v>804</v>
      </c>
      <c r="H21" s="315">
        <f>교통휴양시설부!H90</f>
        <v>16400</v>
      </c>
      <c r="I21" s="315">
        <f>교통휴양시설부!I90</f>
        <v>15060</v>
      </c>
      <c r="J21" s="998">
        <f>H21-I21</f>
        <v>1340</v>
      </c>
    </row>
    <row r="22" spans="1:10" s="988" customFormat="1" ht="18" customHeight="1">
      <c r="A22" s="1269"/>
      <c r="B22" s="1271"/>
      <c r="C22" s="1273"/>
      <c r="D22" s="1272"/>
      <c r="E22" s="1273"/>
      <c r="F22" s="1299" t="s">
        <v>598</v>
      </c>
      <c r="G22" s="1301"/>
      <c r="H22" s="987">
        <f>교통휴양시설부!H93</f>
        <v>0</v>
      </c>
      <c r="I22" s="987">
        <f>교통휴양시설부!I93</f>
        <v>100000</v>
      </c>
      <c r="J22" s="995">
        <f>H22-I22</f>
        <v>-100000</v>
      </c>
    </row>
    <row r="23" spans="1:10" ht="18" customHeight="1">
      <c r="A23" s="748"/>
      <c r="B23" s="402"/>
      <c r="C23" s="1275"/>
      <c r="D23" s="1276"/>
      <c r="E23" s="1275"/>
      <c r="F23" s="1277"/>
      <c r="G23" s="1278" t="s">
        <v>805</v>
      </c>
      <c r="H23" s="315">
        <f>교통휴양시설부!H94</f>
        <v>0</v>
      </c>
      <c r="I23" s="315">
        <f>교통휴양시설부!I94</f>
        <v>100000</v>
      </c>
      <c r="J23" s="998">
        <f>H23-I23</f>
        <v>-100000</v>
      </c>
    </row>
    <row r="24" spans="1:10" s="988" customFormat="1" ht="18" customHeight="1">
      <c r="A24" s="1269"/>
      <c r="B24" s="1271"/>
      <c r="C24" s="1273"/>
      <c r="D24" s="1272"/>
      <c r="E24" s="1273"/>
      <c r="F24" s="1299" t="s">
        <v>577</v>
      </c>
      <c r="G24" s="1301"/>
      <c r="H24" s="987">
        <f>교통휴양시설부!H95</f>
        <v>6300</v>
      </c>
      <c r="I24" s="987">
        <f>교통휴양시설부!I95</f>
        <v>6300</v>
      </c>
      <c r="J24" s="995">
        <f t="shared" si="0"/>
        <v>0</v>
      </c>
    </row>
    <row r="25" spans="1:10" ht="18" customHeight="1">
      <c r="A25" s="748"/>
      <c r="B25" s="402"/>
      <c r="C25" s="1275"/>
      <c r="D25" s="1276"/>
      <c r="E25" s="1275"/>
      <c r="F25" s="1277"/>
      <c r="G25" s="1278" t="s">
        <v>806</v>
      </c>
      <c r="H25" s="315">
        <f>교통휴양시설부!H96</f>
        <v>6300</v>
      </c>
      <c r="I25" s="315">
        <f>교통휴양시설부!I96</f>
        <v>6300</v>
      </c>
      <c r="J25" s="998">
        <f>H25-I25</f>
        <v>0</v>
      </c>
    </row>
    <row r="26" spans="1:10" s="988" customFormat="1" ht="18" customHeight="1">
      <c r="A26" s="1269"/>
      <c r="B26" s="1271"/>
      <c r="C26" s="1273"/>
      <c r="D26" s="1272"/>
      <c r="E26" s="1273"/>
      <c r="F26" s="1299" t="s">
        <v>578</v>
      </c>
      <c r="G26" s="1301"/>
      <c r="H26" s="986">
        <f>교통휴양시설부!H101</f>
        <v>7000</v>
      </c>
      <c r="I26" s="986">
        <f>교통휴양시설부!I101</f>
        <v>7000</v>
      </c>
      <c r="J26" s="995">
        <f t="shared" si="0"/>
        <v>0</v>
      </c>
    </row>
    <row r="27" spans="1:10" ht="18" customHeight="1">
      <c r="A27" s="748"/>
      <c r="B27" s="402"/>
      <c r="C27" s="1275"/>
      <c r="D27" s="1276"/>
      <c r="E27" s="1280"/>
      <c r="F27" s="1277"/>
      <c r="G27" s="1281" t="s">
        <v>807</v>
      </c>
      <c r="H27" s="315">
        <f>교통휴양시설부!H102</f>
        <v>7000</v>
      </c>
      <c r="I27" s="315">
        <f>교통휴양시설부!I102</f>
        <v>7000</v>
      </c>
      <c r="J27" s="998">
        <f>H27-I27</f>
        <v>0</v>
      </c>
    </row>
    <row r="28" spans="1:10" s="988" customFormat="1" ht="18" customHeight="1">
      <c r="A28" s="1269"/>
      <c r="B28" s="1271"/>
      <c r="C28" s="1273"/>
      <c r="D28" s="1272"/>
      <c r="E28" s="1299" t="s">
        <v>574</v>
      </c>
      <c r="F28" s="1300"/>
      <c r="G28" s="1301"/>
      <c r="H28" s="987">
        <f>H29</f>
        <v>180859</v>
      </c>
      <c r="I28" s="987">
        <f>I29</f>
        <v>185000</v>
      </c>
      <c r="J28" s="995">
        <f t="shared" si="0"/>
        <v>-4141</v>
      </c>
    </row>
    <row r="29" spans="1:10" ht="18" customHeight="1">
      <c r="A29" s="748"/>
      <c r="B29" s="402"/>
      <c r="C29" s="1275"/>
      <c r="D29" s="1275"/>
      <c r="E29" s="1282"/>
      <c r="F29" s="1299" t="s">
        <v>573</v>
      </c>
      <c r="G29" s="1301"/>
      <c r="H29" s="315">
        <f>교통휴양시설부!H106</f>
        <v>180859</v>
      </c>
      <c r="I29" s="315">
        <f>교통휴양시설부!I106</f>
        <v>185000</v>
      </c>
      <c r="J29" s="997">
        <f t="shared" si="0"/>
        <v>-4141</v>
      </c>
    </row>
    <row r="30" spans="1:10" ht="18" customHeight="1">
      <c r="A30" s="748"/>
      <c r="B30" s="402"/>
      <c r="C30" s="1275"/>
      <c r="D30" s="1275"/>
      <c r="E30" s="1280"/>
      <c r="F30" s="1277"/>
      <c r="G30" s="1281" t="s">
        <v>808</v>
      </c>
      <c r="H30" s="315">
        <f>교통휴양시설부!H107</f>
        <v>180859</v>
      </c>
      <c r="I30" s="315">
        <f>교통휴양시설부!I107</f>
        <v>185000</v>
      </c>
      <c r="J30" s="998">
        <f>H30-I30</f>
        <v>-4141</v>
      </c>
    </row>
    <row r="31" spans="1:10" ht="18" customHeight="1">
      <c r="A31" s="748"/>
      <c r="B31" s="402"/>
      <c r="C31" s="1275"/>
      <c r="D31" s="1299" t="s">
        <v>911</v>
      </c>
      <c r="E31" s="1300"/>
      <c r="F31" s="1300"/>
      <c r="G31" s="1301"/>
      <c r="H31" s="987">
        <f>H32+H44</f>
        <v>168033</v>
      </c>
      <c r="I31" s="987">
        <f>I32+I44</f>
        <v>230088</v>
      </c>
      <c r="J31" s="995">
        <f t="shared" si="0"/>
        <v>-62055</v>
      </c>
    </row>
    <row r="32" spans="1:10" s="988" customFormat="1" ht="18" customHeight="1">
      <c r="A32" s="1269"/>
      <c r="B32" s="1271"/>
      <c r="C32" s="1273"/>
      <c r="D32" s="1273"/>
      <c r="E32" s="1305" t="s">
        <v>579</v>
      </c>
      <c r="F32" s="1306"/>
      <c r="G32" s="1307"/>
      <c r="H32" s="987">
        <f>H33+H35+H40+H42</f>
        <v>158033</v>
      </c>
      <c r="I32" s="987">
        <f>I33+I35+I40+I42</f>
        <v>220888</v>
      </c>
      <c r="J32" s="995">
        <f t="shared" si="0"/>
        <v>-62855</v>
      </c>
    </row>
    <row r="33" spans="1:10" s="988" customFormat="1" ht="18" customHeight="1">
      <c r="A33" s="1269"/>
      <c r="B33" s="1271"/>
      <c r="C33" s="1273"/>
      <c r="D33" s="1272"/>
      <c r="E33" s="1274"/>
      <c r="F33" s="1299" t="s">
        <v>572</v>
      </c>
      <c r="G33" s="1301"/>
      <c r="H33" s="987">
        <f>교통휴양시설부!H112</f>
        <v>142285</v>
      </c>
      <c r="I33" s="987">
        <f>교통휴양시설부!I112</f>
        <v>204758</v>
      </c>
      <c r="J33" s="995">
        <f t="shared" si="0"/>
        <v>-62473</v>
      </c>
    </row>
    <row r="34" spans="1:10" ht="18" customHeight="1">
      <c r="A34" s="748"/>
      <c r="B34" s="402"/>
      <c r="C34" s="1275"/>
      <c r="D34" s="1276"/>
      <c r="E34" s="1275"/>
      <c r="F34" s="1277"/>
      <c r="G34" s="1278" t="s">
        <v>797</v>
      </c>
      <c r="H34" s="315">
        <f>교통휴양시설부!H114</f>
        <v>142285</v>
      </c>
      <c r="I34" s="315">
        <f>교통휴양시설부!I114</f>
        <v>204758</v>
      </c>
      <c r="J34" s="998">
        <f>H34-I34</f>
        <v>-62473</v>
      </c>
    </row>
    <row r="35" spans="1:10" s="988" customFormat="1" ht="18" customHeight="1">
      <c r="A35" s="1269"/>
      <c r="B35" s="1271"/>
      <c r="C35" s="1273"/>
      <c r="D35" s="1272"/>
      <c r="E35" s="1273"/>
      <c r="F35" s="1299" t="s">
        <v>575</v>
      </c>
      <c r="G35" s="1301"/>
      <c r="H35" s="987">
        <f>교통휴양시설부!H121</f>
        <v>13548</v>
      </c>
      <c r="I35" s="987">
        <f>교통휴양시설부!I121</f>
        <v>12030</v>
      </c>
      <c r="J35" s="995">
        <f t="shared" si="0"/>
        <v>1518</v>
      </c>
    </row>
    <row r="36" spans="1:10" ht="18" customHeight="1">
      <c r="A36" s="748"/>
      <c r="B36" s="402"/>
      <c r="C36" s="1275"/>
      <c r="D36" s="1276"/>
      <c r="E36" s="1275"/>
      <c r="F36" s="1277"/>
      <c r="G36" s="1278" t="s">
        <v>798</v>
      </c>
      <c r="H36" s="315">
        <f>교통휴양시설부!H122</f>
        <v>2388</v>
      </c>
      <c r="I36" s="315">
        <f>교통휴양시설부!I122</f>
        <v>2400</v>
      </c>
      <c r="J36" s="998">
        <f t="shared" si="0"/>
        <v>-12</v>
      </c>
    </row>
    <row r="37" spans="1:10" ht="18" customHeight="1">
      <c r="A37" s="748"/>
      <c r="B37" s="402"/>
      <c r="C37" s="1275"/>
      <c r="D37" s="1276"/>
      <c r="E37" s="1275"/>
      <c r="F37" s="1277"/>
      <c r="G37" s="1278" t="s">
        <v>799</v>
      </c>
      <c r="H37" s="315">
        <f>교통휴양시설부!H124</f>
        <v>360</v>
      </c>
      <c r="I37" s="315">
        <f>교통휴양시설부!I124</f>
        <v>330</v>
      </c>
      <c r="J37" s="998">
        <f t="shared" si="0"/>
        <v>30</v>
      </c>
    </row>
    <row r="38" spans="1:10" ht="18" customHeight="1">
      <c r="A38" s="748"/>
      <c r="B38" s="402"/>
      <c r="C38" s="1275"/>
      <c r="D38" s="1276"/>
      <c r="E38" s="1275"/>
      <c r="F38" s="1277"/>
      <c r="G38" s="1278" t="s">
        <v>801</v>
      </c>
      <c r="H38" s="315">
        <f>교통휴양시설부!H126</f>
        <v>2400</v>
      </c>
      <c r="I38" s="315">
        <f>교통휴양시설부!I126</f>
        <v>2700</v>
      </c>
      <c r="J38" s="998">
        <f t="shared" si="0"/>
        <v>-300</v>
      </c>
    </row>
    <row r="39" spans="1:10" ht="18" customHeight="1">
      <c r="A39" s="748"/>
      <c r="B39" s="402"/>
      <c r="C39" s="1275"/>
      <c r="D39" s="1276"/>
      <c r="E39" s="1275"/>
      <c r="F39" s="1277"/>
      <c r="G39" s="1278" t="s">
        <v>802</v>
      </c>
      <c r="H39" s="315">
        <f>교통휴양시설부!H130</f>
        <v>8400</v>
      </c>
      <c r="I39" s="315">
        <f>교통휴양시설부!I130</f>
        <v>6600</v>
      </c>
      <c r="J39" s="998">
        <f t="shared" si="0"/>
        <v>1800</v>
      </c>
    </row>
    <row r="40" spans="1:10" s="988" customFormat="1" ht="18" customHeight="1">
      <c r="A40" s="1269"/>
      <c r="B40" s="1271"/>
      <c r="C40" s="1273"/>
      <c r="D40" s="1272"/>
      <c r="E40" s="1273"/>
      <c r="F40" s="1299" t="s">
        <v>577</v>
      </c>
      <c r="G40" s="1301"/>
      <c r="H40" s="987">
        <f>교통휴양시설부!H133</f>
        <v>1200</v>
      </c>
      <c r="I40" s="987">
        <f>교통휴양시설부!I133</f>
        <v>2100</v>
      </c>
      <c r="J40" s="995">
        <f t="shared" si="0"/>
        <v>-900</v>
      </c>
    </row>
    <row r="41" spans="1:10" ht="18" customHeight="1">
      <c r="A41" s="748"/>
      <c r="B41" s="402"/>
      <c r="C41" s="1275"/>
      <c r="D41" s="1276"/>
      <c r="E41" s="1275"/>
      <c r="F41" s="1277"/>
      <c r="G41" s="1278" t="s">
        <v>806</v>
      </c>
      <c r="H41" s="315">
        <f>교통휴양시설부!H134</f>
        <v>1200</v>
      </c>
      <c r="I41" s="315">
        <f>교통휴양시설부!I134</f>
        <v>2100</v>
      </c>
      <c r="J41" s="998">
        <f>H41-I41</f>
        <v>-900</v>
      </c>
    </row>
    <row r="42" spans="1:10" s="988" customFormat="1" ht="18" customHeight="1">
      <c r="A42" s="1269"/>
      <c r="B42" s="1271"/>
      <c r="C42" s="1273"/>
      <c r="D42" s="1272"/>
      <c r="E42" s="1273"/>
      <c r="F42" s="1299" t="s">
        <v>578</v>
      </c>
      <c r="G42" s="1301"/>
      <c r="H42" s="987">
        <f>교통휴양시설부!H138</f>
        <v>1000</v>
      </c>
      <c r="I42" s="987">
        <f>교통휴양시설부!I138</f>
        <v>2000</v>
      </c>
      <c r="J42" s="995">
        <f t="shared" si="0"/>
        <v>-1000</v>
      </c>
    </row>
    <row r="43" spans="1:10" ht="18" customHeight="1">
      <c r="A43" s="748"/>
      <c r="B43" s="402"/>
      <c r="C43" s="1275"/>
      <c r="D43" s="1276"/>
      <c r="E43" s="1280"/>
      <c r="F43" s="1277"/>
      <c r="G43" s="1281" t="s">
        <v>807</v>
      </c>
      <c r="H43" s="315">
        <f>교통휴양시설부!H139</f>
        <v>1000</v>
      </c>
      <c r="I43" s="315">
        <f>교통휴양시설부!I139</f>
        <v>2000</v>
      </c>
      <c r="J43" s="998">
        <f>H43-I43</f>
        <v>-1000</v>
      </c>
    </row>
    <row r="44" spans="1:10" s="988" customFormat="1" ht="18" customHeight="1">
      <c r="A44" s="1269"/>
      <c r="B44" s="1271"/>
      <c r="C44" s="1273"/>
      <c r="D44" s="1272"/>
      <c r="E44" s="1299" t="s">
        <v>581</v>
      </c>
      <c r="F44" s="1300"/>
      <c r="G44" s="1301"/>
      <c r="H44" s="987">
        <f>H45</f>
        <v>10000</v>
      </c>
      <c r="I44" s="987">
        <f>I45</f>
        <v>9200</v>
      </c>
      <c r="J44" s="995">
        <f t="shared" si="0"/>
        <v>800</v>
      </c>
    </row>
    <row r="45" spans="1:10" s="988" customFormat="1" ht="18" customHeight="1">
      <c r="A45" s="1269"/>
      <c r="B45" s="1271"/>
      <c r="C45" s="1273"/>
      <c r="D45" s="1273"/>
      <c r="E45" s="1274"/>
      <c r="F45" s="1299" t="s">
        <v>573</v>
      </c>
      <c r="G45" s="1301"/>
      <c r="H45" s="987">
        <f>교통휴양시설부!H143</f>
        <v>10000</v>
      </c>
      <c r="I45" s="987">
        <f>교통휴양시설부!I143</f>
        <v>9200</v>
      </c>
      <c r="J45" s="995">
        <f t="shared" si="0"/>
        <v>800</v>
      </c>
    </row>
    <row r="46" spans="1:10" ht="18" customHeight="1">
      <c r="A46" s="748"/>
      <c r="B46" s="402"/>
      <c r="C46" s="1276"/>
      <c r="D46" s="1279"/>
      <c r="E46" s="1279"/>
      <c r="F46" s="1012"/>
      <c r="G46" s="1281" t="s">
        <v>808</v>
      </c>
      <c r="H46" s="315">
        <f>교통휴양시설부!H144</f>
        <v>10000</v>
      </c>
      <c r="I46" s="315">
        <f>교통휴양시설부!I144</f>
        <v>9200</v>
      </c>
      <c r="J46" s="998">
        <f>H46-I46</f>
        <v>800</v>
      </c>
    </row>
    <row r="47" spans="1:10" s="988" customFormat="1" ht="18" customHeight="1">
      <c r="A47" s="1269"/>
      <c r="B47" s="1271"/>
      <c r="C47" s="1272"/>
      <c r="D47" s="1299" t="s">
        <v>912</v>
      </c>
      <c r="E47" s="1300"/>
      <c r="F47" s="1300"/>
      <c r="G47" s="1301"/>
      <c r="H47" s="986">
        <f>H48+H63</f>
        <v>297674</v>
      </c>
      <c r="I47" s="986">
        <f>I48+I63</f>
        <v>299424</v>
      </c>
      <c r="J47" s="995">
        <f t="shared" si="0"/>
        <v>-1750</v>
      </c>
    </row>
    <row r="48" spans="1:10" s="988" customFormat="1" ht="18" customHeight="1">
      <c r="A48" s="1269"/>
      <c r="B48" s="1271"/>
      <c r="C48" s="1273"/>
      <c r="D48" s="1274"/>
      <c r="E48" s="1299" t="s">
        <v>580</v>
      </c>
      <c r="F48" s="1300"/>
      <c r="G48" s="1301"/>
      <c r="H48" s="987">
        <f>H49+H51+H59+H61</f>
        <v>273218</v>
      </c>
      <c r="I48" s="987">
        <f>I49+I51+I59+I61</f>
        <v>268752</v>
      </c>
      <c r="J48" s="995">
        <f t="shared" si="0"/>
        <v>4466</v>
      </c>
    </row>
    <row r="49" spans="1:10" s="988" customFormat="1" ht="18" customHeight="1">
      <c r="A49" s="1269"/>
      <c r="B49" s="1271"/>
      <c r="C49" s="1273"/>
      <c r="D49" s="1272"/>
      <c r="E49" s="1274"/>
      <c r="F49" s="1299" t="s">
        <v>572</v>
      </c>
      <c r="G49" s="1301"/>
      <c r="H49" s="987">
        <f>교통휴양시설부!H149</f>
        <v>67696</v>
      </c>
      <c r="I49" s="987">
        <f>교통휴양시설부!I149</f>
        <v>64392</v>
      </c>
      <c r="J49" s="995">
        <f t="shared" si="0"/>
        <v>3304</v>
      </c>
    </row>
    <row r="50" spans="1:10" ht="18" customHeight="1">
      <c r="A50" s="748"/>
      <c r="B50" s="402"/>
      <c r="C50" s="1275"/>
      <c r="D50" s="1276"/>
      <c r="E50" s="1275"/>
      <c r="F50" s="1277"/>
      <c r="G50" s="1278" t="s">
        <v>797</v>
      </c>
      <c r="H50" s="315">
        <f>교통휴양시설부!H150</f>
        <v>67696</v>
      </c>
      <c r="I50" s="315">
        <f>교통휴양시설부!I150</f>
        <v>64392</v>
      </c>
      <c r="J50" s="998">
        <f>H50-I50</f>
        <v>3304</v>
      </c>
    </row>
    <row r="51" spans="1:10" s="988" customFormat="1" ht="18" customHeight="1">
      <c r="A51" s="1269"/>
      <c r="B51" s="1271"/>
      <c r="C51" s="1273"/>
      <c r="D51" s="1272"/>
      <c r="E51" s="1273"/>
      <c r="F51" s="1299" t="s">
        <v>575</v>
      </c>
      <c r="G51" s="1301"/>
      <c r="H51" s="987">
        <f>교통휴양시설부!H159</f>
        <v>199952</v>
      </c>
      <c r="I51" s="987">
        <f>교통휴양시설부!I159</f>
        <v>198790</v>
      </c>
      <c r="J51" s="995">
        <f t="shared" si="0"/>
        <v>1162</v>
      </c>
    </row>
    <row r="52" spans="1:10" ht="18" customHeight="1">
      <c r="A52" s="748"/>
      <c r="B52" s="402"/>
      <c r="C52" s="1275"/>
      <c r="D52" s="1276"/>
      <c r="E52" s="1275"/>
      <c r="F52" s="1277"/>
      <c r="G52" s="1278" t="s">
        <v>798</v>
      </c>
      <c r="H52" s="315">
        <f>교통휴양시설부!H160</f>
        <v>27762</v>
      </c>
      <c r="I52" s="315">
        <f>교통휴양시설부!I160</f>
        <v>38145</v>
      </c>
      <c r="J52" s="998">
        <f t="shared" si="0"/>
        <v>-10383</v>
      </c>
    </row>
    <row r="53" spans="1:10" ht="18" customHeight="1">
      <c r="A53" s="748"/>
      <c r="B53" s="402"/>
      <c r="C53" s="1275"/>
      <c r="D53" s="1276"/>
      <c r="E53" s="1275"/>
      <c r="F53" s="1277"/>
      <c r="G53" s="1278" t="s">
        <v>1041</v>
      </c>
      <c r="H53" s="315">
        <f>교통휴양시설부!H168</f>
        <v>500</v>
      </c>
      <c r="I53" s="315">
        <f>교통휴양시설부!I168</f>
        <v>500</v>
      </c>
      <c r="J53" s="1000" t="e">
        <f>#REF!</f>
        <v>#REF!</v>
      </c>
    </row>
    <row r="54" spans="1:10" ht="18" customHeight="1">
      <c r="A54" s="748"/>
      <c r="B54" s="402"/>
      <c r="C54" s="1275"/>
      <c r="D54" s="1276"/>
      <c r="E54" s="1275"/>
      <c r="F54" s="1277"/>
      <c r="G54" s="1278" t="s">
        <v>799</v>
      </c>
      <c r="H54" s="315">
        <f>교통휴양시설부!H170</f>
        <v>28290</v>
      </c>
      <c r="I54" s="315">
        <f>교통휴양시설부!I170</f>
        <v>26730</v>
      </c>
      <c r="J54" s="998">
        <f t="shared" si="0"/>
        <v>1560</v>
      </c>
    </row>
    <row r="55" spans="1:10" ht="18" customHeight="1">
      <c r="A55" s="748"/>
      <c r="B55" s="402"/>
      <c r="C55" s="1275"/>
      <c r="D55" s="1276"/>
      <c r="E55" s="1275"/>
      <c r="F55" s="1277"/>
      <c r="G55" s="1278" t="s">
        <v>800</v>
      </c>
      <c r="H55" s="315">
        <f>교통휴양시설부!H178</f>
        <v>14580</v>
      </c>
      <c r="I55" s="315">
        <f>교통휴양시설부!I178</f>
        <v>13320</v>
      </c>
      <c r="J55" s="998">
        <f t="shared" si="0"/>
        <v>1260</v>
      </c>
    </row>
    <row r="56" spans="1:10" ht="18" customHeight="1">
      <c r="A56" s="748"/>
      <c r="B56" s="402"/>
      <c r="C56" s="1275"/>
      <c r="D56" s="1276"/>
      <c r="E56" s="1275"/>
      <c r="F56" s="1277"/>
      <c r="G56" s="1278" t="s">
        <v>801</v>
      </c>
      <c r="H56" s="315">
        <f>교통휴양시설부!H185</f>
        <v>5040</v>
      </c>
      <c r="I56" s="315">
        <f>교통휴양시설부!I185</f>
        <v>2960</v>
      </c>
      <c r="J56" s="998">
        <f t="shared" si="0"/>
        <v>2080</v>
      </c>
    </row>
    <row r="57" spans="1:10" ht="18" customHeight="1">
      <c r="A57" s="748"/>
      <c r="B57" s="402"/>
      <c r="C57" s="1275"/>
      <c r="D57" s="1276"/>
      <c r="E57" s="1275"/>
      <c r="F57" s="1277"/>
      <c r="G57" s="1278" t="s">
        <v>802</v>
      </c>
      <c r="H57" s="315">
        <f>교통휴양시설부!H190</f>
        <v>122100</v>
      </c>
      <c r="I57" s="315">
        <f>교통휴양시설부!I190</f>
        <v>115536</v>
      </c>
      <c r="J57" s="998">
        <f t="shared" si="0"/>
        <v>6564</v>
      </c>
    </row>
    <row r="58" spans="1:10" ht="18" customHeight="1">
      <c r="A58" s="748"/>
      <c r="B58" s="402"/>
      <c r="C58" s="1275"/>
      <c r="D58" s="1276"/>
      <c r="E58" s="1275"/>
      <c r="F58" s="1277"/>
      <c r="G58" s="1278" t="s">
        <v>803</v>
      </c>
      <c r="H58" s="315">
        <f>교통휴양시설부!H195</f>
        <v>1680</v>
      </c>
      <c r="I58" s="315">
        <f>교통휴양시설부!I195</f>
        <v>1599</v>
      </c>
      <c r="J58" s="998">
        <f t="shared" si="0"/>
        <v>81</v>
      </c>
    </row>
    <row r="59" spans="1:10" s="988" customFormat="1" ht="18" customHeight="1">
      <c r="A59" s="1269"/>
      <c r="B59" s="1271"/>
      <c r="C59" s="1273"/>
      <c r="D59" s="1272"/>
      <c r="E59" s="1273"/>
      <c r="F59" s="1299" t="s">
        <v>576</v>
      </c>
      <c r="G59" s="1301"/>
      <c r="H59" s="987">
        <f>교통휴양시설부!H197</f>
        <v>2570</v>
      </c>
      <c r="I59" s="987">
        <f>교통휴양시설부!I197</f>
        <v>2570</v>
      </c>
      <c r="J59" s="995">
        <f t="shared" si="0"/>
        <v>0</v>
      </c>
    </row>
    <row r="60" spans="1:10" ht="18" customHeight="1">
      <c r="A60" s="748"/>
      <c r="B60" s="402"/>
      <c r="C60" s="1275"/>
      <c r="D60" s="1276"/>
      <c r="E60" s="1275"/>
      <c r="F60" s="1277"/>
      <c r="G60" s="1278" t="s">
        <v>804</v>
      </c>
      <c r="H60" s="315">
        <f>교통휴양시설부!H198</f>
        <v>2570</v>
      </c>
      <c r="I60" s="315">
        <f>교통휴양시설부!I198</f>
        <v>2570</v>
      </c>
      <c r="J60" s="1000">
        <f>H60-I60</f>
        <v>0</v>
      </c>
    </row>
    <row r="61" spans="1:10" s="988" customFormat="1" ht="18" customHeight="1">
      <c r="A61" s="1269"/>
      <c r="B61" s="1271"/>
      <c r="C61" s="1273"/>
      <c r="D61" s="1272"/>
      <c r="E61" s="1273"/>
      <c r="F61" s="1299" t="s">
        <v>577</v>
      </c>
      <c r="G61" s="1301"/>
      <c r="H61" s="987">
        <f>교통휴양시설부!H201</f>
        <v>3000</v>
      </c>
      <c r="I61" s="987">
        <f>교통휴양시설부!I201</f>
        <v>3000</v>
      </c>
      <c r="J61" s="995">
        <f t="shared" si="0"/>
        <v>0</v>
      </c>
    </row>
    <row r="62" spans="1:10" ht="18" customHeight="1">
      <c r="A62" s="748"/>
      <c r="B62" s="402"/>
      <c r="C62" s="1275"/>
      <c r="D62" s="1276"/>
      <c r="E62" s="1279"/>
      <c r="F62" s="1012"/>
      <c r="G62" s="1281" t="s">
        <v>806</v>
      </c>
      <c r="H62" s="315">
        <f>교통휴양시설부!H202</f>
        <v>3000</v>
      </c>
      <c r="I62" s="315">
        <f>교통휴양시설부!I202</f>
        <v>3000</v>
      </c>
      <c r="J62" s="1000">
        <f>H62-I62</f>
        <v>0</v>
      </c>
    </row>
    <row r="63" spans="1:10" s="988" customFormat="1" ht="18" customHeight="1">
      <c r="A63" s="1269"/>
      <c r="B63" s="1271"/>
      <c r="C63" s="1273"/>
      <c r="D63" s="1272"/>
      <c r="E63" s="1299" t="s">
        <v>582</v>
      </c>
      <c r="F63" s="1300"/>
      <c r="G63" s="1301"/>
      <c r="H63" s="987">
        <f>H64</f>
        <v>24456</v>
      </c>
      <c r="I63" s="987">
        <f>I64</f>
        <v>30672</v>
      </c>
      <c r="J63" s="995">
        <f t="shared" si="0"/>
        <v>-6216</v>
      </c>
    </row>
    <row r="64" spans="1:10" s="988" customFormat="1" ht="18" customHeight="1">
      <c r="A64" s="1269"/>
      <c r="B64" s="1271"/>
      <c r="C64" s="1273"/>
      <c r="D64" s="1273"/>
      <c r="E64" s="1283"/>
      <c r="F64" s="1299" t="s">
        <v>573</v>
      </c>
      <c r="G64" s="1301"/>
      <c r="H64" s="987">
        <f>교통휴양시설부!H206</f>
        <v>24456</v>
      </c>
      <c r="I64" s="987">
        <f>교통휴양시설부!I206</f>
        <v>30672</v>
      </c>
      <c r="J64" s="995">
        <f t="shared" si="0"/>
        <v>-6216</v>
      </c>
    </row>
    <row r="65" spans="1:10" ht="18" customHeight="1">
      <c r="A65" s="748"/>
      <c r="B65" s="402"/>
      <c r="C65" s="1276"/>
      <c r="D65" s="1279"/>
      <c r="E65" s="1279"/>
      <c r="F65" s="1012"/>
      <c r="G65" s="1281" t="s">
        <v>808</v>
      </c>
      <c r="H65" s="315">
        <f>교통휴양시설부!H207</f>
        <v>24456</v>
      </c>
      <c r="I65" s="315">
        <f>교통휴양시설부!I207</f>
        <v>30672</v>
      </c>
      <c r="J65" s="1000">
        <f>H65-I65</f>
        <v>-6216</v>
      </c>
    </row>
    <row r="66" spans="1:10" s="988" customFormat="1" ht="18" customHeight="1">
      <c r="A66" s="1269"/>
      <c r="B66" s="1271"/>
      <c r="C66" s="1272"/>
      <c r="D66" s="1299" t="s">
        <v>1626</v>
      </c>
      <c r="E66" s="1300"/>
      <c r="F66" s="1300"/>
      <c r="G66" s="1301"/>
      <c r="H66" s="986">
        <f>H67+H84</f>
        <v>185000</v>
      </c>
      <c r="I66" s="986">
        <f>I67+I84</f>
        <v>0</v>
      </c>
      <c r="J66" s="995">
        <f t="shared" ref="J66:J68" si="2">H66-I66</f>
        <v>185000</v>
      </c>
    </row>
    <row r="67" spans="1:10" s="988" customFormat="1" ht="18" customHeight="1">
      <c r="A67" s="1269"/>
      <c r="B67" s="1271"/>
      <c r="C67" s="1273"/>
      <c r="D67" s="1274"/>
      <c r="E67" s="1299" t="s">
        <v>1627</v>
      </c>
      <c r="F67" s="1300"/>
      <c r="G67" s="1301"/>
      <c r="H67" s="987">
        <f>H68+H70+H78+H80+H82</f>
        <v>169301</v>
      </c>
      <c r="I67" s="987">
        <f>I68+I70+I78+I80+I82</f>
        <v>0</v>
      </c>
      <c r="J67" s="995">
        <f t="shared" si="2"/>
        <v>169301</v>
      </c>
    </row>
    <row r="68" spans="1:10" s="988" customFormat="1" ht="18" customHeight="1">
      <c r="A68" s="1269"/>
      <c r="B68" s="1271"/>
      <c r="C68" s="1273"/>
      <c r="D68" s="1272"/>
      <c r="E68" s="1274"/>
      <c r="F68" s="1299" t="s">
        <v>572</v>
      </c>
      <c r="G68" s="1301"/>
      <c r="H68" s="987">
        <f>교통휴양시설부!H212</f>
        <v>60909</v>
      </c>
      <c r="I68" s="987">
        <f>교통휴양시설부!I212</f>
        <v>0</v>
      </c>
      <c r="J68" s="995">
        <f t="shared" si="2"/>
        <v>60909</v>
      </c>
    </row>
    <row r="69" spans="1:10" ht="18" customHeight="1">
      <c r="A69" s="748"/>
      <c r="B69" s="402"/>
      <c r="C69" s="1275"/>
      <c r="D69" s="1276"/>
      <c r="E69" s="1275"/>
      <c r="F69" s="1277"/>
      <c r="G69" s="1278" t="s">
        <v>797</v>
      </c>
      <c r="H69" s="315">
        <f>교통휴양시설부!H214</f>
        <v>60909</v>
      </c>
      <c r="I69" s="315">
        <f>교통휴양시설부!I214</f>
        <v>0</v>
      </c>
      <c r="J69" s="998">
        <f>H69-I69</f>
        <v>60909</v>
      </c>
    </row>
    <row r="70" spans="1:10" s="988" customFormat="1" ht="18" customHeight="1">
      <c r="A70" s="1269"/>
      <c r="B70" s="1271"/>
      <c r="C70" s="1273"/>
      <c r="D70" s="1272"/>
      <c r="E70" s="1273"/>
      <c r="F70" s="1299" t="s">
        <v>575</v>
      </c>
      <c r="G70" s="1301"/>
      <c r="H70" s="987">
        <f>교통휴양시설부!H226</f>
        <v>99512</v>
      </c>
      <c r="I70" s="987">
        <f>교통휴양시설부!I226</f>
        <v>0</v>
      </c>
      <c r="J70" s="995">
        <f t="shared" ref="J70:J71" si="3">H70-I70</f>
        <v>99512</v>
      </c>
    </row>
    <row r="71" spans="1:10" ht="18" customHeight="1">
      <c r="A71" s="748"/>
      <c r="B71" s="402"/>
      <c r="C71" s="1275"/>
      <c r="D71" s="1276"/>
      <c r="E71" s="1275"/>
      <c r="F71" s="1277"/>
      <c r="G71" s="1278" t="s">
        <v>798</v>
      </c>
      <c r="H71" s="315">
        <f>교통휴양시설부!H227</f>
        <v>14914</v>
      </c>
      <c r="I71" s="315">
        <f>교통휴양시설부!I227</f>
        <v>0</v>
      </c>
      <c r="J71" s="998">
        <f t="shared" si="3"/>
        <v>14914</v>
      </c>
    </row>
    <row r="72" spans="1:10" ht="18" customHeight="1">
      <c r="A72" s="748"/>
      <c r="B72" s="402"/>
      <c r="C72" s="1275"/>
      <c r="D72" s="1276"/>
      <c r="E72" s="1275"/>
      <c r="F72" s="1277"/>
      <c r="G72" s="1278" t="s">
        <v>813</v>
      </c>
      <c r="H72" s="315">
        <f>교통휴양시설부!H236</f>
        <v>500</v>
      </c>
      <c r="I72" s="315">
        <f>교통휴양시설부!I236</f>
        <v>0</v>
      </c>
      <c r="J72" s="1000">
        <f>[1]교통휴양시설부!J202</f>
        <v>0</v>
      </c>
    </row>
    <row r="73" spans="1:10" ht="18" customHeight="1">
      <c r="A73" s="748"/>
      <c r="B73" s="402"/>
      <c r="C73" s="1275"/>
      <c r="D73" s="1276"/>
      <c r="E73" s="1275"/>
      <c r="F73" s="1277"/>
      <c r="G73" s="1278" t="s">
        <v>799</v>
      </c>
      <c r="H73" s="315">
        <f>교통휴양시설부!H238</f>
        <v>17930</v>
      </c>
      <c r="I73" s="315">
        <f>교통휴양시설부!I238</f>
        <v>0</v>
      </c>
      <c r="J73" s="998">
        <f t="shared" ref="J73:J78" si="4">H73-I73</f>
        <v>17930</v>
      </c>
    </row>
    <row r="74" spans="1:10" ht="18" customHeight="1">
      <c r="A74" s="748"/>
      <c r="B74" s="402"/>
      <c r="C74" s="1275"/>
      <c r="D74" s="1276"/>
      <c r="E74" s="1275"/>
      <c r="F74" s="1277"/>
      <c r="G74" s="1278" t="s">
        <v>800</v>
      </c>
      <c r="H74" s="315">
        <f>교통휴양시설부!H246</f>
        <v>11760</v>
      </c>
      <c r="I74" s="315">
        <f>교통휴양시설부!I246</f>
        <v>0</v>
      </c>
      <c r="J74" s="998">
        <f t="shared" si="4"/>
        <v>11760</v>
      </c>
    </row>
    <row r="75" spans="1:10" ht="18" customHeight="1">
      <c r="A75" s="748"/>
      <c r="B75" s="402"/>
      <c r="C75" s="1275"/>
      <c r="D75" s="1276"/>
      <c r="E75" s="1275"/>
      <c r="F75" s="1277"/>
      <c r="G75" s="1278" t="s">
        <v>801</v>
      </c>
      <c r="H75" s="315">
        <f>교통휴양시설부!H250</f>
        <v>6540</v>
      </c>
      <c r="I75" s="315">
        <f>교통휴양시설부!I250</f>
        <v>0</v>
      </c>
      <c r="J75" s="998">
        <f t="shared" si="4"/>
        <v>6540</v>
      </c>
    </row>
    <row r="76" spans="1:10" ht="18" customHeight="1">
      <c r="A76" s="748"/>
      <c r="B76" s="402"/>
      <c r="C76" s="1275"/>
      <c r="D76" s="1276"/>
      <c r="E76" s="1275"/>
      <c r="F76" s="1277"/>
      <c r="G76" s="1278" t="s">
        <v>802</v>
      </c>
      <c r="H76" s="315">
        <f>교통휴양시설부!H255</f>
        <v>46428</v>
      </c>
      <c r="I76" s="315">
        <f>교통휴양시설부!I255</f>
        <v>0</v>
      </c>
      <c r="J76" s="998">
        <f t="shared" si="4"/>
        <v>46428</v>
      </c>
    </row>
    <row r="77" spans="1:10" ht="18" customHeight="1">
      <c r="A77" s="748"/>
      <c r="B77" s="402"/>
      <c r="C77" s="1275"/>
      <c r="D77" s="1276"/>
      <c r="E77" s="1275"/>
      <c r="F77" s="1277"/>
      <c r="G77" s="1278" t="s">
        <v>803</v>
      </c>
      <c r="H77" s="315">
        <f>교통휴양시설부!H261</f>
        <v>1440</v>
      </c>
      <c r="I77" s="315">
        <f>교통휴양시설부!I261</f>
        <v>0</v>
      </c>
      <c r="J77" s="998">
        <f t="shared" si="4"/>
        <v>1440</v>
      </c>
    </row>
    <row r="78" spans="1:10" s="988" customFormat="1" ht="18" customHeight="1">
      <c r="A78" s="1269"/>
      <c r="B78" s="1271"/>
      <c r="C78" s="1273"/>
      <c r="D78" s="1272"/>
      <c r="E78" s="1273"/>
      <c r="F78" s="1299" t="s">
        <v>576</v>
      </c>
      <c r="G78" s="1301"/>
      <c r="H78" s="987">
        <f>교통휴양시설부!H263</f>
        <v>6480</v>
      </c>
      <c r="I78" s="987">
        <f>교통휴양시설부!I263</f>
        <v>0</v>
      </c>
      <c r="J78" s="995">
        <f t="shared" si="4"/>
        <v>6480</v>
      </c>
    </row>
    <row r="79" spans="1:10" ht="18" customHeight="1">
      <c r="A79" s="748"/>
      <c r="B79" s="402"/>
      <c r="C79" s="1275"/>
      <c r="D79" s="1276"/>
      <c r="E79" s="1275"/>
      <c r="F79" s="1277"/>
      <c r="G79" s="1278" t="s">
        <v>804</v>
      </c>
      <c r="H79" s="315">
        <f>교통휴양시설부!H264</f>
        <v>6480</v>
      </c>
      <c r="I79" s="315">
        <f>교통휴양시설부!I264</f>
        <v>0</v>
      </c>
      <c r="J79" s="1000">
        <f>H79-I79</f>
        <v>6480</v>
      </c>
    </row>
    <row r="80" spans="1:10" s="988" customFormat="1" ht="18" customHeight="1">
      <c r="A80" s="1269"/>
      <c r="B80" s="1271"/>
      <c r="C80" s="1273"/>
      <c r="D80" s="1272"/>
      <c r="E80" s="1273"/>
      <c r="F80" s="1299" t="s">
        <v>598</v>
      </c>
      <c r="G80" s="1301"/>
      <c r="H80" s="987">
        <f>교통휴양시설부!H267</f>
        <v>0</v>
      </c>
      <c r="I80" s="987">
        <f>교통휴양시설부!I267</f>
        <v>0</v>
      </c>
      <c r="J80" s="995">
        <f t="shared" ref="J80" si="5">H80-I80</f>
        <v>0</v>
      </c>
    </row>
    <row r="81" spans="1:10" ht="18" customHeight="1">
      <c r="A81" s="748"/>
      <c r="B81" s="402"/>
      <c r="C81" s="1275"/>
      <c r="D81" s="1276"/>
      <c r="E81" s="1275"/>
      <c r="F81" s="1819"/>
      <c r="G81" s="1281" t="s">
        <v>805</v>
      </c>
      <c r="H81" s="315">
        <f>교통휴양시설부!H268</f>
        <v>0</v>
      </c>
      <c r="I81" s="315">
        <f>교통휴양시설부!I268</f>
        <v>0</v>
      </c>
      <c r="J81" s="1000">
        <f>H81-I81</f>
        <v>0</v>
      </c>
    </row>
    <row r="82" spans="1:10" s="988" customFormat="1" ht="18" customHeight="1">
      <c r="A82" s="1269"/>
      <c r="B82" s="1271"/>
      <c r="C82" s="1273"/>
      <c r="D82" s="1272"/>
      <c r="E82" s="1273"/>
      <c r="F82" s="1299" t="s">
        <v>577</v>
      </c>
      <c r="G82" s="1301"/>
      <c r="H82" s="987">
        <f>교통휴양시설부!H270</f>
        <v>2400</v>
      </c>
      <c r="I82" s="987">
        <f>교통휴양시설부!I270</f>
        <v>0</v>
      </c>
      <c r="J82" s="995">
        <f t="shared" ref="J82" si="6">H82-I82</f>
        <v>2400</v>
      </c>
    </row>
    <row r="83" spans="1:10" ht="18" customHeight="1">
      <c r="A83" s="748"/>
      <c r="B83" s="402"/>
      <c r="C83" s="1275"/>
      <c r="D83" s="1276"/>
      <c r="E83" s="1279"/>
      <c r="F83" s="1819"/>
      <c r="G83" s="1281" t="s">
        <v>806</v>
      </c>
      <c r="H83" s="315">
        <f>교통휴양시설부!H271</f>
        <v>2400</v>
      </c>
      <c r="I83" s="315">
        <f>교통휴양시설부!I271</f>
        <v>0</v>
      </c>
      <c r="J83" s="1000">
        <f>H83-I83</f>
        <v>2400</v>
      </c>
    </row>
    <row r="84" spans="1:10" s="988" customFormat="1" ht="18" customHeight="1">
      <c r="A84" s="1269"/>
      <c r="B84" s="1271"/>
      <c r="C84" s="1273"/>
      <c r="D84" s="1272"/>
      <c r="E84" s="1299" t="s">
        <v>2270</v>
      </c>
      <c r="F84" s="1300"/>
      <c r="G84" s="1301"/>
      <c r="H84" s="987">
        <f>H85</f>
        <v>15699</v>
      </c>
      <c r="I84" s="987">
        <f>I85</f>
        <v>0</v>
      </c>
      <c r="J84" s="995">
        <f t="shared" ref="J84:J85" si="7">H84-I84</f>
        <v>15699</v>
      </c>
    </row>
    <row r="85" spans="1:10" s="988" customFormat="1" ht="18" customHeight="1">
      <c r="A85" s="1269"/>
      <c r="B85" s="1271"/>
      <c r="C85" s="1273"/>
      <c r="D85" s="1273"/>
      <c r="E85" s="1283"/>
      <c r="F85" s="1299" t="s">
        <v>573</v>
      </c>
      <c r="G85" s="1301"/>
      <c r="H85" s="987">
        <f>교통휴양시설부!H275</f>
        <v>15699</v>
      </c>
      <c r="I85" s="987">
        <f>교통휴양시설부!I275</f>
        <v>0</v>
      </c>
      <c r="J85" s="995">
        <f t="shared" si="7"/>
        <v>15699</v>
      </c>
    </row>
    <row r="86" spans="1:10" ht="18" customHeight="1">
      <c r="A86" s="748"/>
      <c r="B86" s="402"/>
      <c r="C86" s="1276"/>
      <c r="D86" s="1279"/>
      <c r="E86" s="1279"/>
      <c r="F86" s="1819"/>
      <c r="G86" s="1281" t="s">
        <v>808</v>
      </c>
      <c r="H86" s="315">
        <f>교통휴양시설부!H276</f>
        <v>15699</v>
      </c>
      <c r="I86" s="315">
        <f>교통휴양시설부!I276</f>
        <v>0</v>
      </c>
      <c r="J86" s="1000">
        <f>H86-I86</f>
        <v>15699</v>
      </c>
    </row>
    <row r="87" spans="1:10" s="988" customFormat="1" ht="18" customHeight="1">
      <c r="A87" s="1269"/>
      <c r="B87" s="1271"/>
      <c r="C87" s="1295" t="s">
        <v>619</v>
      </c>
      <c r="D87" s="1296"/>
      <c r="E87" s="1296"/>
      <c r="F87" s="1296"/>
      <c r="G87" s="1297"/>
      <c r="H87" s="991">
        <f>H88+H108+H124</f>
        <v>1977742</v>
      </c>
      <c r="I87" s="991">
        <f>I88+I108+I124</f>
        <v>1999638</v>
      </c>
      <c r="J87" s="999">
        <f t="shared" si="0"/>
        <v>-21896</v>
      </c>
    </row>
    <row r="88" spans="1:10" s="988" customFormat="1" ht="18" customHeight="1">
      <c r="A88" s="1269"/>
      <c r="B88" s="1271"/>
      <c r="C88" s="1272"/>
      <c r="D88" s="1299" t="s">
        <v>907</v>
      </c>
      <c r="E88" s="1300"/>
      <c r="F88" s="1300"/>
      <c r="G88" s="1301"/>
      <c r="H88" s="986">
        <f>H89+H102</f>
        <v>1004886</v>
      </c>
      <c r="I88" s="986">
        <f>I89+I102</f>
        <v>1029364</v>
      </c>
      <c r="J88" s="995">
        <f t="shared" si="0"/>
        <v>-24478</v>
      </c>
    </row>
    <row r="89" spans="1:10" s="988" customFormat="1" ht="18" customHeight="1">
      <c r="A89" s="1269"/>
      <c r="B89" s="1271"/>
      <c r="C89" s="1273"/>
      <c r="D89" s="1274"/>
      <c r="E89" s="1299" t="s">
        <v>583</v>
      </c>
      <c r="F89" s="1300"/>
      <c r="G89" s="1301"/>
      <c r="H89" s="987">
        <f>H90+H92+H98+H100</f>
        <v>950032</v>
      </c>
      <c r="I89" s="987">
        <f>I90+I92+I98+I100</f>
        <v>958110</v>
      </c>
      <c r="J89" s="995">
        <f t="shared" si="0"/>
        <v>-8078</v>
      </c>
    </row>
    <row r="90" spans="1:10" s="988" customFormat="1" ht="18" customHeight="1">
      <c r="A90" s="1269"/>
      <c r="B90" s="1271"/>
      <c r="C90" s="1273"/>
      <c r="D90" s="1272"/>
      <c r="E90" s="1274"/>
      <c r="F90" s="1299" t="s">
        <v>572</v>
      </c>
      <c r="G90" s="1301"/>
      <c r="H90" s="987">
        <f>체육시설부!H10</f>
        <v>147745</v>
      </c>
      <c r="I90" s="987">
        <f>체육시설부!I10</f>
        <v>171587</v>
      </c>
      <c r="J90" s="995">
        <f t="shared" si="0"/>
        <v>-23842</v>
      </c>
    </row>
    <row r="91" spans="1:10" ht="18" customHeight="1">
      <c r="A91" s="748"/>
      <c r="B91" s="402"/>
      <c r="C91" s="1275"/>
      <c r="D91" s="1276"/>
      <c r="E91" s="1275"/>
      <c r="F91" s="1277"/>
      <c r="G91" s="1278" t="s">
        <v>797</v>
      </c>
      <c r="H91" s="315">
        <f>체육시설부!H11</f>
        <v>147745</v>
      </c>
      <c r="I91" s="315">
        <f>체육시설부!I11</f>
        <v>171587</v>
      </c>
      <c r="J91" s="1000">
        <f>H91-I91</f>
        <v>-23842</v>
      </c>
    </row>
    <row r="92" spans="1:10" s="988" customFormat="1" ht="18" customHeight="1">
      <c r="A92" s="1269"/>
      <c r="B92" s="1271"/>
      <c r="C92" s="1273"/>
      <c r="D92" s="1272"/>
      <c r="E92" s="1273"/>
      <c r="F92" s="1299" t="s">
        <v>575</v>
      </c>
      <c r="G92" s="1301"/>
      <c r="H92" s="987">
        <f>체육시설부!H21</f>
        <v>767007</v>
      </c>
      <c r="I92" s="987">
        <f>체육시설부!I21</f>
        <v>751243</v>
      </c>
      <c r="J92" s="995">
        <f t="shared" si="0"/>
        <v>15764</v>
      </c>
    </row>
    <row r="93" spans="1:10" ht="18" customHeight="1">
      <c r="A93" s="748"/>
      <c r="B93" s="402"/>
      <c r="C93" s="1275"/>
      <c r="D93" s="1276"/>
      <c r="E93" s="1275"/>
      <c r="F93" s="1277"/>
      <c r="G93" s="1278" t="s">
        <v>798</v>
      </c>
      <c r="H93" s="315">
        <f>체육시설부!H22</f>
        <v>21658</v>
      </c>
      <c r="I93" s="315">
        <f>체육시설부!I22</f>
        <v>23800</v>
      </c>
      <c r="J93" s="1000">
        <f t="shared" si="0"/>
        <v>-2142</v>
      </c>
    </row>
    <row r="94" spans="1:10" ht="18" customHeight="1">
      <c r="A94" s="748"/>
      <c r="B94" s="402"/>
      <c r="C94" s="1275"/>
      <c r="D94" s="1276"/>
      <c r="E94" s="1275"/>
      <c r="F94" s="1277"/>
      <c r="G94" s="1278" t="s">
        <v>799</v>
      </c>
      <c r="H94" s="315">
        <f>체육시설부!H39</f>
        <v>123460</v>
      </c>
      <c r="I94" s="315">
        <f>체육시설부!I39</f>
        <v>122198</v>
      </c>
      <c r="J94" s="1000">
        <f t="shared" si="0"/>
        <v>1262</v>
      </c>
    </row>
    <row r="95" spans="1:10" ht="18" customHeight="1">
      <c r="A95" s="748"/>
      <c r="B95" s="402"/>
      <c r="C95" s="1275"/>
      <c r="D95" s="1276"/>
      <c r="E95" s="1275"/>
      <c r="F95" s="1277"/>
      <c r="G95" s="1278" t="s">
        <v>800</v>
      </c>
      <c r="H95" s="315">
        <f>체육시설부!H63</f>
        <v>14808</v>
      </c>
      <c r="I95" s="315">
        <f>체육시설부!I63</f>
        <v>8100</v>
      </c>
      <c r="J95" s="1000">
        <f t="shared" si="0"/>
        <v>6708</v>
      </c>
    </row>
    <row r="96" spans="1:10" ht="18" customHeight="1">
      <c r="A96" s="748"/>
      <c r="B96" s="402"/>
      <c r="C96" s="1275"/>
      <c r="D96" s="1276"/>
      <c r="E96" s="1275"/>
      <c r="F96" s="1277"/>
      <c r="G96" s="1278" t="s">
        <v>801</v>
      </c>
      <c r="H96" s="315">
        <f>체육시설부!H69</f>
        <v>33806</v>
      </c>
      <c r="I96" s="315">
        <f>체육시설부!I69</f>
        <v>33470</v>
      </c>
      <c r="J96" s="1000">
        <f t="shared" si="0"/>
        <v>336</v>
      </c>
    </row>
    <row r="97" spans="1:10" ht="18" customHeight="1">
      <c r="A97" s="748"/>
      <c r="B97" s="402"/>
      <c r="C97" s="1275"/>
      <c r="D97" s="1276"/>
      <c r="E97" s="1275"/>
      <c r="F97" s="1277"/>
      <c r="G97" s="1278" t="s">
        <v>802</v>
      </c>
      <c r="H97" s="315">
        <f>체육시설부!H79</f>
        <v>573275</v>
      </c>
      <c r="I97" s="315">
        <f>체육시설부!I79</f>
        <v>563675</v>
      </c>
      <c r="J97" s="1000">
        <f t="shared" si="0"/>
        <v>9600</v>
      </c>
    </row>
    <row r="98" spans="1:10" s="988" customFormat="1" ht="18" customHeight="1">
      <c r="A98" s="1269"/>
      <c r="B98" s="1271"/>
      <c r="C98" s="1273"/>
      <c r="D98" s="1272"/>
      <c r="E98" s="1273"/>
      <c r="F98" s="1299" t="s">
        <v>576</v>
      </c>
      <c r="G98" s="1301"/>
      <c r="H98" s="987">
        <f>체육시설부!H90</f>
        <v>23580</v>
      </c>
      <c r="I98" s="987">
        <f>체육시설부!I90</f>
        <v>23580</v>
      </c>
      <c r="J98" s="995">
        <f t="shared" si="0"/>
        <v>0</v>
      </c>
    </row>
    <row r="99" spans="1:10" ht="18" customHeight="1">
      <c r="A99" s="748"/>
      <c r="B99" s="402"/>
      <c r="C99" s="1275"/>
      <c r="D99" s="1276"/>
      <c r="E99" s="1275"/>
      <c r="F99" s="1277"/>
      <c r="G99" s="1278" t="s">
        <v>804</v>
      </c>
      <c r="H99" s="315">
        <f>체육시설부!H91</f>
        <v>23580</v>
      </c>
      <c r="I99" s="315">
        <f>체육시설부!I91</f>
        <v>23580</v>
      </c>
      <c r="J99" s="1000">
        <f>H99-I99</f>
        <v>0</v>
      </c>
    </row>
    <row r="100" spans="1:10" s="988" customFormat="1" ht="18" customHeight="1">
      <c r="A100" s="1269"/>
      <c r="B100" s="1271"/>
      <c r="C100" s="1273"/>
      <c r="D100" s="1272"/>
      <c r="E100" s="1273"/>
      <c r="F100" s="1299" t="s">
        <v>577</v>
      </c>
      <c r="G100" s="1301"/>
      <c r="H100" s="987">
        <f>체육시설부!H94</f>
        <v>11700</v>
      </c>
      <c r="I100" s="987">
        <f>체육시설부!I94</f>
        <v>11700</v>
      </c>
      <c r="J100" s="995">
        <f t="shared" si="0"/>
        <v>0</v>
      </c>
    </row>
    <row r="101" spans="1:10" ht="18" customHeight="1">
      <c r="A101" s="748"/>
      <c r="B101" s="402"/>
      <c r="C101" s="1275"/>
      <c r="D101" s="1276"/>
      <c r="E101" s="1275"/>
      <c r="F101" s="1277"/>
      <c r="G101" s="1278" t="s">
        <v>806</v>
      </c>
      <c r="H101" s="315">
        <f>체육시설부!H95</f>
        <v>11700</v>
      </c>
      <c r="I101" s="315">
        <f>체육시설부!I95</f>
        <v>11700</v>
      </c>
      <c r="J101" s="1000">
        <f>H101-I101</f>
        <v>0</v>
      </c>
    </row>
    <row r="102" spans="1:10" s="988" customFormat="1" ht="18" customHeight="1">
      <c r="A102" s="1269"/>
      <c r="B102" s="1271"/>
      <c r="C102" s="1273"/>
      <c r="D102" s="1272"/>
      <c r="E102" s="1299" t="s">
        <v>584</v>
      </c>
      <c r="F102" s="1300"/>
      <c r="G102" s="1301"/>
      <c r="H102" s="987">
        <f>H103+H106</f>
        <v>54854</v>
      </c>
      <c r="I102" s="987">
        <f>I103+I106</f>
        <v>71254</v>
      </c>
      <c r="J102" s="995">
        <f t="shared" si="0"/>
        <v>-16400</v>
      </c>
    </row>
    <row r="103" spans="1:10" s="988" customFormat="1" ht="18" customHeight="1">
      <c r="A103" s="1269"/>
      <c r="B103" s="1271"/>
      <c r="C103" s="1273"/>
      <c r="D103" s="1272"/>
      <c r="E103" s="1274"/>
      <c r="F103" s="1299" t="s">
        <v>585</v>
      </c>
      <c r="G103" s="1301"/>
      <c r="H103" s="987">
        <f>체육시설부!H102</f>
        <v>10354</v>
      </c>
      <c r="I103" s="987">
        <f>체육시설부!I102</f>
        <v>10354</v>
      </c>
      <c r="J103" s="995">
        <f t="shared" si="0"/>
        <v>0</v>
      </c>
    </row>
    <row r="104" spans="1:10" ht="18" customHeight="1">
      <c r="A104" s="748"/>
      <c r="B104" s="402"/>
      <c r="C104" s="1275"/>
      <c r="D104" s="1276"/>
      <c r="E104" s="1275"/>
      <c r="F104" s="1277"/>
      <c r="G104" s="1278" t="s">
        <v>809</v>
      </c>
      <c r="H104" s="315">
        <f>체육시설부!H103</f>
        <v>1000</v>
      </c>
      <c r="I104" s="315">
        <f>체육시설부!I103</f>
        <v>1000</v>
      </c>
      <c r="J104" s="1000">
        <f t="shared" si="0"/>
        <v>0</v>
      </c>
    </row>
    <row r="105" spans="1:10" ht="18" customHeight="1">
      <c r="A105" s="748"/>
      <c r="B105" s="402"/>
      <c r="C105" s="1275"/>
      <c r="D105" s="1276"/>
      <c r="E105" s="1275"/>
      <c r="F105" s="1277"/>
      <c r="G105" s="1278" t="s">
        <v>810</v>
      </c>
      <c r="H105" s="315">
        <f>체육시설부!H105</f>
        <v>9354</v>
      </c>
      <c r="I105" s="315">
        <f>체육시설부!I105</f>
        <v>9354</v>
      </c>
      <c r="J105" s="1000">
        <f t="shared" si="0"/>
        <v>0</v>
      </c>
    </row>
    <row r="106" spans="1:10" s="988" customFormat="1" ht="18" customHeight="1">
      <c r="A106" s="1269"/>
      <c r="B106" s="1271"/>
      <c r="C106" s="1273"/>
      <c r="D106" s="1273"/>
      <c r="E106" s="1273"/>
      <c r="F106" s="1299" t="s">
        <v>573</v>
      </c>
      <c r="G106" s="1301"/>
      <c r="H106" s="987">
        <f>체육시설부!H111</f>
        <v>44500</v>
      </c>
      <c r="I106" s="987">
        <f>체육시설부!I111</f>
        <v>60900</v>
      </c>
      <c r="J106" s="995">
        <f t="shared" si="0"/>
        <v>-16400</v>
      </c>
    </row>
    <row r="107" spans="1:10" ht="18" customHeight="1">
      <c r="A107" s="748"/>
      <c r="B107" s="402"/>
      <c r="C107" s="1275"/>
      <c r="D107" s="1275"/>
      <c r="E107" s="1279"/>
      <c r="F107" s="1012"/>
      <c r="G107" s="1281" t="s">
        <v>808</v>
      </c>
      <c r="H107" s="315">
        <f>체육시설부!H112</f>
        <v>44500</v>
      </c>
      <c r="I107" s="315">
        <f>체육시설부!I112</f>
        <v>60900</v>
      </c>
      <c r="J107" s="1000">
        <f>H107-I107</f>
        <v>-16400</v>
      </c>
    </row>
    <row r="108" spans="1:10" s="988" customFormat="1" ht="18" customHeight="1">
      <c r="A108" s="1269"/>
      <c r="B108" s="1271"/>
      <c r="C108" s="1272"/>
      <c r="D108" s="1299" t="s">
        <v>908</v>
      </c>
      <c r="E108" s="1300"/>
      <c r="F108" s="1300"/>
      <c r="G108" s="1301"/>
      <c r="H108" s="986">
        <f>H109+H118</f>
        <v>747817</v>
      </c>
      <c r="I108" s="986">
        <f>I109+I118</f>
        <v>745283</v>
      </c>
      <c r="J108" s="995">
        <f t="shared" ref="J108" si="8">H108-I108</f>
        <v>2534</v>
      </c>
    </row>
    <row r="109" spans="1:10" s="988" customFormat="1" ht="18" customHeight="1">
      <c r="A109" s="1269"/>
      <c r="B109" s="1271"/>
      <c r="C109" s="1273"/>
      <c r="D109" s="1273"/>
      <c r="E109" s="1299" t="s">
        <v>586</v>
      </c>
      <c r="F109" s="1300"/>
      <c r="G109" s="1301"/>
      <c r="H109" s="987">
        <f>H110+H112</f>
        <v>677961</v>
      </c>
      <c r="I109" s="987">
        <f>I110+I112</f>
        <v>673743</v>
      </c>
      <c r="J109" s="995">
        <f t="shared" si="0"/>
        <v>4218</v>
      </c>
    </row>
    <row r="110" spans="1:10" s="988" customFormat="1" ht="18" customHeight="1">
      <c r="A110" s="1269"/>
      <c r="B110" s="1271"/>
      <c r="C110" s="1273"/>
      <c r="D110" s="1272"/>
      <c r="E110" s="1274"/>
      <c r="F110" s="1299" t="s">
        <v>572</v>
      </c>
      <c r="G110" s="1301"/>
      <c r="H110" s="987">
        <f>체육시설부!H137</f>
        <v>126328</v>
      </c>
      <c r="I110" s="987">
        <f>체육시설부!I137</f>
        <v>156863</v>
      </c>
      <c r="J110" s="995">
        <f t="shared" si="0"/>
        <v>-30535</v>
      </c>
    </row>
    <row r="111" spans="1:10" ht="18" customHeight="1">
      <c r="A111" s="748"/>
      <c r="B111" s="402"/>
      <c r="C111" s="1275"/>
      <c r="D111" s="1276"/>
      <c r="E111" s="1275"/>
      <c r="F111" s="1277"/>
      <c r="G111" s="1278" t="s">
        <v>797</v>
      </c>
      <c r="H111" s="315">
        <f>체육시설부!H139</f>
        <v>126328</v>
      </c>
      <c r="I111" s="315">
        <f>체육시설부!I139</f>
        <v>156863</v>
      </c>
      <c r="J111" s="1000">
        <f>H111-I111</f>
        <v>-30535</v>
      </c>
    </row>
    <row r="112" spans="1:10" s="988" customFormat="1" ht="18" customHeight="1">
      <c r="A112" s="1269"/>
      <c r="B112" s="1271"/>
      <c r="C112" s="1273"/>
      <c r="D112" s="1272"/>
      <c r="E112" s="1273"/>
      <c r="F112" s="1299" t="s">
        <v>575</v>
      </c>
      <c r="G112" s="1301"/>
      <c r="H112" s="987">
        <f>체육시설부!H150</f>
        <v>551633</v>
      </c>
      <c r="I112" s="987">
        <f>체육시설부!I150</f>
        <v>516880</v>
      </c>
      <c r="J112" s="995">
        <f t="shared" si="0"/>
        <v>34753</v>
      </c>
    </row>
    <row r="113" spans="1:10" ht="18" customHeight="1">
      <c r="A113" s="748"/>
      <c r="B113" s="402"/>
      <c r="C113" s="1275"/>
      <c r="D113" s="1276"/>
      <c r="E113" s="1276"/>
      <c r="F113" s="1277"/>
      <c r="G113" s="1281" t="s">
        <v>798</v>
      </c>
      <c r="H113" s="315">
        <f>체육시설부!H151</f>
        <v>23560</v>
      </c>
      <c r="I113" s="315">
        <f>체육시설부!I151</f>
        <v>25660</v>
      </c>
      <c r="J113" s="1000">
        <f t="shared" si="0"/>
        <v>-2100</v>
      </c>
    </row>
    <row r="114" spans="1:10" ht="18" customHeight="1">
      <c r="A114" s="748"/>
      <c r="B114" s="402"/>
      <c r="C114" s="1275"/>
      <c r="D114" s="1276"/>
      <c r="E114" s="1276"/>
      <c r="F114" s="1277"/>
      <c r="G114" s="1281" t="s">
        <v>799</v>
      </c>
      <c r="H114" s="315">
        <f>체육시설부!H166</f>
        <v>55360</v>
      </c>
      <c r="I114" s="315">
        <f>체육시설부!I166</f>
        <v>63933</v>
      </c>
      <c r="J114" s="1000">
        <f t="shared" si="0"/>
        <v>-8573</v>
      </c>
    </row>
    <row r="115" spans="1:10" ht="18" customHeight="1">
      <c r="A115" s="748"/>
      <c r="B115" s="402"/>
      <c r="C115" s="1275"/>
      <c r="D115" s="1276"/>
      <c r="E115" s="1276"/>
      <c r="F115" s="1277"/>
      <c r="G115" s="1281" t="s">
        <v>800</v>
      </c>
      <c r="H115" s="315">
        <f>체육시설부!H181</f>
        <v>14904</v>
      </c>
      <c r="I115" s="315">
        <f>체육시설부!I181</f>
        <v>5112</v>
      </c>
      <c r="J115" s="1000">
        <f t="shared" si="0"/>
        <v>9792</v>
      </c>
    </row>
    <row r="116" spans="1:10" ht="18" customHeight="1">
      <c r="A116" s="748"/>
      <c r="B116" s="402"/>
      <c r="C116" s="1275"/>
      <c r="D116" s="1276"/>
      <c r="E116" s="1276"/>
      <c r="F116" s="1277"/>
      <c r="G116" s="1281" t="s">
        <v>801</v>
      </c>
      <c r="H116" s="315">
        <f>체육시설부!H187</f>
        <v>6860</v>
      </c>
      <c r="I116" s="315">
        <f>체육시설부!I187</f>
        <v>7640</v>
      </c>
      <c r="J116" s="1000">
        <f t="shared" si="0"/>
        <v>-780</v>
      </c>
    </row>
    <row r="117" spans="1:10" ht="18" customHeight="1">
      <c r="A117" s="748"/>
      <c r="B117" s="402"/>
      <c r="C117" s="1275"/>
      <c r="D117" s="1276"/>
      <c r="E117" s="1276"/>
      <c r="F117" s="1277"/>
      <c r="G117" s="1281" t="s">
        <v>802</v>
      </c>
      <c r="H117" s="315">
        <f>체육시설부!H191</f>
        <v>450949</v>
      </c>
      <c r="I117" s="315">
        <f>체육시설부!I191</f>
        <v>414535</v>
      </c>
      <c r="J117" s="1000">
        <f t="shared" si="0"/>
        <v>36414</v>
      </c>
    </row>
    <row r="118" spans="1:10" s="988" customFormat="1" ht="18" customHeight="1">
      <c r="A118" s="1269"/>
      <c r="B118" s="1271"/>
      <c r="C118" s="1273"/>
      <c r="D118" s="1272"/>
      <c r="E118" s="1299" t="s">
        <v>587</v>
      </c>
      <c r="F118" s="1300"/>
      <c r="G118" s="1301"/>
      <c r="H118" s="987">
        <f>H119+H122</f>
        <v>69856</v>
      </c>
      <c r="I118" s="987">
        <f>I119+I122</f>
        <v>71540</v>
      </c>
      <c r="J118" s="995">
        <f t="shared" si="0"/>
        <v>-1684</v>
      </c>
    </row>
    <row r="119" spans="1:10" s="988" customFormat="1" ht="18" customHeight="1">
      <c r="A119" s="1269"/>
      <c r="B119" s="1271"/>
      <c r="C119" s="1273"/>
      <c r="D119" s="1272"/>
      <c r="E119" s="1274"/>
      <c r="F119" s="1299" t="s">
        <v>585</v>
      </c>
      <c r="G119" s="1301"/>
      <c r="H119" s="987">
        <f>체육시설부!H203</f>
        <v>5656</v>
      </c>
      <c r="I119" s="987">
        <f>체육시설부!I203</f>
        <v>7040</v>
      </c>
      <c r="J119" s="995">
        <f t="shared" si="0"/>
        <v>-1384</v>
      </c>
    </row>
    <row r="120" spans="1:10" ht="18" customHeight="1">
      <c r="A120" s="748"/>
      <c r="B120" s="402"/>
      <c r="C120" s="1275"/>
      <c r="D120" s="1276"/>
      <c r="E120" s="1275"/>
      <c r="F120" s="1277"/>
      <c r="G120" s="1278" t="s">
        <v>809</v>
      </c>
      <c r="H120" s="315">
        <f>체육시설부!H204</f>
        <v>500</v>
      </c>
      <c r="I120" s="315">
        <f>체육시설부!I204</f>
        <v>800</v>
      </c>
      <c r="J120" s="1000">
        <f t="shared" si="0"/>
        <v>-300</v>
      </c>
    </row>
    <row r="121" spans="1:10" ht="18" customHeight="1">
      <c r="A121" s="748"/>
      <c r="B121" s="402"/>
      <c r="C121" s="1275"/>
      <c r="D121" s="1276"/>
      <c r="E121" s="1275"/>
      <c r="F121" s="1277"/>
      <c r="G121" s="1278" t="s">
        <v>810</v>
      </c>
      <c r="H121" s="315">
        <f>체육시설부!H206</f>
        <v>5156</v>
      </c>
      <c r="I121" s="315">
        <f>체육시설부!I206</f>
        <v>6240</v>
      </c>
      <c r="J121" s="1000">
        <f t="shared" si="0"/>
        <v>-1084</v>
      </c>
    </row>
    <row r="122" spans="1:10" s="988" customFormat="1" ht="18" customHeight="1">
      <c r="A122" s="1269"/>
      <c r="B122" s="1271"/>
      <c r="C122" s="1273"/>
      <c r="D122" s="1273"/>
      <c r="E122" s="1273"/>
      <c r="F122" s="1299" t="s">
        <v>573</v>
      </c>
      <c r="G122" s="1301"/>
      <c r="H122" s="987">
        <f>체육시설부!H210</f>
        <v>64200</v>
      </c>
      <c r="I122" s="987">
        <f>체육시설부!I210</f>
        <v>64500</v>
      </c>
      <c r="J122" s="995">
        <f t="shared" si="0"/>
        <v>-300</v>
      </c>
    </row>
    <row r="123" spans="1:10" ht="18" customHeight="1">
      <c r="A123" s="748"/>
      <c r="B123" s="402"/>
      <c r="C123" s="1275"/>
      <c r="D123" s="1275"/>
      <c r="E123" s="1279"/>
      <c r="F123" s="1012"/>
      <c r="G123" s="1281" t="s">
        <v>808</v>
      </c>
      <c r="H123" s="315">
        <f>체육시설부!H211</f>
        <v>64200</v>
      </c>
      <c r="I123" s="315">
        <f>체육시설부!I211</f>
        <v>64500</v>
      </c>
      <c r="J123" s="1000">
        <f>H123-I123</f>
        <v>-300</v>
      </c>
    </row>
    <row r="124" spans="1:10" s="988" customFormat="1" ht="18" customHeight="1">
      <c r="A124" s="1269"/>
      <c r="B124" s="1271"/>
      <c r="C124" s="1272"/>
      <c r="D124" s="1299" t="s">
        <v>995</v>
      </c>
      <c r="E124" s="1300"/>
      <c r="F124" s="1300"/>
      <c r="G124" s="1301"/>
      <c r="H124" s="986">
        <f>H125+H133</f>
        <v>225039</v>
      </c>
      <c r="I124" s="986">
        <f>I125+I133</f>
        <v>224991</v>
      </c>
      <c r="J124" s="995">
        <f t="shared" ref="J124" si="9">H124-I124</f>
        <v>48</v>
      </c>
    </row>
    <row r="125" spans="1:10" s="988" customFormat="1" ht="18" customHeight="1">
      <c r="A125" s="1269"/>
      <c r="B125" s="1271"/>
      <c r="C125" s="1273"/>
      <c r="D125" s="1273"/>
      <c r="E125" s="1299" t="s">
        <v>588</v>
      </c>
      <c r="F125" s="1300"/>
      <c r="G125" s="1301"/>
      <c r="H125" s="987">
        <f>H126</f>
        <v>190795</v>
      </c>
      <c r="I125" s="987">
        <f>I126</f>
        <v>187895</v>
      </c>
      <c r="J125" s="995">
        <f t="shared" si="0"/>
        <v>2900</v>
      </c>
    </row>
    <row r="126" spans="1:10" s="988" customFormat="1" ht="18" customHeight="1">
      <c r="A126" s="1269"/>
      <c r="B126" s="1271"/>
      <c r="C126" s="1273"/>
      <c r="D126" s="1272"/>
      <c r="E126" s="1273"/>
      <c r="F126" s="1299" t="s">
        <v>575</v>
      </c>
      <c r="G126" s="1301"/>
      <c r="H126" s="987">
        <f>체육시설부!H232</f>
        <v>190795</v>
      </c>
      <c r="I126" s="987">
        <f>체육시설부!I232</f>
        <v>187895</v>
      </c>
      <c r="J126" s="995">
        <f t="shared" si="0"/>
        <v>2900</v>
      </c>
    </row>
    <row r="127" spans="1:10" ht="18" customHeight="1">
      <c r="A127" s="748"/>
      <c r="B127" s="402"/>
      <c r="C127" s="1275"/>
      <c r="D127" s="1276"/>
      <c r="E127" s="1276"/>
      <c r="F127" s="1277"/>
      <c r="G127" s="1281" t="s">
        <v>798</v>
      </c>
      <c r="H127" s="315">
        <f>체육시설부!H233</f>
        <v>17972</v>
      </c>
      <c r="I127" s="315">
        <f>체육시설부!I233</f>
        <v>18232</v>
      </c>
      <c r="J127" s="1000">
        <f t="shared" si="0"/>
        <v>-260</v>
      </c>
    </row>
    <row r="128" spans="1:10" ht="18" customHeight="1">
      <c r="A128" s="748"/>
      <c r="B128" s="402"/>
      <c r="C128" s="1275"/>
      <c r="D128" s="1276"/>
      <c r="E128" s="1276"/>
      <c r="F128" s="1277"/>
      <c r="G128" s="1281" t="s">
        <v>813</v>
      </c>
      <c r="H128" s="315">
        <f>체육시설부!H249</f>
        <v>0</v>
      </c>
      <c r="I128" s="315">
        <f>체육시설부!I249</f>
        <v>100</v>
      </c>
      <c r="J128" s="1000">
        <f t="shared" si="0"/>
        <v>-100</v>
      </c>
    </row>
    <row r="129" spans="1:10" ht="18" customHeight="1">
      <c r="A129" s="748"/>
      <c r="B129" s="402"/>
      <c r="C129" s="1275"/>
      <c r="D129" s="1276"/>
      <c r="E129" s="1276"/>
      <c r="F129" s="1277"/>
      <c r="G129" s="1281" t="s">
        <v>799</v>
      </c>
      <c r="H129" s="315">
        <f>체육시설부!H251</f>
        <v>32880</v>
      </c>
      <c r="I129" s="315">
        <f>체육시설부!I251</f>
        <v>36700</v>
      </c>
      <c r="J129" s="1000">
        <f t="shared" si="0"/>
        <v>-3820</v>
      </c>
    </row>
    <row r="130" spans="1:10" ht="18" customHeight="1">
      <c r="A130" s="748"/>
      <c r="B130" s="402"/>
      <c r="C130" s="1275"/>
      <c r="D130" s="1276"/>
      <c r="E130" s="1276"/>
      <c r="F130" s="1277"/>
      <c r="G130" s="1281" t="s">
        <v>800</v>
      </c>
      <c r="H130" s="315">
        <f>체육시설부!H264</f>
        <v>6600</v>
      </c>
      <c r="I130" s="315">
        <f>체육시설부!I264</f>
        <v>4320</v>
      </c>
      <c r="J130" s="1000">
        <f t="shared" si="0"/>
        <v>2280</v>
      </c>
    </row>
    <row r="131" spans="1:10" ht="18" customHeight="1">
      <c r="A131" s="748"/>
      <c r="B131" s="402"/>
      <c r="C131" s="1275"/>
      <c r="D131" s="1276"/>
      <c r="E131" s="1276"/>
      <c r="F131" s="1277"/>
      <c r="G131" s="1281" t="s">
        <v>801</v>
      </c>
      <c r="H131" s="315">
        <f>체육시설부!H268</f>
        <v>500</v>
      </c>
      <c r="I131" s="315">
        <f>체육시설부!I268</f>
        <v>500</v>
      </c>
      <c r="J131" s="1000">
        <f t="shared" si="0"/>
        <v>0</v>
      </c>
    </row>
    <row r="132" spans="1:10" ht="18" customHeight="1">
      <c r="A132" s="748"/>
      <c r="B132" s="402"/>
      <c r="C132" s="1275"/>
      <c r="D132" s="1276"/>
      <c r="E132" s="1276"/>
      <c r="F132" s="1277"/>
      <c r="G132" s="1281" t="s">
        <v>802</v>
      </c>
      <c r="H132" s="315">
        <f>체육시설부!H270</f>
        <v>132843</v>
      </c>
      <c r="I132" s="315">
        <f>체육시설부!I270</f>
        <v>128043</v>
      </c>
      <c r="J132" s="1000">
        <f t="shared" si="0"/>
        <v>4800</v>
      </c>
    </row>
    <row r="133" spans="1:10" s="988" customFormat="1" ht="18" customHeight="1">
      <c r="A133" s="1269"/>
      <c r="B133" s="1271"/>
      <c r="C133" s="1273"/>
      <c r="D133" s="1272"/>
      <c r="E133" s="1299" t="s">
        <v>589</v>
      </c>
      <c r="F133" s="1300"/>
      <c r="G133" s="1301"/>
      <c r="H133" s="987">
        <f>H134+H136</f>
        <v>34244</v>
      </c>
      <c r="I133" s="987">
        <f>I134+I136</f>
        <v>37096</v>
      </c>
      <c r="J133" s="995">
        <f t="shared" si="0"/>
        <v>-2852</v>
      </c>
    </row>
    <row r="134" spans="1:10" s="988" customFormat="1" ht="18" customHeight="1">
      <c r="A134" s="1269"/>
      <c r="B134" s="1271"/>
      <c r="C134" s="1273"/>
      <c r="D134" s="1272"/>
      <c r="E134" s="1274"/>
      <c r="F134" s="1299" t="s">
        <v>585</v>
      </c>
      <c r="G134" s="1301"/>
      <c r="H134" s="987">
        <f>체육시설부!H282</f>
        <v>395</v>
      </c>
      <c r="I134" s="987">
        <f>체육시설부!I282</f>
        <v>747</v>
      </c>
      <c r="J134" s="995">
        <f t="shared" si="0"/>
        <v>-352</v>
      </c>
    </row>
    <row r="135" spans="1:10" ht="18" customHeight="1">
      <c r="A135" s="748"/>
      <c r="B135" s="402"/>
      <c r="C135" s="1275"/>
      <c r="D135" s="1276"/>
      <c r="E135" s="1275"/>
      <c r="F135" s="1277"/>
      <c r="G135" s="1278" t="s">
        <v>809</v>
      </c>
      <c r="H135" s="315">
        <f>체육시설부!H283</f>
        <v>395</v>
      </c>
      <c r="I135" s="315">
        <f>체육시설부!I283</f>
        <v>747</v>
      </c>
      <c r="J135" s="1000">
        <f>H135-I135</f>
        <v>-352</v>
      </c>
    </row>
    <row r="136" spans="1:10" s="988" customFormat="1" ht="18" customHeight="1">
      <c r="A136" s="1284"/>
      <c r="B136" s="1271"/>
      <c r="C136" s="1273"/>
      <c r="D136" s="1273"/>
      <c r="E136" s="1273"/>
      <c r="F136" s="1299" t="s">
        <v>573</v>
      </c>
      <c r="G136" s="1301"/>
      <c r="H136" s="986">
        <f>체육시설부!H286</f>
        <v>33849</v>
      </c>
      <c r="I136" s="986">
        <f>체육시설부!I286</f>
        <v>36349</v>
      </c>
      <c r="J136" s="995">
        <f t="shared" si="0"/>
        <v>-2500</v>
      </c>
    </row>
    <row r="137" spans="1:10" ht="18" customHeight="1">
      <c r="A137" s="1285"/>
      <c r="B137" s="402"/>
      <c r="C137" s="1279"/>
      <c r="D137" s="1279"/>
      <c r="E137" s="1279"/>
      <c r="F137" s="1012"/>
      <c r="G137" s="1012" t="s">
        <v>808</v>
      </c>
      <c r="H137" s="309">
        <f>체육시설부!H287</f>
        <v>33849</v>
      </c>
      <c r="I137" s="309">
        <f>체육시설부!I287</f>
        <v>36349</v>
      </c>
      <c r="J137" s="1000">
        <f>H137-I137</f>
        <v>-2500</v>
      </c>
    </row>
    <row r="138" spans="1:10" s="988" customFormat="1" ht="18" customHeight="1">
      <c r="A138" s="1269"/>
      <c r="B138" s="1271"/>
      <c r="C138" s="1311" t="s">
        <v>590</v>
      </c>
      <c r="D138" s="1312"/>
      <c r="E138" s="1312"/>
      <c r="F138" s="1312"/>
      <c r="G138" s="1313"/>
      <c r="H138" s="992">
        <f>H139+H163+H178</f>
        <v>25241148</v>
      </c>
      <c r="I138" s="992">
        <f>I139+I163+I178</f>
        <v>26353563</v>
      </c>
      <c r="J138" s="1001">
        <f t="shared" si="0"/>
        <v>-1112415</v>
      </c>
    </row>
    <row r="139" spans="1:10" s="988" customFormat="1" ht="18" customHeight="1">
      <c r="A139" s="1269"/>
      <c r="B139" s="1271"/>
      <c r="C139" s="1272"/>
      <c r="D139" s="1299" t="s">
        <v>913</v>
      </c>
      <c r="E139" s="1300"/>
      <c r="F139" s="1300"/>
      <c r="G139" s="1301"/>
      <c r="H139" s="986">
        <f>H140+H156+H159</f>
        <v>21539757</v>
      </c>
      <c r="I139" s="986">
        <f>I140+I156+I159</f>
        <v>21828236</v>
      </c>
      <c r="J139" s="995">
        <f t="shared" si="0"/>
        <v>-288479</v>
      </c>
    </row>
    <row r="140" spans="1:10" s="988" customFormat="1" ht="18" customHeight="1">
      <c r="A140" s="1269"/>
      <c r="B140" s="1271"/>
      <c r="C140" s="1273"/>
      <c r="D140" s="1274"/>
      <c r="E140" s="1299" t="s">
        <v>914</v>
      </c>
      <c r="F140" s="1300"/>
      <c r="G140" s="1301"/>
      <c r="H140" s="987">
        <f>H141+H144+H152+H154</f>
        <v>20452402</v>
      </c>
      <c r="I140" s="987">
        <f>I141+I144+I152+I154</f>
        <v>20789419</v>
      </c>
      <c r="J140" s="995">
        <f t="shared" si="0"/>
        <v>-337017</v>
      </c>
    </row>
    <row r="141" spans="1:10" s="988" customFormat="1" ht="18" customHeight="1">
      <c r="A141" s="1269"/>
      <c r="B141" s="1271"/>
      <c r="C141" s="1273"/>
      <c r="D141" s="1272"/>
      <c r="E141" s="1274"/>
      <c r="F141" s="1299" t="s">
        <v>572</v>
      </c>
      <c r="G141" s="1301"/>
      <c r="H141" s="987">
        <f>도시미화부!H9</f>
        <v>18499480</v>
      </c>
      <c r="I141" s="987">
        <f>도시미화부!I9</f>
        <v>18866047</v>
      </c>
      <c r="J141" s="995">
        <f t="shared" si="0"/>
        <v>-366567</v>
      </c>
    </row>
    <row r="142" spans="1:10" ht="18" customHeight="1">
      <c r="A142" s="748"/>
      <c r="B142" s="402"/>
      <c r="C142" s="1275"/>
      <c r="D142" s="1276"/>
      <c r="E142" s="1275"/>
      <c r="F142" s="1277"/>
      <c r="G142" s="1278" t="s">
        <v>811</v>
      </c>
      <c r="H142" s="315">
        <f>도시미화부!H11</f>
        <v>18427286</v>
      </c>
      <c r="I142" s="315">
        <f>도시미화부!I11</f>
        <v>18793855</v>
      </c>
      <c r="J142" s="1000">
        <f t="shared" si="0"/>
        <v>-366569</v>
      </c>
    </row>
    <row r="143" spans="1:10" ht="18" customHeight="1">
      <c r="A143" s="748"/>
      <c r="B143" s="402"/>
      <c r="C143" s="1275"/>
      <c r="D143" s="1276"/>
      <c r="E143" s="1275"/>
      <c r="F143" s="1277"/>
      <c r="G143" s="1278" t="s">
        <v>797</v>
      </c>
      <c r="H143" s="315">
        <f>도시미화부!H62</f>
        <v>72194</v>
      </c>
      <c r="I143" s="315">
        <f>도시미화부!I62</f>
        <v>72192</v>
      </c>
      <c r="J143" s="1000">
        <f t="shared" si="0"/>
        <v>2</v>
      </c>
    </row>
    <row r="144" spans="1:10" s="988" customFormat="1" ht="18" customHeight="1">
      <c r="A144" s="1269"/>
      <c r="B144" s="1271"/>
      <c r="C144" s="1273"/>
      <c r="D144" s="1272"/>
      <c r="E144" s="1273"/>
      <c r="F144" s="1299" t="s">
        <v>575</v>
      </c>
      <c r="G144" s="1301"/>
      <c r="H144" s="987">
        <f>도시미화부!H67</f>
        <v>1905562</v>
      </c>
      <c r="I144" s="987">
        <f>도시미화부!I67</f>
        <v>1875532</v>
      </c>
      <c r="J144" s="995">
        <f t="shared" si="0"/>
        <v>30030</v>
      </c>
    </row>
    <row r="145" spans="1:10" ht="18" customHeight="1">
      <c r="A145" s="748"/>
      <c r="B145" s="402"/>
      <c r="C145" s="1275"/>
      <c r="D145" s="1276"/>
      <c r="E145" s="1275"/>
      <c r="F145" s="1277"/>
      <c r="G145" s="1278" t="s">
        <v>812</v>
      </c>
      <c r="H145" s="315">
        <f>도시미화부!H68</f>
        <v>49295</v>
      </c>
      <c r="I145" s="315">
        <f>도시미화부!I68</f>
        <v>50980</v>
      </c>
      <c r="J145" s="1000">
        <f t="shared" si="0"/>
        <v>-1685</v>
      </c>
    </row>
    <row r="146" spans="1:10" ht="18" customHeight="1">
      <c r="A146" s="748"/>
      <c r="B146" s="402"/>
      <c r="C146" s="1275"/>
      <c r="D146" s="1276"/>
      <c r="E146" s="1275"/>
      <c r="F146" s="1277"/>
      <c r="G146" s="1278" t="s">
        <v>813</v>
      </c>
      <c r="H146" s="315">
        <f>도시미화부!H94</f>
        <v>400</v>
      </c>
      <c r="I146" s="315">
        <f>도시미화부!I94</f>
        <v>0</v>
      </c>
      <c r="J146" s="1000">
        <f t="shared" si="0"/>
        <v>400</v>
      </c>
    </row>
    <row r="147" spans="1:10" ht="18" customHeight="1">
      <c r="A147" s="748"/>
      <c r="B147" s="402"/>
      <c r="C147" s="1275"/>
      <c r="D147" s="1276"/>
      <c r="E147" s="1275"/>
      <c r="F147" s="1277"/>
      <c r="G147" s="1278" t="s">
        <v>814</v>
      </c>
      <c r="H147" s="315">
        <f>도시미화부!H96</f>
        <v>0</v>
      </c>
      <c r="I147" s="315">
        <f>도시미화부!I96</f>
        <v>1900</v>
      </c>
      <c r="J147" s="1000">
        <f t="shared" si="0"/>
        <v>-1900</v>
      </c>
    </row>
    <row r="148" spans="1:10" ht="18" customHeight="1">
      <c r="A148" s="748"/>
      <c r="B148" s="402"/>
      <c r="C148" s="1275"/>
      <c r="D148" s="1276"/>
      <c r="E148" s="1275"/>
      <c r="F148" s="1277"/>
      <c r="G148" s="1278" t="s">
        <v>815</v>
      </c>
      <c r="H148" s="315">
        <f>도시미화부!H99</f>
        <v>100778</v>
      </c>
      <c r="I148" s="315">
        <f>도시미화부!I99</f>
        <v>16458</v>
      </c>
      <c r="J148" s="1000">
        <f t="shared" si="0"/>
        <v>84320</v>
      </c>
    </row>
    <row r="149" spans="1:10" ht="18" customHeight="1">
      <c r="A149" s="748"/>
      <c r="B149" s="402"/>
      <c r="C149" s="1275"/>
      <c r="D149" s="1276"/>
      <c r="E149" s="1275"/>
      <c r="F149" s="1277"/>
      <c r="G149" s="1278" t="s">
        <v>800</v>
      </c>
      <c r="H149" s="315">
        <f>도시미화부!H107</f>
        <v>74091</v>
      </c>
      <c r="I149" s="315">
        <f>도시미화부!I107</f>
        <v>74477</v>
      </c>
      <c r="J149" s="1000">
        <f t="shared" si="0"/>
        <v>-386</v>
      </c>
    </row>
    <row r="150" spans="1:10" ht="18" customHeight="1">
      <c r="A150" s="748"/>
      <c r="B150" s="402"/>
      <c r="C150" s="1275"/>
      <c r="D150" s="1276"/>
      <c r="E150" s="1275"/>
      <c r="F150" s="1277"/>
      <c r="G150" s="1278" t="s">
        <v>802</v>
      </c>
      <c r="H150" s="315">
        <f>도시미화부!H117</f>
        <v>239797</v>
      </c>
      <c r="I150" s="315">
        <f>도시미화부!I117</f>
        <v>286569</v>
      </c>
      <c r="J150" s="1000">
        <f t="shared" si="0"/>
        <v>-46772</v>
      </c>
    </row>
    <row r="151" spans="1:10" ht="18" customHeight="1">
      <c r="A151" s="748"/>
      <c r="B151" s="402"/>
      <c r="C151" s="1275"/>
      <c r="D151" s="1276"/>
      <c r="E151" s="1275"/>
      <c r="F151" s="1277"/>
      <c r="G151" s="1278" t="s">
        <v>803</v>
      </c>
      <c r="H151" s="315">
        <f>도시미화부!H126</f>
        <v>1441201</v>
      </c>
      <c r="I151" s="315">
        <f>도시미화부!I126</f>
        <v>1445148</v>
      </c>
      <c r="J151" s="1000">
        <f>H151-I151</f>
        <v>-3947</v>
      </c>
    </row>
    <row r="152" spans="1:10" s="988" customFormat="1" ht="18" customHeight="1">
      <c r="A152" s="1269"/>
      <c r="B152" s="1271"/>
      <c r="C152" s="1273"/>
      <c r="D152" s="1272"/>
      <c r="E152" s="1273"/>
      <c r="F152" s="1299" t="s">
        <v>576</v>
      </c>
      <c r="G152" s="1301"/>
      <c r="H152" s="987">
        <f>도시미화부!H134</f>
        <v>27620</v>
      </c>
      <c r="I152" s="987">
        <f>도시미화부!I134</f>
        <v>27620</v>
      </c>
      <c r="J152" s="995">
        <f t="shared" si="0"/>
        <v>0</v>
      </c>
    </row>
    <row r="153" spans="1:10" ht="18" customHeight="1">
      <c r="A153" s="748"/>
      <c r="B153" s="402"/>
      <c r="C153" s="1275"/>
      <c r="D153" s="1276"/>
      <c r="E153" s="1275"/>
      <c r="F153" s="1277"/>
      <c r="G153" s="1278" t="s">
        <v>804</v>
      </c>
      <c r="H153" s="315">
        <f>도시미화부!H135</f>
        <v>27620</v>
      </c>
      <c r="I153" s="315">
        <f>도시미화부!I135</f>
        <v>27620</v>
      </c>
      <c r="J153" s="1000">
        <f>H153-I153</f>
        <v>0</v>
      </c>
    </row>
    <row r="154" spans="1:10" s="988" customFormat="1" ht="18" customHeight="1">
      <c r="A154" s="1269"/>
      <c r="B154" s="1271"/>
      <c r="C154" s="1273"/>
      <c r="D154" s="1272"/>
      <c r="E154" s="1273"/>
      <c r="F154" s="1299" t="s">
        <v>577</v>
      </c>
      <c r="G154" s="1301"/>
      <c r="H154" s="987">
        <f>도시미화부!H143</f>
        <v>19740</v>
      </c>
      <c r="I154" s="987">
        <f>도시미화부!I143</f>
        <v>20220</v>
      </c>
      <c r="J154" s="995">
        <f t="shared" si="0"/>
        <v>-480</v>
      </c>
    </row>
    <row r="155" spans="1:10" ht="18" customHeight="1">
      <c r="A155" s="748"/>
      <c r="B155" s="402"/>
      <c r="C155" s="1275"/>
      <c r="D155" s="1276"/>
      <c r="E155" s="1279"/>
      <c r="F155" s="1012"/>
      <c r="G155" s="1281" t="s">
        <v>806</v>
      </c>
      <c r="H155" s="315">
        <f>도시미화부!H144</f>
        <v>19740</v>
      </c>
      <c r="I155" s="315">
        <f>도시미화부!I144</f>
        <v>20220</v>
      </c>
      <c r="J155" s="1000">
        <f>H155-I155</f>
        <v>-480</v>
      </c>
    </row>
    <row r="156" spans="1:10" s="988" customFormat="1" ht="18" customHeight="1">
      <c r="A156" s="1269"/>
      <c r="B156" s="1271"/>
      <c r="C156" s="1273"/>
      <c r="D156" s="1272"/>
      <c r="E156" s="1299" t="s">
        <v>591</v>
      </c>
      <c r="F156" s="1300"/>
      <c r="G156" s="1301"/>
      <c r="H156" s="987">
        <f>H157</f>
        <v>660555</v>
      </c>
      <c r="I156" s="987">
        <f>I157</f>
        <v>727617</v>
      </c>
      <c r="J156" s="995">
        <f t="shared" si="0"/>
        <v>-67062</v>
      </c>
    </row>
    <row r="157" spans="1:10" s="988" customFormat="1" ht="18" customHeight="1">
      <c r="A157" s="1269"/>
      <c r="B157" s="1271"/>
      <c r="C157" s="1273"/>
      <c r="D157" s="1273"/>
      <c r="E157" s="1283"/>
      <c r="F157" s="1299" t="s">
        <v>575</v>
      </c>
      <c r="G157" s="1301"/>
      <c r="H157" s="987">
        <f>도시미화부!H149</f>
        <v>660555</v>
      </c>
      <c r="I157" s="987">
        <f>도시미화부!I149</f>
        <v>727617</v>
      </c>
      <c r="J157" s="995">
        <f t="shared" ref="J157:J308" si="10">H157-I157</f>
        <v>-67062</v>
      </c>
    </row>
    <row r="158" spans="1:10" ht="18" customHeight="1">
      <c r="A158" s="748"/>
      <c r="B158" s="402"/>
      <c r="C158" s="1275"/>
      <c r="D158" s="1275"/>
      <c r="E158" s="1279"/>
      <c r="F158" s="1012"/>
      <c r="G158" s="1281" t="s">
        <v>801</v>
      </c>
      <c r="H158" s="315">
        <f>도시미화부!H150</f>
        <v>660555</v>
      </c>
      <c r="I158" s="315">
        <f>도시미화부!I150</f>
        <v>727617</v>
      </c>
      <c r="J158" s="1000">
        <f>H158-I158</f>
        <v>-67062</v>
      </c>
    </row>
    <row r="159" spans="1:10" s="988" customFormat="1" ht="18" customHeight="1">
      <c r="A159" s="1269"/>
      <c r="B159" s="1271"/>
      <c r="C159" s="1273"/>
      <c r="D159" s="1273"/>
      <c r="E159" s="1299" t="s">
        <v>2473</v>
      </c>
      <c r="F159" s="1300"/>
      <c r="G159" s="1301"/>
      <c r="H159" s="987">
        <f>H160+H161</f>
        <v>426800</v>
      </c>
      <c r="I159" s="987">
        <f>I160+I161</f>
        <v>311200</v>
      </c>
      <c r="J159" s="995">
        <f t="shared" si="10"/>
        <v>115600</v>
      </c>
    </row>
    <row r="160" spans="1:10" s="988" customFormat="1" ht="18" customHeight="1">
      <c r="A160" s="1269"/>
      <c r="B160" s="1271"/>
      <c r="C160" s="1273"/>
      <c r="D160" s="1272"/>
      <c r="E160" s="1274"/>
      <c r="F160" s="1299" t="s">
        <v>585</v>
      </c>
      <c r="G160" s="1301"/>
      <c r="H160" s="987">
        <v>0</v>
      </c>
      <c r="I160" s="987">
        <v>0</v>
      </c>
      <c r="J160" s="995">
        <f t="shared" si="10"/>
        <v>0</v>
      </c>
    </row>
    <row r="161" spans="1:10" s="988" customFormat="1" ht="18" customHeight="1">
      <c r="A161" s="1269"/>
      <c r="B161" s="1271"/>
      <c r="C161" s="1273"/>
      <c r="D161" s="1272"/>
      <c r="E161" s="1273"/>
      <c r="F161" s="1299" t="s">
        <v>573</v>
      </c>
      <c r="G161" s="1301"/>
      <c r="H161" s="987">
        <f>도시미화부!H180</f>
        <v>426800</v>
      </c>
      <c r="I161" s="987">
        <f>도시미화부!I180</f>
        <v>311200</v>
      </c>
      <c r="J161" s="995">
        <f t="shared" si="10"/>
        <v>115600</v>
      </c>
    </row>
    <row r="162" spans="1:10" ht="18" customHeight="1">
      <c r="A162" s="748"/>
      <c r="B162" s="402"/>
      <c r="C162" s="1275"/>
      <c r="D162" s="1276"/>
      <c r="E162" s="1279"/>
      <c r="F162" s="1012"/>
      <c r="G162" s="1281" t="s">
        <v>808</v>
      </c>
      <c r="H162" s="315">
        <f>도시미화부!H181</f>
        <v>426800</v>
      </c>
      <c r="I162" s="315">
        <f>도시미화부!I181</f>
        <v>311200</v>
      </c>
      <c r="J162" s="1000">
        <f>H162-I162</f>
        <v>115600</v>
      </c>
    </row>
    <row r="163" spans="1:10" s="988" customFormat="1" ht="18" customHeight="1">
      <c r="A163" s="1269"/>
      <c r="B163" s="1271"/>
      <c r="C163" s="1272"/>
      <c r="D163" s="1299" t="s">
        <v>916</v>
      </c>
      <c r="E163" s="1300"/>
      <c r="F163" s="1300"/>
      <c r="G163" s="1301"/>
      <c r="H163" s="986">
        <f>H164</f>
        <v>100803</v>
      </c>
      <c r="I163" s="986">
        <f>I164</f>
        <v>101745</v>
      </c>
      <c r="J163" s="995">
        <f t="shared" ref="J163" si="11">H163-I163</f>
        <v>-942</v>
      </c>
    </row>
    <row r="164" spans="1:10" s="988" customFormat="1" ht="18" customHeight="1">
      <c r="A164" s="1269"/>
      <c r="B164" s="1271"/>
      <c r="C164" s="1273"/>
      <c r="D164" s="1272"/>
      <c r="E164" s="1299" t="s">
        <v>592</v>
      </c>
      <c r="F164" s="1300"/>
      <c r="G164" s="1301"/>
      <c r="H164" s="987">
        <f>H165+H172+H174+H176</f>
        <v>100803</v>
      </c>
      <c r="I164" s="987">
        <f>I165+I172+I174+I176</f>
        <v>101745</v>
      </c>
      <c r="J164" s="995">
        <f t="shared" si="10"/>
        <v>-942</v>
      </c>
    </row>
    <row r="165" spans="1:10" s="988" customFormat="1" ht="18" customHeight="1">
      <c r="A165" s="1269"/>
      <c r="B165" s="1271"/>
      <c r="C165" s="1273"/>
      <c r="D165" s="1272"/>
      <c r="E165" s="1274"/>
      <c r="F165" s="1299" t="s">
        <v>575</v>
      </c>
      <c r="G165" s="1301"/>
      <c r="H165" s="987">
        <f>도시미화부!H190</f>
        <v>98403</v>
      </c>
      <c r="I165" s="987">
        <f>도시미화부!I190</f>
        <v>98745</v>
      </c>
      <c r="J165" s="995">
        <f t="shared" si="10"/>
        <v>-342</v>
      </c>
    </row>
    <row r="166" spans="1:10" ht="18" customHeight="1">
      <c r="A166" s="748"/>
      <c r="B166" s="402"/>
      <c r="C166" s="1275"/>
      <c r="D166" s="1276"/>
      <c r="E166" s="1275"/>
      <c r="F166" s="1277"/>
      <c r="G166" s="1278" t="s">
        <v>798</v>
      </c>
      <c r="H166" s="315">
        <f>도시미화부!H191</f>
        <v>3078</v>
      </c>
      <c r="I166" s="315">
        <f>도시미화부!I191</f>
        <v>3678</v>
      </c>
      <c r="J166" s="1000">
        <f t="shared" si="10"/>
        <v>-600</v>
      </c>
    </row>
    <row r="167" spans="1:10" ht="18" customHeight="1">
      <c r="A167" s="748"/>
      <c r="B167" s="402"/>
      <c r="C167" s="1275"/>
      <c r="D167" s="1276"/>
      <c r="E167" s="1275"/>
      <c r="F167" s="1277"/>
      <c r="G167" s="1278" t="s">
        <v>799</v>
      </c>
      <c r="H167" s="315">
        <f>도시미화부!H199</f>
        <v>66271</v>
      </c>
      <c r="I167" s="315">
        <f>도시미화부!I199</f>
        <v>66271</v>
      </c>
      <c r="J167" s="1000">
        <f t="shared" si="10"/>
        <v>0</v>
      </c>
    </row>
    <row r="168" spans="1:10" ht="18" customHeight="1">
      <c r="A168" s="748"/>
      <c r="B168" s="402"/>
      <c r="C168" s="1275"/>
      <c r="D168" s="1276"/>
      <c r="E168" s="1275"/>
      <c r="F168" s="1277"/>
      <c r="G168" s="1278" t="s">
        <v>800</v>
      </c>
      <c r="H168" s="315">
        <f>도시미화부!H206</f>
        <v>11616</v>
      </c>
      <c r="I168" s="315">
        <f>도시미화부!I206</f>
        <v>10896</v>
      </c>
      <c r="J168" s="1000">
        <f t="shared" si="10"/>
        <v>720</v>
      </c>
    </row>
    <row r="169" spans="1:10" ht="18" customHeight="1">
      <c r="A169" s="748"/>
      <c r="B169" s="402"/>
      <c r="C169" s="1275"/>
      <c r="D169" s="1276"/>
      <c r="E169" s="1275"/>
      <c r="F169" s="1277"/>
      <c r="G169" s="1278" t="s">
        <v>801</v>
      </c>
      <c r="H169" s="315">
        <f>도시미화부!H212</f>
        <v>2460</v>
      </c>
      <c r="I169" s="315">
        <f>도시미화부!I212</f>
        <v>2460</v>
      </c>
      <c r="J169" s="1000">
        <f t="shared" si="10"/>
        <v>0</v>
      </c>
    </row>
    <row r="170" spans="1:10" ht="18" customHeight="1">
      <c r="A170" s="748"/>
      <c r="B170" s="402"/>
      <c r="C170" s="1275"/>
      <c r="D170" s="1276"/>
      <c r="E170" s="1275"/>
      <c r="F170" s="1277"/>
      <c r="G170" s="1278" t="s">
        <v>802</v>
      </c>
      <c r="H170" s="315">
        <f>도시미화부!H219</f>
        <v>9740</v>
      </c>
      <c r="I170" s="315">
        <f>도시미화부!I219</f>
        <v>9740</v>
      </c>
      <c r="J170" s="1000">
        <f t="shared" si="10"/>
        <v>0</v>
      </c>
    </row>
    <row r="171" spans="1:10" ht="18" customHeight="1">
      <c r="A171" s="748"/>
      <c r="B171" s="402"/>
      <c r="C171" s="1275"/>
      <c r="D171" s="1276"/>
      <c r="E171" s="1275"/>
      <c r="F171" s="1277"/>
      <c r="G171" s="1278" t="s">
        <v>803</v>
      </c>
      <c r="H171" s="315">
        <f>도시미화부!H228</f>
        <v>5238</v>
      </c>
      <c r="I171" s="315">
        <f>도시미화부!I228</f>
        <v>5700</v>
      </c>
      <c r="J171" s="1000">
        <f t="shared" si="10"/>
        <v>-462</v>
      </c>
    </row>
    <row r="172" spans="1:10" s="988" customFormat="1" ht="18" customHeight="1">
      <c r="A172" s="1269"/>
      <c r="B172" s="1271"/>
      <c r="C172" s="1273"/>
      <c r="D172" s="1272"/>
      <c r="E172" s="1273"/>
      <c r="F172" s="1299" t="s">
        <v>576</v>
      </c>
      <c r="G172" s="1301"/>
      <c r="H172" s="987">
        <f>도시미화부!H232</f>
        <v>1200</v>
      </c>
      <c r="I172" s="987">
        <f>도시미화부!I232</f>
        <v>1800</v>
      </c>
      <c r="J172" s="995">
        <f t="shared" si="10"/>
        <v>-600</v>
      </c>
    </row>
    <row r="173" spans="1:10" ht="18" customHeight="1">
      <c r="A173" s="748"/>
      <c r="B173" s="402"/>
      <c r="C173" s="1275"/>
      <c r="D173" s="1276"/>
      <c r="E173" s="1275"/>
      <c r="F173" s="1277"/>
      <c r="G173" s="1278" t="s">
        <v>804</v>
      </c>
      <c r="H173" s="315">
        <f>도시미화부!H233</f>
        <v>1200</v>
      </c>
      <c r="I173" s="315">
        <f>도시미화부!I233</f>
        <v>1800</v>
      </c>
      <c r="J173" s="1000">
        <f>H173-I173</f>
        <v>-600</v>
      </c>
    </row>
    <row r="174" spans="1:10" s="988" customFormat="1" ht="18" customHeight="1">
      <c r="A174" s="1269"/>
      <c r="B174" s="1271"/>
      <c r="C174" s="1273"/>
      <c r="D174" s="1272"/>
      <c r="E174" s="1273"/>
      <c r="F174" s="1299" t="s">
        <v>573</v>
      </c>
      <c r="G174" s="1301"/>
      <c r="H174" s="987">
        <v>0</v>
      </c>
      <c r="I174" s="987">
        <v>0</v>
      </c>
      <c r="J174" s="995">
        <f t="shared" si="10"/>
        <v>0</v>
      </c>
    </row>
    <row r="175" spans="1:10" ht="18" customHeight="1">
      <c r="A175" s="748"/>
      <c r="B175" s="402"/>
      <c r="C175" s="1275"/>
      <c r="D175" s="1276"/>
      <c r="E175" s="1275"/>
      <c r="F175" s="1277"/>
      <c r="G175" s="1278" t="s">
        <v>808</v>
      </c>
      <c r="H175" s="315">
        <v>0</v>
      </c>
      <c r="I175" s="315">
        <v>0</v>
      </c>
      <c r="J175" s="1000">
        <f>H175-I175</f>
        <v>0</v>
      </c>
    </row>
    <row r="176" spans="1:10" s="988" customFormat="1" ht="18" customHeight="1">
      <c r="A176" s="1269"/>
      <c r="B176" s="1271"/>
      <c r="C176" s="1273"/>
      <c r="D176" s="1273"/>
      <c r="E176" s="1273"/>
      <c r="F176" s="1299" t="s">
        <v>577</v>
      </c>
      <c r="G176" s="1301"/>
      <c r="H176" s="987">
        <f>도시미화부!H235</f>
        <v>1200</v>
      </c>
      <c r="I176" s="987">
        <f>도시미화부!I235</f>
        <v>1200</v>
      </c>
      <c r="J176" s="995">
        <f t="shared" si="10"/>
        <v>0</v>
      </c>
    </row>
    <row r="177" spans="1:10" ht="18" customHeight="1">
      <c r="A177" s="748"/>
      <c r="B177" s="402"/>
      <c r="C177" s="1275"/>
      <c r="D177" s="1276"/>
      <c r="E177" s="1279"/>
      <c r="F177" s="1012"/>
      <c r="G177" s="1281" t="s">
        <v>806</v>
      </c>
      <c r="H177" s="315">
        <f>도시미화부!H236</f>
        <v>1200</v>
      </c>
      <c r="I177" s="315">
        <f>도시미화부!I236</f>
        <v>1200</v>
      </c>
      <c r="J177" s="1000">
        <f>H177-I177</f>
        <v>0</v>
      </c>
    </row>
    <row r="178" spans="1:10" s="988" customFormat="1" ht="18" customHeight="1">
      <c r="A178" s="1269"/>
      <c r="B178" s="1271"/>
      <c r="C178" s="1272"/>
      <c r="D178" s="1299" t="s">
        <v>915</v>
      </c>
      <c r="E178" s="1300"/>
      <c r="F178" s="1300"/>
      <c r="G178" s="1301"/>
      <c r="H178" s="986">
        <f>H179+H193</f>
        <v>3600588</v>
      </c>
      <c r="I178" s="986">
        <f>I179+I193</f>
        <v>4423582</v>
      </c>
      <c r="J178" s="995">
        <f t="shared" ref="J178" si="12">H178-I178</f>
        <v>-822994</v>
      </c>
    </row>
    <row r="179" spans="1:10" s="988" customFormat="1" ht="18" customHeight="1">
      <c r="A179" s="1269"/>
      <c r="B179" s="1271"/>
      <c r="C179" s="1273"/>
      <c r="D179" s="1272"/>
      <c r="E179" s="1299" t="s">
        <v>593</v>
      </c>
      <c r="F179" s="1300"/>
      <c r="G179" s="1301"/>
      <c r="H179" s="987">
        <f>H180+H182+H189+H191</f>
        <v>788376</v>
      </c>
      <c r="I179" s="987">
        <f>I180+I182+I189+I191</f>
        <v>821676</v>
      </c>
      <c r="J179" s="995">
        <f t="shared" si="10"/>
        <v>-33300</v>
      </c>
    </row>
    <row r="180" spans="1:10" s="988" customFormat="1" ht="18" customHeight="1">
      <c r="A180" s="1269"/>
      <c r="B180" s="1271"/>
      <c r="C180" s="1273"/>
      <c r="D180" s="1272"/>
      <c r="E180" s="1274"/>
      <c r="F180" s="1299" t="s">
        <v>572</v>
      </c>
      <c r="G180" s="1301"/>
      <c r="H180" s="987">
        <v>0</v>
      </c>
      <c r="I180" s="987">
        <v>0</v>
      </c>
      <c r="J180" s="995">
        <f t="shared" si="10"/>
        <v>0</v>
      </c>
    </row>
    <row r="181" spans="1:10" ht="18" customHeight="1">
      <c r="A181" s="748"/>
      <c r="B181" s="402"/>
      <c r="C181" s="1275"/>
      <c r="D181" s="1276"/>
      <c r="E181" s="1275"/>
      <c r="F181" s="1277"/>
      <c r="G181" s="1278" t="s">
        <v>797</v>
      </c>
      <c r="H181" s="315">
        <v>0</v>
      </c>
      <c r="I181" s="315">
        <v>0</v>
      </c>
      <c r="J181" s="1000">
        <f>H181-I181</f>
        <v>0</v>
      </c>
    </row>
    <row r="182" spans="1:10" s="988" customFormat="1" ht="18" customHeight="1">
      <c r="A182" s="1269"/>
      <c r="B182" s="1271"/>
      <c r="C182" s="1273"/>
      <c r="D182" s="1272"/>
      <c r="E182" s="1273"/>
      <c r="F182" s="1299" t="s">
        <v>575</v>
      </c>
      <c r="G182" s="1301"/>
      <c r="H182" s="987">
        <f>환경자원사업소!H10</f>
        <v>775416</v>
      </c>
      <c r="I182" s="987">
        <f>환경자원사업소!I10</f>
        <v>808716</v>
      </c>
      <c r="J182" s="995">
        <f t="shared" si="10"/>
        <v>-33300</v>
      </c>
    </row>
    <row r="183" spans="1:10" ht="18" customHeight="1">
      <c r="A183" s="748"/>
      <c r="B183" s="402"/>
      <c r="C183" s="1275"/>
      <c r="D183" s="1276"/>
      <c r="E183" s="1275"/>
      <c r="F183" s="1277"/>
      <c r="G183" s="1278" t="s">
        <v>798</v>
      </c>
      <c r="H183" s="315">
        <f>환경자원사업소!H11</f>
        <v>30220</v>
      </c>
      <c r="I183" s="315">
        <f>환경자원사업소!I11</f>
        <v>40170</v>
      </c>
      <c r="J183" s="1000">
        <f t="shared" si="10"/>
        <v>-9950</v>
      </c>
    </row>
    <row r="184" spans="1:10" ht="18" customHeight="1">
      <c r="A184" s="748"/>
      <c r="B184" s="402"/>
      <c r="C184" s="1275"/>
      <c r="D184" s="1276"/>
      <c r="E184" s="1275"/>
      <c r="F184" s="1277"/>
      <c r="G184" s="1278" t="s">
        <v>799</v>
      </c>
      <c r="H184" s="315">
        <f>환경자원사업소!H33</f>
        <v>514560</v>
      </c>
      <c r="I184" s="315">
        <f>환경자원사업소!I33</f>
        <v>557272</v>
      </c>
      <c r="J184" s="1000">
        <f t="shared" si="10"/>
        <v>-42712</v>
      </c>
    </row>
    <row r="185" spans="1:10" ht="18" customHeight="1">
      <c r="A185" s="748"/>
      <c r="B185" s="402"/>
      <c r="C185" s="1275"/>
      <c r="D185" s="1276"/>
      <c r="E185" s="1275"/>
      <c r="F185" s="1277"/>
      <c r="G185" s="1278" t="s">
        <v>800</v>
      </c>
      <c r="H185" s="315">
        <f>환경자원사업소!H63</f>
        <v>34000</v>
      </c>
      <c r="I185" s="315">
        <f>환경자원사업소!I63</f>
        <v>26224</v>
      </c>
      <c r="J185" s="1000">
        <f t="shared" si="10"/>
        <v>7776</v>
      </c>
    </row>
    <row r="186" spans="1:10" ht="18" customHeight="1">
      <c r="A186" s="748"/>
      <c r="B186" s="402"/>
      <c r="C186" s="1275"/>
      <c r="D186" s="1276"/>
      <c r="E186" s="1275"/>
      <c r="F186" s="1277"/>
      <c r="G186" s="1278" t="s">
        <v>801</v>
      </c>
      <c r="H186" s="315">
        <f>환경자원사업소!H74</f>
        <v>65840</v>
      </c>
      <c r="I186" s="315">
        <f>환경자원사업소!I74</f>
        <v>54360</v>
      </c>
      <c r="J186" s="1000">
        <f t="shared" si="10"/>
        <v>11480</v>
      </c>
    </row>
    <row r="187" spans="1:10" ht="18" customHeight="1">
      <c r="A187" s="748"/>
      <c r="B187" s="402"/>
      <c r="C187" s="1275"/>
      <c r="D187" s="1276"/>
      <c r="E187" s="1275"/>
      <c r="F187" s="1277"/>
      <c r="G187" s="1278" t="s">
        <v>802</v>
      </c>
      <c r="H187" s="315">
        <f>환경자원사업소!H87</f>
        <v>128696</v>
      </c>
      <c r="I187" s="315">
        <f>환경자원사업소!I87</f>
        <v>124264</v>
      </c>
      <c r="J187" s="1000">
        <f t="shared" si="10"/>
        <v>4432</v>
      </c>
    </row>
    <row r="188" spans="1:10" ht="18" customHeight="1">
      <c r="A188" s="748"/>
      <c r="B188" s="402"/>
      <c r="C188" s="1275"/>
      <c r="D188" s="1276"/>
      <c r="E188" s="1275"/>
      <c r="F188" s="1277"/>
      <c r="G188" s="1278" t="s">
        <v>803</v>
      </c>
      <c r="H188" s="315">
        <f>환경자원사업소!H106</f>
        <v>2100</v>
      </c>
      <c r="I188" s="315">
        <f>환경자원사업소!I106</f>
        <v>6426</v>
      </c>
      <c r="J188" s="1000">
        <f t="shared" si="10"/>
        <v>-4326</v>
      </c>
    </row>
    <row r="189" spans="1:10" s="988" customFormat="1" ht="18" customHeight="1">
      <c r="A189" s="1269"/>
      <c r="B189" s="1271"/>
      <c r="C189" s="1273"/>
      <c r="D189" s="1272"/>
      <c r="E189" s="1273"/>
      <c r="F189" s="1299" t="s">
        <v>576</v>
      </c>
      <c r="G189" s="1301"/>
      <c r="H189" s="987">
        <f>환경자원사업소!H111</f>
        <v>7440</v>
      </c>
      <c r="I189" s="987">
        <f>환경자원사업소!I111</f>
        <v>7440</v>
      </c>
      <c r="J189" s="995">
        <f t="shared" si="10"/>
        <v>0</v>
      </c>
    </row>
    <row r="190" spans="1:10" ht="18" customHeight="1">
      <c r="A190" s="748"/>
      <c r="B190" s="402"/>
      <c r="C190" s="1275"/>
      <c r="D190" s="1276"/>
      <c r="E190" s="1275"/>
      <c r="F190" s="1277"/>
      <c r="G190" s="1278" t="s">
        <v>817</v>
      </c>
      <c r="H190" s="315">
        <f>환경자원사업소!H112</f>
        <v>7440</v>
      </c>
      <c r="I190" s="315">
        <f>환경자원사업소!I112</f>
        <v>7440</v>
      </c>
      <c r="J190" s="1000">
        <f>H190-I190</f>
        <v>0</v>
      </c>
    </row>
    <row r="191" spans="1:10" s="988" customFormat="1" ht="18" customHeight="1">
      <c r="A191" s="1269"/>
      <c r="B191" s="1271"/>
      <c r="C191" s="1273"/>
      <c r="D191" s="1273"/>
      <c r="E191" s="1273"/>
      <c r="F191" s="1299" t="s">
        <v>577</v>
      </c>
      <c r="G191" s="1301"/>
      <c r="H191" s="986">
        <f>환경자원사업소!H115</f>
        <v>5520</v>
      </c>
      <c r="I191" s="986">
        <f>환경자원사업소!I115</f>
        <v>5520</v>
      </c>
      <c r="J191" s="995">
        <f t="shared" si="10"/>
        <v>0</v>
      </c>
    </row>
    <row r="192" spans="1:10" ht="18" customHeight="1">
      <c r="A192" s="748"/>
      <c r="B192" s="402"/>
      <c r="C192" s="1275"/>
      <c r="D192" s="1275"/>
      <c r="E192" s="1279"/>
      <c r="F192" s="1012"/>
      <c r="G192" s="1281" t="s">
        <v>806</v>
      </c>
      <c r="H192" s="315">
        <f>환경자원사업소!H116</f>
        <v>5520</v>
      </c>
      <c r="I192" s="315">
        <f>환경자원사업소!I116</f>
        <v>5520</v>
      </c>
      <c r="J192" s="1000">
        <f>H192-I192</f>
        <v>0</v>
      </c>
    </row>
    <row r="193" spans="1:12" s="988" customFormat="1" ht="18" customHeight="1">
      <c r="A193" s="1269"/>
      <c r="B193" s="1271"/>
      <c r="C193" s="1273"/>
      <c r="D193" s="1273"/>
      <c r="E193" s="1299" t="s">
        <v>782</v>
      </c>
      <c r="F193" s="1300"/>
      <c r="G193" s="1301"/>
      <c r="H193" s="987">
        <f>H194+H198+H200+H196</f>
        <v>2812212</v>
      </c>
      <c r="I193" s="987">
        <f>I194+I198+I200+I196</f>
        <v>3601906</v>
      </c>
      <c r="J193" s="995">
        <f t="shared" ref="J193:J198" si="13">H193-I193</f>
        <v>-789694</v>
      </c>
    </row>
    <row r="194" spans="1:12" s="988" customFormat="1" ht="18" customHeight="1">
      <c r="A194" s="1269"/>
      <c r="B194" s="1271"/>
      <c r="C194" s="1273"/>
      <c r="D194" s="1272"/>
      <c r="E194" s="1274"/>
      <c r="F194" s="1299" t="s">
        <v>585</v>
      </c>
      <c r="G194" s="1301"/>
      <c r="H194" s="987">
        <f>환경자원사업소!H120</f>
        <v>612612</v>
      </c>
      <c r="I194" s="987">
        <f>환경자원사업소!I120</f>
        <v>625233</v>
      </c>
      <c r="J194" s="995">
        <f t="shared" si="13"/>
        <v>-12621</v>
      </c>
    </row>
    <row r="195" spans="1:12" ht="18" customHeight="1">
      <c r="A195" s="748"/>
      <c r="B195" s="402"/>
      <c r="C195" s="1275"/>
      <c r="D195" s="1276"/>
      <c r="E195" s="1275"/>
      <c r="F195" s="1277"/>
      <c r="G195" s="1278" t="s">
        <v>818</v>
      </c>
      <c r="H195" s="315">
        <f>환경자원사업소!H121</f>
        <v>612612</v>
      </c>
      <c r="I195" s="315">
        <f>환경자원사업소!I121</f>
        <v>625233</v>
      </c>
      <c r="J195" s="1000">
        <f>H195-I195</f>
        <v>-12621</v>
      </c>
    </row>
    <row r="196" spans="1:12" s="988" customFormat="1" ht="18" customHeight="1">
      <c r="A196" s="1269"/>
      <c r="B196" s="1271"/>
      <c r="C196" s="1273"/>
      <c r="D196" s="1272"/>
      <c r="E196" s="1273"/>
      <c r="F196" s="1299" t="s">
        <v>598</v>
      </c>
      <c r="G196" s="1301"/>
      <c r="H196" s="987">
        <f>환경자원사업소!H138</f>
        <v>12000</v>
      </c>
      <c r="I196" s="987">
        <f>환경자원사업소!I138</f>
        <v>21000</v>
      </c>
      <c r="J196" s="995">
        <f t="shared" ref="J196" si="14">H196-I196</f>
        <v>-9000</v>
      </c>
    </row>
    <row r="197" spans="1:12" ht="18" customHeight="1">
      <c r="A197" s="748"/>
      <c r="B197" s="402"/>
      <c r="C197" s="1275"/>
      <c r="D197" s="1276"/>
      <c r="E197" s="1275"/>
      <c r="F197" s="1277"/>
      <c r="G197" s="1278" t="s">
        <v>1029</v>
      </c>
      <c r="H197" s="315">
        <f>환경자원사업소!H139</f>
        <v>12000</v>
      </c>
      <c r="I197" s="315">
        <f>환경자원사업소!I139</f>
        <v>21000</v>
      </c>
      <c r="J197" s="1000">
        <f>H197-I197</f>
        <v>-9000</v>
      </c>
    </row>
    <row r="198" spans="1:12" s="988" customFormat="1" ht="18" customHeight="1">
      <c r="A198" s="1269"/>
      <c r="B198" s="1271"/>
      <c r="C198" s="1273"/>
      <c r="D198" s="1272"/>
      <c r="E198" s="1273"/>
      <c r="F198" s="1299" t="s">
        <v>573</v>
      </c>
      <c r="G198" s="1301"/>
      <c r="H198" s="987">
        <f>환경자원사업소!H140</f>
        <v>1289180</v>
      </c>
      <c r="I198" s="987">
        <f>환경자원사업소!I140</f>
        <v>2187850</v>
      </c>
      <c r="J198" s="995">
        <f t="shared" si="13"/>
        <v>-898670</v>
      </c>
    </row>
    <row r="199" spans="1:12" ht="18" customHeight="1">
      <c r="A199" s="748"/>
      <c r="B199" s="402"/>
      <c r="C199" s="1275"/>
      <c r="D199" s="1276"/>
      <c r="E199" s="1275"/>
      <c r="F199" s="1277"/>
      <c r="G199" s="1278" t="s">
        <v>808</v>
      </c>
      <c r="H199" s="315">
        <f>환경자원사업소!H141</f>
        <v>1289180</v>
      </c>
      <c r="I199" s="315">
        <f>환경자원사업소!I141</f>
        <v>2187850</v>
      </c>
      <c r="J199" s="1000">
        <f>H199-I199</f>
        <v>-898670</v>
      </c>
    </row>
    <row r="200" spans="1:12" s="988" customFormat="1" ht="18" customHeight="1">
      <c r="A200" s="1269"/>
      <c r="B200" s="1271"/>
      <c r="C200" s="1273"/>
      <c r="D200" s="1272"/>
      <c r="E200" s="1273"/>
      <c r="F200" s="1299" t="s">
        <v>783</v>
      </c>
      <c r="G200" s="1301"/>
      <c r="H200" s="987">
        <f>환경자원사업소!H167</f>
        <v>898420</v>
      </c>
      <c r="I200" s="987">
        <f>환경자원사업소!I167</f>
        <v>767823</v>
      </c>
      <c r="J200" s="995">
        <f t="shared" ref="J200" si="15">H200-I200</f>
        <v>130597</v>
      </c>
    </row>
    <row r="201" spans="1:12" ht="18" customHeight="1">
      <c r="A201" s="748"/>
      <c r="B201" s="402"/>
      <c r="C201" s="1279"/>
      <c r="D201" s="1279"/>
      <c r="E201" s="1279"/>
      <c r="F201" s="1012"/>
      <c r="G201" s="1281" t="s">
        <v>819</v>
      </c>
      <c r="H201" s="315">
        <f>환경자원사업소!H167</f>
        <v>898420</v>
      </c>
      <c r="I201" s="315">
        <f>환경자원사업소!I167</f>
        <v>767823</v>
      </c>
      <c r="J201" s="1000">
        <f>H201-I201</f>
        <v>130597</v>
      </c>
    </row>
    <row r="202" spans="1:12" s="988" customFormat="1" ht="18" customHeight="1">
      <c r="A202" s="1269"/>
      <c r="B202" s="1271"/>
      <c r="C202" s="1308" t="s">
        <v>594</v>
      </c>
      <c r="D202" s="1309"/>
      <c r="E202" s="1309"/>
      <c r="F202" s="1309"/>
      <c r="G202" s="1310"/>
      <c r="H202" s="993">
        <f>H203+H247</f>
        <v>16154050</v>
      </c>
      <c r="I202" s="993">
        <f>I203+I247</f>
        <v>15890185</v>
      </c>
      <c r="J202" s="1002">
        <f t="shared" si="10"/>
        <v>263865</v>
      </c>
    </row>
    <row r="203" spans="1:12" s="988" customFormat="1" ht="18" customHeight="1">
      <c r="A203" s="1269"/>
      <c r="B203" s="1271"/>
      <c r="C203" s="1272"/>
      <c r="D203" s="1299" t="s">
        <v>918</v>
      </c>
      <c r="E203" s="1300"/>
      <c r="F203" s="1300"/>
      <c r="G203" s="1301"/>
      <c r="H203" s="986">
        <f>H204+H236</f>
        <v>5219217</v>
      </c>
      <c r="I203" s="986">
        <f>I204+I236</f>
        <v>5298338</v>
      </c>
      <c r="J203" s="995">
        <f t="shared" si="10"/>
        <v>-79121</v>
      </c>
    </row>
    <row r="204" spans="1:12" s="988" customFormat="1" ht="18" customHeight="1">
      <c r="A204" s="1269"/>
      <c r="B204" s="1271"/>
      <c r="C204" s="1273"/>
      <c r="D204" s="1272"/>
      <c r="E204" s="1299" t="s">
        <v>843</v>
      </c>
      <c r="F204" s="1300"/>
      <c r="G204" s="1301"/>
      <c r="H204" s="987">
        <f>H205+H216+H219+H221+H223+H226+H230+H232+H234</f>
        <v>5130718</v>
      </c>
      <c r="I204" s="987">
        <f>I205+I216+I219+I221+I223+I226+I230+I232+I234</f>
        <v>5141908</v>
      </c>
      <c r="J204" s="995">
        <f t="shared" si="10"/>
        <v>-11190</v>
      </c>
    </row>
    <row r="205" spans="1:12" s="988" customFormat="1" ht="18" customHeight="1">
      <c r="A205" s="1269"/>
      <c r="B205" s="1271"/>
      <c r="C205" s="1273"/>
      <c r="D205" s="1272"/>
      <c r="E205" s="1274"/>
      <c r="F205" s="1299" t="s">
        <v>575</v>
      </c>
      <c r="G205" s="1301"/>
      <c r="H205" s="987">
        <f>경영본부!H10</f>
        <v>1247836</v>
      </c>
      <c r="I205" s="987">
        <f>경영본부!I10</f>
        <v>1363391</v>
      </c>
      <c r="J205" s="1005">
        <f>H205-I205</f>
        <v>-115555</v>
      </c>
      <c r="K205" s="1008"/>
      <c r="L205" s="1008"/>
    </row>
    <row r="206" spans="1:12" ht="18" customHeight="1">
      <c r="A206" s="748"/>
      <c r="B206" s="402"/>
      <c r="C206" s="1275"/>
      <c r="D206" s="1276"/>
      <c r="E206" s="1275"/>
      <c r="F206" s="1277"/>
      <c r="G206" s="1278" t="s">
        <v>798</v>
      </c>
      <c r="H206" s="315">
        <f>경영본부!H11</f>
        <v>59506</v>
      </c>
      <c r="I206" s="315">
        <f>경영본부!I11</f>
        <v>64394</v>
      </c>
      <c r="J206" s="1000">
        <f t="shared" ref="J206:J208" si="16">H206-I206</f>
        <v>-4888</v>
      </c>
    </row>
    <row r="207" spans="1:12" ht="18" customHeight="1">
      <c r="A207" s="748"/>
      <c r="B207" s="402"/>
      <c r="C207" s="1275"/>
      <c r="D207" s="1276"/>
      <c r="E207" s="1275"/>
      <c r="F207" s="1277"/>
      <c r="G207" s="1278" t="s">
        <v>813</v>
      </c>
      <c r="H207" s="315">
        <f>경영본부!H76</f>
        <v>6500</v>
      </c>
      <c r="I207" s="315">
        <f>경영본부!I76</f>
        <v>0</v>
      </c>
      <c r="J207" s="1000">
        <f t="shared" si="16"/>
        <v>6500</v>
      </c>
    </row>
    <row r="208" spans="1:12" ht="18" customHeight="1">
      <c r="A208" s="748"/>
      <c r="B208" s="402"/>
      <c r="C208" s="1275"/>
      <c r="D208" s="1276"/>
      <c r="E208" s="1275"/>
      <c r="F208" s="1277"/>
      <c r="G208" s="1278" t="s">
        <v>814</v>
      </c>
      <c r="H208" s="315">
        <f>경영본부!H79</f>
        <v>14800</v>
      </c>
      <c r="I208" s="315">
        <f>경영본부!I79</f>
        <v>16800</v>
      </c>
      <c r="J208" s="1000">
        <f t="shared" si="16"/>
        <v>-2000</v>
      </c>
    </row>
    <row r="209" spans="1:10" ht="18" customHeight="1">
      <c r="A209" s="748"/>
      <c r="B209" s="402"/>
      <c r="C209" s="1275"/>
      <c r="D209" s="1276"/>
      <c r="E209" s="1275"/>
      <c r="F209" s="1277"/>
      <c r="G209" s="1278" t="s">
        <v>799</v>
      </c>
      <c r="H209" s="315">
        <f>경영본부!H82</f>
        <v>132356</v>
      </c>
      <c r="I209" s="315">
        <f>경영본부!I82</f>
        <v>212622</v>
      </c>
      <c r="J209" s="1006">
        <f>H209-I209</f>
        <v>-80266</v>
      </c>
    </row>
    <row r="210" spans="1:10" ht="18" customHeight="1">
      <c r="A210" s="748"/>
      <c r="B210" s="402"/>
      <c r="C210" s="1275"/>
      <c r="D210" s="1276"/>
      <c r="E210" s="1275"/>
      <c r="F210" s="1277"/>
      <c r="G210" s="1278" t="s">
        <v>816</v>
      </c>
      <c r="H210" s="315">
        <f>경영본부!H97</f>
        <v>43050</v>
      </c>
      <c r="I210" s="315">
        <f>경영본부!I97</f>
        <v>44080</v>
      </c>
      <c r="J210" s="1000">
        <f t="shared" ref="J210:J215" si="17">H210-I210</f>
        <v>-1030</v>
      </c>
    </row>
    <row r="211" spans="1:10" ht="18" customHeight="1">
      <c r="A211" s="748"/>
      <c r="B211" s="402"/>
      <c r="C211" s="1275"/>
      <c r="D211" s="1276"/>
      <c r="E211" s="1275"/>
      <c r="F211" s="1277"/>
      <c r="G211" s="1278" t="s">
        <v>800</v>
      </c>
      <c r="H211" s="315">
        <f>경영본부!H130</f>
        <v>99031</v>
      </c>
      <c r="I211" s="315">
        <f>경영본부!I130</f>
        <v>99445</v>
      </c>
      <c r="J211" s="1000">
        <f t="shared" si="17"/>
        <v>-414</v>
      </c>
    </row>
    <row r="212" spans="1:10" ht="18" customHeight="1">
      <c r="A212" s="748"/>
      <c r="B212" s="402"/>
      <c r="C212" s="1275"/>
      <c r="D212" s="1276"/>
      <c r="E212" s="1275"/>
      <c r="F212" s="1277"/>
      <c r="G212" s="1278" t="s">
        <v>820</v>
      </c>
      <c r="H212" s="315">
        <f>경영본부!H146</f>
        <v>4500</v>
      </c>
      <c r="I212" s="315">
        <f>경영본부!I146</f>
        <v>4650</v>
      </c>
      <c r="J212" s="1000">
        <f t="shared" si="17"/>
        <v>-150</v>
      </c>
    </row>
    <row r="213" spans="1:10" ht="18" customHeight="1">
      <c r="A213" s="748"/>
      <c r="B213" s="402"/>
      <c r="C213" s="1275"/>
      <c r="D213" s="1276"/>
      <c r="E213" s="1275"/>
      <c r="F213" s="1277"/>
      <c r="G213" s="1278" t="s">
        <v>801</v>
      </c>
      <c r="H213" s="315">
        <f>경영본부!H158</f>
        <v>823810</v>
      </c>
      <c r="I213" s="315">
        <f>경영본부!I158</f>
        <v>854370</v>
      </c>
      <c r="J213" s="1000">
        <f t="shared" si="17"/>
        <v>-30560</v>
      </c>
    </row>
    <row r="214" spans="1:10" ht="18" customHeight="1">
      <c r="A214" s="748"/>
      <c r="B214" s="402"/>
      <c r="C214" s="1275"/>
      <c r="D214" s="1276"/>
      <c r="E214" s="1275"/>
      <c r="F214" s="1277"/>
      <c r="G214" s="1278" t="s">
        <v>802</v>
      </c>
      <c r="H214" s="315">
        <f>경영본부!H184</f>
        <v>59403</v>
      </c>
      <c r="I214" s="315">
        <f>경영본부!I184</f>
        <v>61750</v>
      </c>
      <c r="J214" s="1000">
        <f t="shared" si="17"/>
        <v>-2347</v>
      </c>
    </row>
    <row r="215" spans="1:10" ht="18" customHeight="1">
      <c r="A215" s="748"/>
      <c r="B215" s="402"/>
      <c r="C215" s="1275"/>
      <c r="D215" s="1276"/>
      <c r="E215" s="1275"/>
      <c r="F215" s="1277"/>
      <c r="G215" s="1278" t="s">
        <v>803</v>
      </c>
      <c r="H215" s="315">
        <f>경영본부!H194</f>
        <v>4880</v>
      </c>
      <c r="I215" s="315">
        <f>경영본부!I194</f>
        <v>5280</v>
      </c>
      <c r="J215" s="1000">
        <f t="shared" si="17"/>
        <v>-400</v>
      </c>
    </row>
    <row r="216" spans="1:10" s="988" customFormat="1" ht="18" customHeight="1">
      <c r="A216" s="1269"/>
      <c r="B216" s="1271"/>
      <c r="C216" s="1273"/>
      <c r="D216" s="1272"/>
      <c r="E216" s="1273"/>
      <c r="F216" s="1299" t="s">
        <v>576</v>
      </c>
      <c r="G216" s="1301"/>
      <c r="H216" s="987">
        <f>경영본부!H197</f>
        <v>39600</v>
      </c>
      <c r="I216" s="987">
        <f>경영본부!I197</f>
        <v>43200</v>
      </c>
      <c r="J216" s="995">
        <f t="shared" si="10"/>
        <v>-3600</v>
      </c>
    </row>
    <row r="217" spans="1:10" ht="18" customHeight="1">
      <c r="A217" s="748"/>
      <c r="B217" s="402"/>
      <c r="C217" s="1275"/>
      <c r="D217" s="1276"/>
      <c r="E217" s="1275"/>
      <c r="F217" s="1277"/>
      <c r="G217" s="1278" t="s">
        <v>804</v>
      </c>
      <c r="H217" s="315">
        <f>경영본부!H198</f>
        <v>24600</v>
      </c>
      <c r="I217" s="315">
        <f>경영본부!I198</f>
        <v>28200</v>
      </c>
      <c r="J217" s="1000">
        <f>H217-I217</f>
        <v>-3600</v>
      </c>
    </row>
    <row r="218" spans="1:10" ht="18" customHeight="1">
      <c r="A218" s="748"/>
      <c r="B218" s="402"/>
      <c r="C218" s="1275"/>
      <c r="D218" s="1276"/>
      <c r="E218" s="1275"/>
      <c r="F218" s="1277"/>
      <c r="G218" s="1278" t="s">
        <v>821</v>
      </c>
      <c r="H218" s="315">
        <f>경영본부!H201</f>
        <v>15000</v>
      </c>
      <c r="I218" s="315">
        <f>경영본부!I201</f>
        <v>15000</v>
      </c>
      <c r="J218" s="1000">
        <f>H218-I218</f>
        <v>0</v>
      </c>
    </row>
    <row r="219" spans="1:10" s="988" customFormat="1" ht="18" customHeight="1">
      <c r="A219" s="1269"/>
      <c r="B219" s="1271"/>
      <c r="C219" s="1273"/>
      <c r="D219" s="1272"/>
      <c r="E219" s="1273"/>
      <c r="F219" s="1299" t="s">
        <v>597</v>
      </c>
      <c r="G219" s="1301"/>
      <c r="H219" s="987">
        <f>경영본부!H203</f>
        <v>20000</v>
      </c>
      <c r="I219" s="987">
        <f>경영본부!I203</f>
        <v>20000</v>
      </c>
      <c r="J219" s="995">
        <f t="shared" si="10"/>
        <v>0</v>
      </c>
    </row>
    <row r="220" spans="1:10" ht="18" customHeight="1">
      <c r="A220" s="748"/>
      <c r="B220" s="402"/>
      <c r="C220" s="1275"/>
      <c r="D220" s="1276"/>
      <c r="E220" s="1275"/>
      <c r="F220" s="1277"/>
      <c r="G220" s="1278" t="s">
        <v>822</v>
      </c>
      <c r="H220" s="315">
        <f>경영본부!H204</f>
        <v>20000</v>
      </c>
      <c r="I220" s="315">
        <f>경영본부!I204</f>
        <v>20000</v>
      </c>
      <c r="J220" s="995">
        <f t="shared" si="10"/>
        <v>0</v>
      </c>
    </row>
    <row r="221" spans="1:10" s="988" customFormat="1" ht="18" customHeight="1">
      <c r="A221" s="1269"/>
      <c r="B221" s="1271"/>
      <c r="C221" s="1273"/>
      <c r="D221" s="1272"/>
      <c r="E221" s="1273"/>
      <c r="F221" s="1299" t="s">
        <v>573</v>
      </c>
      <c r="G221" s="1301"/>
      <c r="H221" s="987">
        <f>경영본부!H207</f>
        <v>170112</v>
      </c>
      <c r="I221" s="987">
        <f>경영본부!I207</f>
        <v>14850</v>
      </c>
      <c r="J221" s="995">
        <f t="shared" si="10"/>
        <v>155262</v>
      </c>
    </row>
    <row r="222" spans="1:10" ht="18" customHeight="1">
      <c r="A222" s="748"/>
      <c r="B222" s="402"/>
      <c r="C222" s="1275"/>
      <c r="D222" s="1276"/>
      <c r="E222" s="1275"/>
      <c r="F222" s="1277"/>
      <c r="G222" s="1278" t="s">
        <v>823</v>
      </c>
      <c r="H222" s="315">
        <f>경영본부!H208</f>
        <v>170112</v>
      </c>
      <c r="I222" s="315">
        <f>경영본부!I208</f>
        <v>14850</v>
      </c>
      <c r="J222" s="1000">
        <f>H222-I222</f>
        <v>155262</v>
      </c>
    </row>
    <row r="223" spans="1:10" s="988" customFormat="1" ht="18" customHeight="1">
      <c r="A223" s="1269"/>
      <c r="B223" s="1271"/>
      <c r="C223" s="1273"/>
      <c r="D223" s="1272"/>
      <c r="E223" s="1273"/>
      <c r="F223" s="1299" t="s">
        <v>577</v>
      </c>
      <c r="G223" s="1301"/>
      <c r="H223" s="987">
        <f>경영본부!H226</f>
        <v>27435</v>
      </c>
      <c r="I223" s="987">
        <f>경영본부!I226</f>
        <v>26955</v>
      </c>
      <c r="J223" s="995">
        <f t="shared" si="10"/>
        <v>480</v>
      </c>
    </row>
    <row r="224" spans="1:10" ht="18" customHeight="1">
      <c r="A224" s="748"/>
      <c r="B224" s="402"/>
      <c r="C224" s="1275"/>
      <c r="D224" s="1276"/>
      <c r="E224" s="1275"/>
      <c r="F224" s="1277"/>
      <c r="G224" s="1278" t="s">
        <v>824</v>
      </c>
      <c r="H224" s="315">
        <f>경영본부!H227</f>
        <v>21735</v>
      </c>
      <c r="I224" s="315">
        <f>경영본부!I227</f>
        <v>21555</v>
      </c>
      <c r="J224" s="1000">
        <f>H224-I224</f>
        <v>180</v>
      </c>
    </row>
    <row r="225" spans="1:13" ht="18" customHeight="1">
      <c r="A225" s="748"/>
      <c r="B225" s="402"/>
      <c r="C225" s="1275"/>
      <c r="D225" s="1276"/>
      <c r="E225" s="1275"/>
      <c r="F225" s="1277"/>
      <c r="G225" s="1278" t="s">
        <v>825</v>
      </c>
      <c r="H225" s="315">
        <f>경영본부!H229</f>
        <v>5700</v>
      </c>
      <c r="I225" s="315">
        <f>경영본부!I229</f>
        <v>5400</v>
      </c>
      <c r="J225" s="1000">
        <f>H225-I225</f>
        <v>300</v>
      </c>
    </row>
    <row r="226" spans="1:13" s="988" customFormat="1" ht="18" customHeight="1">
      <c r="A226" s="1269"/>
      <c r="B226" s="1271"/>
      <c r="C226" s="1273"/>
      <c r="D226" s="1272"/>
      <c r="E226" s="1273"/>
      <c r="F226" s="1299" t="s">
        <v>601</v>
      </c>
      <c r="G226" s="1301"/>
      <c r="H226" s="987">
        <f>경영본부!H235</f>
        <v>3600295</v>
      </c>
      <c r="I226" s="987">
        <f>경영본부!I235</f>
        <v>3650232</v>
      </c>
      <c r="J226" s="995">
        <f t="shared" si="10"/>
        <v>-49937</v>
      </c>
    </row>
    <row r="227" spans="1:13" ht="18" customHeight="1">
      <c r="A227" s="748"/>
      <c r="B227" s="402"/>
      <c r="C227" s="1275"/>
      <c r="D227" s="1276"/>
      <c r="E227" s="1275"/>
      <c r="F227" s="1277"/>
      <c r="G227" s="1278" t="s">
        <v>829</v>
      </c>
      <c r="H227" s="315">
        <f>경영본부!H236</f>
        <v>241392</v>
      </c>
      <c r="I227" s="315">
        <f>경영본부!I236</f>
        <v>261417</v>
      </c>
      <c r="J227" s="1000">
        <f>H227-I227</f>
        <v>-20025</v>
      </c>
    </row>
    <row r="228" spans="1:13" ht="18" customHeight="1">
      <c r="A228" s="748"/>
      <c r="B228" s="402"/>
      <c r="C228" s="1275"/>
      <c r="D228" s="1276"/>
      <c r="E228" s="1275"/>
      <c r="F228" s="1277"/>
      <c r="G228" s="1278" t="s">
        <v>830</v>
      </c>
      <c r="H228" s="315">
        <f>경영본부!H238</f>
        <v>461412</v>
      </c>
      <c r="I228" s="315">
        <f>경영본부!I238</f>
        <v>500878</v>
      </c>
      <c r="J228" s="1000">
        <f>H228-I228</f>
        <v>-39466</v>
      </c>
    </row>
    <row r="229" spans="1:13" ht="18" customHeight="1">
      <c r="A229" s="748"/>
      <c r="B229" s="402"/>
      <c r="C229" s="1275"/>
      <c r="D229" s="1276"/>
      <c r="E229" s="1275"/>
      <c r="F229" s="1277"/>
      <c r="G229" s="1278" t="s">
        <v>831</v>
      </c>
      <c r="H229" s="315">
        <f>경영본부!H244</f>
        <v>2897491</v>
      </c>
      <c r="I229" s="315">
        <f>경영본부!I244</f>
        <v>2887937</v>
      </c>
      <c r="J229" s="1000">
        <f>H229-I229</f>
        <v>9554</v>
      </c>
    </row>
    <row r="230" spans="1:13" s="988" customFormat="1" ht="18" customHeight="1">
      <c r="A230" s="1269"/>
      <c r="B230" s="1271"/>
      <c r="C230" s="1273"/>
      <c r="D230" s="1272"/>
      <c r="E230" s="1273"/>
      <c r="F230" s="1299" t="s">
        <v>602</v>
      </c>
      <c r="G230" s="1301"/>
      <c r="H230" s="987">
        <f>경영본부!H251</f>
        <v>21200</v>
      </c>
      <c r="I230" s="987">
        <f>경영본부!I251</f>
        <v>19400</v>
      </c>
      <c r="J230" s="995">
        <f t="shared" si="10"/>
        <v>1800</v>
      </c>
    </row>
    <row r="231" spans="1:13" ht="18" customHeight="1">
      <c r="A231" s="748"/>
      <c r="B231" s="402"/>
      <c r="C231" s="1275"/>
      <c r="D231" s="1276"/>
      <c r="E231" s="1275"/>
      <c r="F231" s="1277"/>
      <c r="G231" s="1278" t="s">
        <v>832</v>
      </c>
      <c r="H231" s="315">
        <f>경영본부!H252</f>
        <v>21200</v>
      </c>
      <c r="I231" s="315">
        <f>경영본부!I252</f>
        <v>19400</v>
      </c>
      <c r="J231" s="1000">
        <f>H231-I231</f>
        <v>1800</v>
      </c>
    </row>
    <row r="232" spans="1:13" s="988" customFormat="1" ht="18" customHeight="1">
      <c r="A232" s="1269"/>
      <c r="B232" s="1271"/>
      <c r="C232" s="1273"/>
      <c r="D232" s="1272"/>
      <c r="E232" s="1273"/>
      <c r="F232" s="1299" t="s">
        <v>616</v>
      </c>
      <c r="G232" s="1301"/>
      <c r="H232" s="987">
        <f>경영본부!H254</f>
        <v>4240</v>
      </c>
      <c r="I232" s="987">
        <f>경영본부!I254</f>
        <v>3880</v>
      </c>
      <c r="J232" s="1266">
        <f>H232-I232</f>
        <v>360</v>
      </c>
    </row>
    <row r="233" spans="1:13" ht="18" customHeight="1">
      <c r="A233" s="748"/>
      <c r="B233" s="402"/>
      <c r="C233" s="1275"/>
      <c r="D233" s="1276"/>
      <c r="E233" s="1275"/>
      <c r="F233" s="1277"/>
      <c r="G233" s="1277" t="s">
        <v>616</v>
      </c>
      <c r="H233" s="315">
        <f>경영본부!H254</f>
        <v>4240</v>
      </c>
      <c r="I233" s="315">
        <f>경영본부!I254</f>
        <v>3880</v>
      </c>
      <c r="J233" s="1000">
        <f>H233-I233</f>
        <v>360</v>
      </c>
    </row>
    <row r="234" spans="1:13" s="988" customFormat="1" ht="18" customHeight="1">
      <c r="A234" s="1269"/>
      <c r="B234" s="1271"/>
      <c r="C234" s="1273"/>
      <c r="D234" s="1273"/>
      <c r="E234" s="1273"/>
      <c r="F234" s="1299" t="s">
        <v>603</v>
      </c>
      <c r="G234" s="1301"/>
      <c r="H234" s="987">
        <f>경영본부!H256</f>
        <v>0</v>
      </c>
      <c r="I234" s="987">
        <f>경영본부!I256</f>
        <v>0</v>
      </c>
      <c r="J234" s="995">
        <f t="shared" si="10"/>
        <v>0</v>
      </c>
    </row>
    <row r="235" spans="1:13" ht="18" customHeight="1">
      <c r="A235" s="748"/>
      <c r="B235" s="402"/>
      <c r="C235" s="1275"/>
      <c r="D235" s="1276"/>
      <c r="E235" s="1279"/>
      <c r="F235" s="1012"/>
      <c r="G235" s="1281" t="s">
        <v>833</v>
      </c>
      <c r="H235" s="315">
        <f>경영본부!H257</f>
        <v>0</v>
      </c>
      <c r="I235" s="315">
        <f>경영본부!I257</f>
        <v>0</v>
      </c>
      <c r="J235" s="998">
        <f>H235-I235</f>
        <v>0</v>
      </c>
    </row>
    <row r="236" spans="1:13" s="988" customFormat="1" ht="18" customHeight="1">
      <c r="A236" s="1269"/>
      <c r="B236" s="1271"/>
      <c r="C236" s="1273"/>
      <c r="D236" s="1272"/>
      <c r="E236" s="1299" t="s">
        <v>596</v>
      </c>
      <c r="F236" s="1300"/>
      <c r="G236" s="1301"/>
      <c r="H236" s="987">
        <f>H237+H239+H242+H245</f>
        <v>88499</v>
      </c>
      <c r="I236" s="987">
        <f>I237+I239+I242+I245</f>
        <v>156430</v>
      </c>
      <c r="J236" s="995">
        <f t="shared" si="10"/>
        <v>-67931</v>
      </c>
    </row>
    <row r="237" spans="1:13" s="988" customFormat="1" ht="18" customHeight="1">
      <c r="A237" s="1269"/>
      <c r="B237" s="1271"/>
      <c r="C237" s="1273"/>
      <c r="D237" s="1272"/>
      <c r="E237" s="1274"/>
      <c r="F237" s="1299" t="s">
        <v>575</v>
      </c>
      <c r="G237" s="1301"/>
      <c r="H237" s="311">
        <f>경영본부!H260</f>
        <v>36559</v>
      </c>
      <c r="I237" s="311">
        <f>경영본부!I260</f>
        <v>41280</v>
      </c>
      <c r="J237" s="1005">
        <f>J238</f>
        <v>-4721</v>
      </c>
    </row>
    <row r="238" spans="1:13" ht="18" customHeight="1">
      <c r="A238" s="748"/>
      <c r="B238" s="402"/>
      <c r="C238" s="1275"/>
      <c r="D238" s="1276"/>
      <c r="E238" s="1275"/>
      <c r="F238" s="1277"/>
      <c r="G238" s="1278" t="s">
        <v>815</v>
      </c>
      <c r="H238" s="310">
        <f>경영본부!H261</f>
        <v>36559</v>
      </c>
      <c r="I238" s="310">
        <f>경영본부!I261</f>
        <v>41280</v>
      </c>
      <c r="J238" s="1006">
        <f>H238-I238</f>
        <v>-4721</v>
      </c>
      <c r="M238" s="1007"/>
    </row>
    <row r="239" spans="1:13" s="988" customFormat="1" ht="18" customHeight="1">
      <c r="A239" s="1269"/>
      <c r="B239" s="1271"/>
      <c r="C239" s="1273"/>
      <c r="D239" s="1272"/>
      <c r="E239" s="1273"/>
      <c r="F239" s="1299" t="s">
        <v>598</v>
      </c>
      <c r="G239" s="1301"/>
      <c r="H239" s="987">
        <f>경영본부!H274</f>
        <v>41900</v>
      </c>
      <c r="I239" s="987">
        <f>경영본부!I274</f>
        <v>107000</v>
      </c>
      <c r="J239" s="995">
        <f t="shared" si="10"/>
        <v>-65100</v>
      </c>
    </row>
    <row r="240" spans="1:13" ht="18" customHeight="1">
      <c r="A240" s="748"/>
      <c r="B240" s="402"/>
      <c r="C240" s="1275"/>
      <c r="D240" s="1276"/>
      <c r="E240" s="1275"/>
      <c r="F240" s="1277"/>
      <c r="G240" s="1278" t="s">
        <v>834</v>
      </c>
      <c r="H240" s="315">
        <f>경영본부!H275</f>
        <v>29200</v>
      </c>
      <c r="I240" s="315">
        <f>경영본부!I275</f>
        <v>5500</v>
      </c>
      <c r="J240" s="1000">
        <f>H240-I240</f>
        <v>23700</v>
      </c>
    </row>
    <row r="241" spans="1:10" ht="18" customHeight="1">
      <c r="A241" s="748"/>
      <c r="B241" s="402"/>
      <c r="C241" s="1275"/>
      <c r="D241" s="1276"/>
      <c r="E241" s="1275"/>
      <c r="F241" s="1277"/>
      <c r="G241" s="1278" t="s">
        <v>835</v>
      </c>
      <c r="H241" s="315">
        <f>경영본부!H278</f>
        <v>12700</v>
      </c>
      <c r="I241" s="315">
        <f>경영본부!I278</f>
        <v>101500</v>
      </c>
      <c r="J241" s="1000">
        <f>H241-I241</f>
        <v>-88800</v>
      </c>
    </row>
    <row r="242" spans="1:10" s="988" customFormat="1" ht="18" customHeight="1">
      <c r="A242" s="1269"/>
      <c r="B242" s="1271"/>
      <c r="C242" s="1273"/>
      <c r="D242" s="1272"/>
      <c r="E242" s="1273"/>
      <c r="F242" s="1299" t="s">
        <v>599</v>
      </c>
      <c r="G242" s="1301"/>
      <c r="H242" s="987">
        <f>경영본부!H282</f>
        <v>4240</v>
      </c>
      <c r="I242" s="987">
        <f>경영본부!I282</f>
        <v>3440</v>
      </c>
      <c r="J242" s="995">
        <f t="shared" si="10"/>
        <v>800</v>
      </c>
    </row>
    <row r="243" spans="1:10" ht="18" customHeight="1">
      <c r="A243" s="748"/>
      <c r="B243" s="402"/>
      <c r="C243" s="1275"/>
      <c r="D243" s="1276"/>
      <c r="E243" s="1275"/>
      <c r="F243" s="1277"/>
      <c r="G243" s="1278" t="s">
        <v>826</v>
      </c>
      <c r="H243" s="315">
        <f>경영본부!H283</f>
        <v>2240</v>
      </c>
      <c r="I243" s="315">
        <f>경영본부!I283</f>
        <v>1440</v>
      </c>
      <c r="J243" s="1000">
        <f>H243-I243</f>
        <v>800</v>
      </c>
    </row>
    <row r="244" spans="1:10" ht="18" customHeight="1">
      <c r="A244" s="748"/>
      <c r="B244" s="402"/>
      <c r="C244" s="1275"/>
      <c r="D244" s="1276"/>
      <c r="E244" s="1275"/>
      <c r="F244" s="1277"/>
      <c r="G244" s="1278" t="s">
        <v>827</v>
      </c>
      <c r="H244" s="315">
        <f>경영본부!H286</f>
        <v>2000</v>
      </c>
      <c r="I244" s="315">
        <f>경영본부!I286</f>
        <v>2000</v>
      </c>
      <c r="J244" s="1000">
        <f>H244-I244</f>
        <v>0</v>
      </c>
    </row>
    <row r="245" spans="1:10" s="988" customFormat="1" ht="18" customHeight="1">
      <c r="A245" s="1269"/>
      <c r="B245" s="1271"/>
      <c r="C245" s="1273"/>
      <c r="D245" s="1272"/>
      <c r="E245" s="1273"/>
      <c r="F245" s="1299" t="s">
        <v>600</v>
      </c>
      <c r="G245" s="1301"/>
      <c r="H245" s="987">
        <f>경영본부!H292</f>
        <v>5800</v>
      </c>
      <c r="I245" s="987">
        <f>경영본부!I292</f>
        <v>4710</v>
      </c>
      <c r="J245" s="995">
        <f t="shared" si="10"/>
        <v>1090</v>
      </c>
    </row>
    <row r="246" spans="1:10" ht="18" customHeight="1">
      <c r="A246" s="748"/>
      <c r="B246" s="402"/>
      <c r="C246" s="1275"/>
      <c r="D246" s="1276"/>
      <c r="E246" s="1279"/>
      <c r="F246" s="1012"/>
      <c r="G246" s="1281" t="s">
        <v>828</v>
      </c>
      <c r="H246" s="315">
        <f>경영본부!H293</f>
        <v>5800</v>
      </c>
      <c r="I246" s="315">
        <f>경영본부!I293</f>
        <v>4710</v>
      </c>
      <c r="J246" s="1000">
        <f>H246-I246</f>
        <v>1090</v>
      </c>
    </row>
    <row r="247" spans="1:10" ht="18" customHeight="1">
      <c r="A247" s="748"/>
      <c r="B247" s="402"/>
      <c r="C247" s="1275"/>
      <c r="D247" s="1299" t="s">
        <v>842</v>
      </c>
      <c r="E247" s="1300"/>
      <c r="F247" s="1300"/>
      <c r="G247" s="1301"/>
      <c r="H247" s="987">
        <f>H248</f>
        <v>10934833</v>
      </c>
      <c r="I247" s="987">
        <f>I248</f>
        <v>10591847</v>
      </c>
      <c r="J247" s="1266">
        <f>J248</f>
        <v>342986</v>
      </c>
    </row>
    <row r="248" spans="1:10" s="988" customFormat="1" ht="18" customHeight="1">
      <c r="A248" s="1269"/>
      <c r="B248" s="1271"/>
      <c r="C248" s="1273"/>
      <c r="D248" s="1272"/>
      <c r="E248" s="1305" t="s">
        <v>917</v>
      </c>
      <c r="F248" s="1306"/>
      <c r="G248" s="1307"/>
      <c r="H248" s="987">
        <f>경영본부!H311</f>
        <v>10934833</v>
      </c>
      <c r="I248" s="987">
        <f>경영본부!I311</f>
        <v>10591847</v>
      </c>
      <c r="J248" s="1266">
        <f t="shared" ref="J248:J249" si="18">H248-I248</f>
        <v>342986</v>
      </c>
    </row>
    <row r="249" spans="1:10" s="988" customFormat="1" ht="18" customHeight="1">
      <c r="A249" s="1269"/>
      <c r="B249" s="1271"/>
      <c r="C249" s="1273"/>
      <c r="D249" s="1272"/>
      <c r="E249" s="1274"/>
      <c r="F249" s="1299" t="s">
        <v>572</v>
      </c>
      <c r="G249" s="1301"/>
      <c r="H249" s="987">
        <f>경영본부!H313</f>
        <v>9163300</v>
      </c>
      <c r="I249" s="987">
        <f>경영본부!I313</f>
        <v>8913182</v>
      </c>
      <c r="J249" s="1266">
        <f t="shared" si="18"/>
        <v>250118</v>
      </c>
    </row>
    <row r="250" spans="1:10" ht="18" customHeight="1">
      <c r="A250" s="748"/>
      <c r="B250" s="402"/>
      <c r="C250" s="1275"/>
      <c r="D250" s="1276"/>
      <c r="E250" s="1275"/>
      <c r="F250" s="1012"/>
      <c r="G250" s="1281" t="s">
        <v>836</v>
      </c>
      <c r="H250" s="315">
        <f>경영본부!H314</f>
        <v>4562024</v>
      </c>
      <c r="I250" s="315">
        <f>경영본부!I314</f>
        <v>4403241</v>
      </c>
      <c r="J250" s="1000">
        <f t="shared" ref="J250:J252" si="19">H250-I250</f>
        <v>158783</v>
      </c>
    </row>
    <row r="251" spans="1:10" ht="18" customHeight="1">
      <c r="A251" s="748"/>
      <c r="B251" s="402"/>
      <c r="C251" s="1275"/>
      <c r="D251" s="1276"/>
      <c r="E251" s="1275"/>
      <c r="F251" s="1012"/>
      <c r="G251" s="1281" t="s">
        <v>811</v>
      </c>
      <c r="H251" s="315">
        <f>경영본부!H466</f>
        <v>4558177</v>
      </c>
      <c r="I251" s="315">
        <f>경영본부!I466</f>
        <v>4497485</v>
      </c>
      <c r="J251" s="1000">
        <f t="shared" si="19"/>
        <v>60692</v>
      </c>
    </row>
    <row r="252" spans="1:10" ht="18" customHeight="1">
      <c r="A252" s="748"/>
      <c r="B252" s="402"/>
      <c r="C252" s="1275"/>
      <c r="D252" s="1276"/>
      <c r="E252" s="1275"/>
      <c r="F252" s="1012"/>
      <c r="G252" s="1281" t="s">
        <v>797</v>
      </c>
      <c r="H252" s="315">
        <f>경영본부!H501</f>
        <v>43099</v>
      </c>
      <c r="I252" s="315">
        <f>경영본부!I501</f>
        <v>12456</v>
      </c>
      <c r="J252" s="1000">
        <f t="shared" si="19"/>
        <v>30643</v>
      </c>
    </row>
    <row r="253" spans="1:10" s="988" customFormat="1" ht="18" customHeight="1">
      <c r="A253" s="1269"/>
      <c r="B253" s="1271"/>
      <c r="C253" s="1273"/>
      <c r="D253" s="1272"/>
      <c r="E253" s="1273"/>
      <c r="F253" s="1299" t="s">
        <v>614</v>
      </c>
      <c r="G253" s="1301"/>
      <c r="H253" s="987">
        <f>경영본부!H511</f>
        <v>1000000</v>
      </c>
      <c r="I253" s="987">
        <f>경영본부!I511</f>
        <v>1100000</v>
      </c>
      <c r="J253" s="1266">
        <f>H253-I253</f>
        <v>-100000</v>
      </c>
    </row>
    <row r="254" spans="1:10" ht="18" customHeight="1">
      <c r="A254" s="748"/>
      <c r="B254" s="402"/>
      <c r="C254" s="1275"/>
      <c r="D254" s="1276"/>
      <c r="E254" s="1275"/>
      <c r="F254" s="1012"/>
      <c r="G254" s="1281" t="s">
        <v>837</v>
      </c>
      <c r="H254" s="315">
        <f>경영본부!H511</f>
        <v>1000000</v>
      </c>
      <c r="I254" s="315">
        <f>경영본부!I511</f>
        <v>1100000</v>
      </c>
      <c r="J254" s="1000">
        <f>H254-I254</f>
        <v>-100000</v>
      </c>
    </row>
    <row r="255" spans="1:10" s="988" customFormat="1" ht="18" customHeight="1">
      <c r="A255" s="1269"/>
      <c r="B255" s="1271"/>
      <c r="C255" s="1273"/>
      <c r="D255" s="1272"/>
      <c r="E255" s="1273"/>
      <c r="F255" s="1299" t="s">
        <v>615</v>
      </c>
      <c r="G255" s="1301"/>
      <c r="H255" s="986">
        <f>경영본부!H513</f>
        <v>771533</v>
      </c>
      <c r="I255" s="986">
        <f>경영본부!I513</f>
        <v>578665</v>
      </c>
      <c r="J255" s="1266">
        <f>H255-I255</f>
        <v>192868</v>
      </c>
    </row>
    <row r="256" spans="1:10" s="988" customFormat="1" ht="18" customHeight="1">
      <c r="A256" s="1269"/>
      <c r="B256" s="1271"/>
      <c r="C256" s="1273"/>
      <c r="D256" s="1272"/>
      <c r="E256" s="1273"/>
      <c r="F256" s="3082"/>
      <c r="G256" s="3083" t="s">
        <v>2538</v>
      </c>
      <c r="H256" s="309">
        <f>경영본부!H514</f>
        <v>579733</v>
      </c>
      <c r="I256" s="309">
        <f>경영본부!I514</f>
        <v>578665</v>
      </c>
      <c r="J256" s="1000">
        <f>H256-I256</f>
        <v>1068</v>
      </c>
    </row>
    <row r="257" spans="1:10" ht="18" customHeight="1" thickBot="1">
      <c r="A257" s="748"/>
      <c r="B257" s="402"/>
      <c r="C257" s="1275"/>
      <c r="D257" s="1276"/>
      <c r="E257" s="1286"/>
      <c r="F257" s="1287"/>
      <c r="G257" s="1288" t="s">
        <v>2539</v>
      </c>
      <c r="H257" s="309">
        <f>경영본부!H517</f>
        <v>191800</v>
      </c>
      <c r="I257" s="309">
        <f>경영본부!I517</f>
        <v>0</v>
      </c>
      <c r="J257" s="1000">
        <f>H257-I257</f>
        <v>191800</v>
      </c>
    </row>
    <row r="258" spans="1:10" s="988" customFormat="1" ht="18" customHeight="1">
      <c r="A258" s="1298" t="s">
        <v>205</v>
      </c>
      <c r="B258" s="1013"/>
      <c r="C258" s="1013"/>
      <c r="D258" s="1013"/>
      <c r="E258" s="1013"/>
      <c r="F258" s="1013"/>
      <c r="G258" s="1014"/>
      <c r="H258" s="989">
        <f>H259</f>
        <v>1609990</v>
      </c>
      <c r="I258" s="989">
        <f>I259</f>
        <v>3456806</v>
      </c>
      <c r="J258" s="994">
        <f t="shared" si="10"/>
        <v>-1846816</v>
      </c>
    </row>
    <row r="259" spans="1:10" s="988" customFormat="1" ht="18" customHeight="1">
      <c r="A259" s="1268"/>
      <c r="B259" s="1299" t="s">
        <v>902</v>
      </c>
      <c r="C259" s="1300"/>
      <c r="D259" s="1300"/>
      <c r="E259" s="1300"/>
      <c r="F259" s="1300"/>
      <c r="G259" s="1301"/>
      <c r="H259" s="985">
        <f>H260+H273+H286+H308</f>
        <v>1609990</v>
      </c>
      <c r="I259" s="985">
        <f>I260+I273+I286+I308</f>
        <v>3456806</v>
      </c>
      <c r="J259" s="995">
        <f t="shared" si="10"/>
        <v>-1846816</v>
      </c>
    </row>
    <row r="260" spans="1:10" s="988" customFormat="1" ht="18" customHeight="1">
      <c r="A260" s="1269"/>
      <c r="B260" s="1270"/>
      <c r="C260" s="1292" t="s">
        <v>906</v>
      </c>
      <c r="D260" s="1293"/>
      <c r="E260" s="1293"/>
      <c r="F260" s="1293"/>
      <c r="G260" s="1294"/>
      <c r="H260" s="990">
        <f>H261+H265+H269</f>
        <v>166750</v>
      </c>
      <c r="I260" s="990">
        <f>I261+I265+I269</f>
        <v>127500</v>
      </c>
      <c r="J260" s="996">
        <f t="shared" si="10"/>
        <v>39250</v>
      </c>
    </row>
    <row r="261" spans="1:10" s="988" customFormat="1" ht="18" customHeight="1">
      <c r="A261" s="1269"/>
      <c r="B261" s="1271"/>
      <c r="C261" s="1272"/>
      <c r="D261" s="1299" t="s">
        <v>910</v>
      </c>
      <c r="E261" s="1300"/>
      <c r="F261" s="1300"/>
      <c r="G261" s="1301"/>
      <c r="H261" s="986">
        <f t="shared" ref="H261:I262" si="20">H262</f>
        <v>150000</v>
      </c>
      <c r="I261" s="986">
        <f t="shared" si="20"/>
        <v>127500</v>
      </c>
      <c r="J261" s="995">
        <f t="shared" si="10"/>
        <v>22500</v>
      </c>
    </row>
    <row r="262" spans="1:10" s="988" customFormat="1" ht="18" customHeight="1">
      <c r="A262" s="1269"/>
      <c r="B262" s="1271"/>
      <c r="C262" s="1273"/>
      <c r="D262" s="1274"/>
      <c r="E262" s="1299" t="s">
        <v>605</v>
      </c>
      <c r="F262" s="1300"/>
      <c r="G262" s="1301"/>
      <c r="H262" s="987">
        <f t="shared" si="20"/>
        <v>150000</v>
      </c>
      <c r="I262" s="987">
        <f t="shared" si="20"/>
        <v>127500</v>
      </c>
      <c r="J262" s="995">
        <f t="shared" si="10"/>
        <v>22500</v>
      </c>
    </row>
    <row r="263" spans="1:10" s="988" customFormat="1" ht="18" customHeight="1">
      <c r="A263" s="1269"/>
      <c r="B263" s="1271"/>
      <c r="C263" s="1273"/>
      <c r="D263" s="1272"/>
      <c r="E263" s="1274"/>
      <c r="F263" s="1299" t="s">
        <v>617</v>
      </c>
      <c r="G263" s="1301"/>
      <c r="H263" s="987">
        <f>교통휴양시설부!H285</f>
        <v>150000</v>
      </c>
      <c r="I263" s="987">
        <f>교통휴양시설부!I285</f>
        <v>127500</v>
      </c>
      <c r="J263" s="995">
        <f t="shared" si="10"/>
        <v>22500</v>
      </c>
    </row>
    <row r="264" spans="1:10" ht="18" customHeight="1">
      <c r="A264" s="748"/>
      <c r="B264" s="402"/>
      <c r="C264" s="1276"/>
      <c r="D264" s="1279"/>
      <c r="E264" s="1279"/>
      <c r="F264" s="1277"/>
      <c r="G264" s="1281" t="s">
        <v>838</v>
      </c>
      <c r="H264" s="315">
        <f>교통휴양시설부!H286</f>
        <v>150000</v>
      </c>
      <c r="I264" s="315">
        <f>교통휴양시설부!I286</f>
        <v>127500</v>
      </c>
      <c r="J264" s="1000">
        <f>H264-I264</f>
        <v>22500</v>
      </c>
    </row>
    <row r="265" spans="1:10" s="988" customFormat="1" ht="18" customHeight="1">
      <c r="A265" s="1269"/>
      <c r="B265" s="1271"/>
      <c r="C265" s="1272"/>
      <c r="D265" s="1299" t="s">
        <v>912</v>
      </c>
      <c r="E265" s="1300"/>
      <c r="F265" s="1300"/>
      <c r="G265" s="1301"/>
      <c r="H265" s="986">
        <f t="shared" ref="H265:I266" si="21">H266</f>
        <v>1750</v>
      </c>
      <c r="I265" s="986">
        <f t="shared" si="21"/>
        <v>0</v>
      </c>
      <c r="J265" s="995">
        <f t="shared" si="10"/>
        <v>1750</v>
      </c>
    </row>
    <row r="266" spans="1:10" s="988" customFormat="1" ht="18" customHeight="1">
      <c r="A266" s="1269"/>
      <c r="B266" s="1271"/>
      <c r="C266" s="1273"/>
      <c r="D266" s="1274"/>
      <c r="E266" s="1299" t="s">
        <v>606</v>
      </c>
      <c r="F266" s="1300"/>
      <c r="G266" s="1301"/>
      <c r="H266" s="987">
        <f t="shared" si="21"/>
        <v>1750</v>
      </c>
      <c r="I266" s="987">
        <f t="shared" si="21"/>
        <v>0</v>
      </c>
      <c r="J266" s="995">
        <f t="shared" si="10"/>
        <v>1750</v>
      </c>
    </row>
    <row r="267" spans="1:10" s="988" customFormat="1" ht="18" customHeight="1">
      <c r="A267" s="1269"/>
      <c r="B267" s="1271"/>
      <c r="C267" s="1273"/>
      <c r="D267" s="1272"/>
      <c r="E267" s="1274"/>
      <c r="F267" s="1299" t="s">
        <v>617</v>
      </c>
      <c r="G267" s="1301"/>
      <c r="H267" s="987">
        <f>교통휴양시설부!H292</f>
        <v>1750</v>
      </c>
      <c r="I267" s="987">
        <f>교통휴양시설부!I292</f>
        <v>0</v>
      </c>
      <c r="J267" s="995">
        <f t="shared" si="10"/>
        <v>1750</v>
      </c>
    </row>
    <row r="268" spans="1:10" ht="18" customHeight="1">
      <c r="A268" s="748"/>
      <c r="B268" s="402"/>
      <c r="C268" s="1276"/>
      <c r="D268" s="1279"/>
      <c r="E268" s="1279"/>
      <c r="F268" s="1012"/>
      <c r="G268" s="1281" t="s">
        <v>838</v>
      </c>
      <c r="H268" s="315">
        <f>교통휴양시설부!H293</f>
        <v>1750</v>
      </c>
      <c r="I268" s="315">
        <f>교통휴양시설부!I293</f>
        <v>0</v>
      </c>
      <c r="J268" s="1000">
        <f>H268-I268</f>
        <v>1750</v>
      </c>
    </row>
    <row r="269" spans="1:10" s="988" customFormat="1" ht="18" customHeight="1">
      <c r="A269" s="1269"/>
      <c r="B269" s="1271"/>
      <c r="C269" s="1272"/>
      <c r="D269" s="1299" t="s">
        <v>1626</v>
      </c>
      <c r="E269" s="1300"/>
      <c r="F269" s="1300"/>
      <c r="G269" s="1301"/>
      <c r="H269" s="986">
        <f t="shared" ref="H269:I270" si="22">H270</f>
        <v>15000</v>
      </c>
      <c r="I269" s="986">
        <f t="shared" si="22"/>
        <v>0</v>
      </c>
      <c r="J269" s="995">
        <f t="shared" ref="J269:J271" si="23">H269-I269</f>
        <v>15000</v>
      </c>
    </row>
    <row r="270" spans="1:10" s="988" customFormat="1" ht="18" customHeight="1">
      <c r="A270" s="1269"/>
      <c r="B270" s="1271"/>
      <c r="C270" s="1273"/>
      <c r="D270" s="1274"/>
      <c r="E270" s="1339" t="s">
        <v>1655</v>
      </c>
      <c r="F270" s="1300"/>
      <c r="G270" s="1301"/>
      <c r="H270" s="987">
        <f t="shared" si="22"/>
        <v>15000</v>
      </c>
      <c r="I270" s="987">
        <f t="shared" si="22"/>
        <v>0</v>
      </c>
      <c r="J270" s="995">
        <f t="shared" si="23"/>
        <v>15000</v>
      </c>
    </row>
    <row r="271" spans="1:10" s="988" customFormat="1" ht="18" customHeight="1">
      <c r="A271" s="1269"/>
      <c r="B271" s="1271"/>
      <c r="C271" s="1273"/>
      <c r="D271" s="1272"/>
      <c r="E271" s="1274"/>
      <c r="F271" s="1299" t="s">
        <v>617</v>
      </c>
      <c r="G271" s="1301"/>
      <c r="H271" s="987">
        <f>교통휴양시설부!H299</f>
        <v>15000</v>
      </c>
      <c r="I271" s="987">
        <f>교통휴양시설부!I299</f>
        <v>0</v>
      </c>
      <c r="J271" s="995">
        <f t="shared" si="23"/>
        <v>15000</v>
      </c>
    </row>
    <row r="272" spans="1:10" ht="18" customHeight="1">
      <c r="A272" s="748"/>
      <c r="B272" s="402"/>
      <c r="C272" s="1276"/>
      <c r="D272" s="1279"/>
      <c r="E272" s="1279"/>
      <c r="F272" s="1819"/>
      <c r="G272" s="1281" t="s">
        <v>271</v>
      </c>
      <c r="H272" s="315">
        <f>교통휴양시설부!H300</f>
        <v>15000</v>
      </c>
      <c r="I272" s="315">
        <f>교통휴양시설부!I300</f>
        <v>0</v>
      </c>
      <c r="J272" s="1000">
        <f>H272-I272</f>
        <v>15000</v>
      </c>
    </row>
    <row r="273" spans="1:10" s="988" customFormat="1" ht="18" customHeight="1">
      <c r="A273" s="1269"/>
      <c r="B273" s="1271"/>
      <c r="C273" s="1295" t="s">
        <v>619</v>
      </c>
      <c r="D273" s="1296"/>
      <c r="E273" s="1296"/>
      <c r="F273" s="1296"/>
      <c r="G273" s="1297"/>
      <c r="H273" s="991">
        <f>H274+H278+H282</f>
        <v>20640</v>
      </c>
      <c r="I273" s="991">
        <f>I274+I278+I282</f>
        <v>25356</v>
      </c>
      <c r="J273" s="999">
        <f t="shared" si="10"/>
        <v>-4716</v>
      </c>
    </row>
    <row r="274" spans="1:10" s="988" customFormat="1" ht="18" customHeight="1">
      <c r="A274" s="1269"/>
      <c r="B274" s="1271"/>
      <c r="C274" s="1272"/>
      <c r="D274" s="1299" t="s">
        <v>907</v>
      </c>
      <c r="E274" s="1300"/>
      <c r="F274" s="1300"/>
      <c r="G274" s="1301"/>
      <c r="H274" s="986">
        <f>H275</f>
        <v>19170</v>
      </c>
      <c r="I274" s="986">
        <f>I275</f>
        <v>3470</v>
      </c>
      <c r="J274" s="995">
        <f t="shared" si="10"/>
        <v>15700</v>
      </c>
    </row>
    <row r="275" spans="1:10" s="988" customFormat="1" ht="18" customHeight="1">
      <c r="A275" s="1269"/>
      <c r="B275" s="1271"/>
      <c r="C275" s="1273"/>
      <c r="D275" s="1274"/>
      <c r="E275" s="1299" t="s">
        <v>607</v>
      </c>
      <c r="F275" s="1300"/>
      <c r="G275" s="1301"/>
      <c r="H275" s="987">
        <f>H276</f>
        <v>19170</v>
      </c>
      <c r="I275" s="987">
        <f>I276</f>
        <v>3470</v>
      </c>
      <c r="J275" s="995">
        <f t="shared" si="10"/>
        <v>15700</v>
      </c>
    </row>
    <row r="276" spans="1:10" s="988" customFormat="1" ht="18" customHeight="1">
      <c r="A276" s="1269"/>
      <c r="B276" s="1271"/>
      <c r="C276" s="1273"/>
      <c r="D276" s="1272"/>
      <c r="E276" s="1274"/>
      <c r="F276" s="1299" t="s">
        <v>617</v>
      </c>
      <c r="G276" s="1301"/>
      <c r="H276" s="987">
        <f>체육시설부!H311</f>
        <v>19170</v>
      </c>
      <c r="I276" s="987">
        <f>체육시설부!I311</f>
        <v>3470</v>
      </c>
      <c r="J276" s="995">
        <f t="shared" si="10"/>
        <v>15700</v>
      </c>
    </row>
    <row r="277" spans="1:10" ht="18" customHeight="1">
      <c r="A277" s="748"/>
      <c r="B277" s="402"/>
      <c r="C277" s="1275"/>
      <c r="D277" s="1276"/>
      <c r="E277" s="1279"/>
      <c r="F277" s="1012"/>
      <c r="G277" s="1281" t="s">
        <v>838</v>
      </c>
      <c r="H277" s="315">
        <f>체육시설부!H312</f>
        <v>19170</v>
      </c>
      <c r="I277" s="315">
        <f>체육시설부!I312</f>
        <v>3470</v>
      </c>
      <c r="J277" s="1000">
        <f>H277-I277</f>
        <v>15700</v>
      </c>
    </row>
    <row r="278" spans="1:10" s="988" customFormat="1" ht="18" customHeight="1">
      <c r="A278" s="1269"/>
      <c r="B278" s="1271"/>
      <c r="C278" s="1272"/>
      <c r="D278" s="1299" t="s">
        <v>908</v>
      </c>
      <c r="E278" s="1300"/>
      <c r="F278" s="1300"/>
      <c r="G278" s="1301"/>
      <c r="H278" s="986">
        <f>H279</f>
        <v>1470</v>
      </c>
      <c r="I278" s="986">
        <f>I279</f>
        <v>21886</v>
      </c>
      <c r="J278" s="995">
        <f t="shared" ref="J278" si="24">H278-I278</f>
        <v>-20416</v>
      </c>
    </row>
    <row r="279" spans="1:10" s="988" customFormat="1" ht="18" customHeight="1">
      <c r="A279" s="1269"/>
      <c r="B279" s="1271"/>
      <c r="C279" s="1273"/>
      <c r="D279" s="1273"/>
      <c r="E279" s="1299" t="s">
        <v>608</v>
      </c>
      <c r="F279" s="1300"/>
      <c r="G279" s="1301"/>
      <c r="H279" s="987">
        <f>H280</f>
        <v>1470</v>
      </c>
      <c r="I279" s="987">
        <f>I280</f>
        <v>21886</v>
      </c>
      <c r="J279" s="995">
        <f t="shared" si="10"/>
        <v>-20416</v>
      </c>
    </row>
    <row r="280" spans="1:10" s="988" customFormat="1" ht="18" customHeight="1">
      <c r="A280" s="1269"/>
      <c r="B280" s="1271"/>
      <c r="C280" s="1273"/>
      <c r="D280" s="1272"/>
      <c r="E280" s="1274"/>
      <c r="F280" s="1299" t="s">
        <v>617</v>
      </c>
      <c r="G280" s="1301"/>
      <c r="H280" s="987">
        <f>체육시설부!H321</f>
        <v>1470</v>
      </c>
      <c r="I280" s="987">
        <f>체육시설부!I321</f>
        <v>21886</v>
      </c>
      <c r="J280" s="995">
        <f t="shared" si="10"/>
        <v>-20416</v>
      </c>
    </row>
    <row r="281" spans="1:10" ht="18" customHeight="1">
      <c r="A281" s="748"/>
      <c r="B281" s="402"/>
      <c r="C281" s="1275"/>
      <c r="D281" s="1276"/>
      <c r="E281" s="1279"/>
      <c r="F281" s="1012"/>
      <c r="G281" s="1281" t="s">
        <v>838</v>
      </c>
      <c r="H281" s="315">
        <f>체육시설부!H322</f>
        <v>1470</v>
      </c>
      <c r="I281" s="315">
        <f>체육시설부!I322</f>
        <v>21886</v>
      </c>
      <c r="J281" s="1000">
        <f>H281-I281</f>
        <v>-20416</v>
      </c>
    </row>
    <row r="282" spans="1:10" s="988" customFormat="1" ht="18" customHeight="1">
      <c r="A282" s="1269"/>
      <c r="B282" s="1271"/>
      <c r="C282" s="1272"/>
      <c r="D282" s="1299" t="s">
        <v>995</v>
      </c>
      <c r="E282" s="1300"/>
      <c r="F282" s="1300"/>
      <c r="G282" s="1301"/>
      <c r="H282" s="986">
        <f>H283</f>
        <v>0</v>
      </c>
      <c r="I282" s="986">
        <f>I283</f>
        <v>0</v>
      </c>
      <c r="J282" s="995">
        <f t="shared" ref="J282" si="25">H282-I282</f>
        <v>0</v>
      </c>
    </row>
    <row r="283" spans="1:10" s="988" customFormat="1" ht="18" customHeight="1">
      <c r="A283" s="1269"/>
      <c r="B283" s="1271"/>
      <c r="C283" s="1273"/>
      <c r="D283" s="1273"/>
      <c r="E283" s="1299" t="s">
        <v>609</v>
      </c>
      <c r="F283" s="1300"/>
      <c r="G283" s="1301"/>
      <c r="H283" s="987">
        <f>H284</f>
        <v>0</v>
      </c>
      <c r="I283" s="987">
        <f>I284</f>
        <v>0</v>
      </c>
      <c r="J283" s="995">
        <f t="shared" si="10"/>
        <v>0</v>
      </c>
    </row>
    <row r="284" spans="1:10" s="988" customFormat="1" ht="18" customHeight="1">
      <c r="A284" s="1269"/>
      <c r="B284" s="1271"/>
      <c r="C284" s="1273"/>
      <c r="D284" s="1272"/>
      <c r="E284" s="1274"/>
      <c r="F284" s="1299" t="s">
        <v>617</v>
      </c>
      <c r="G284" s="1301"/>
      <c r="H284" s="986">
        <f>체육시설부!H328</f>
        <v>0</v>
      </c>
      <c r="I284" s="986">
        <f>체육시설부!I328</f>
        <v>0</v>
      </c>
      <c r="J284" s="995">
        <f t="shared" si="10"/>
        <v>0</v>
      </c>
    </row>
    <row r="285" spans="1:10" ht="18" customHeight="1">
      <c r="A285" s="748"/>
      <c r="B285" s="402"/>
      <c r="C285" s="1279"/>
      <c r="D285" s="1279"/>
      <c r="E285" s="1279"/>
      <c r="F285" s="1012"/>
      <c r="G285" s="1281" t="s">
        <v>838</v>
      </c>
      <c r="H285" s="309">
        <f>체육시설부!H329</f>
        <v>0</v>
      </c>
      <c r="I285" s="309">
        <f>체육시설부!I329</f>
        <v>0</v>
      </c>
      <c r="J285" s="1000">
        <f>H285-I285</f>
        <v>0</v>
      </c>
    </row>
    <row r="286" spans="1:10" s="988" customFormat="1" ht="18" customHeight="1">
      <c r="A286" s="1269"/>
      <c r="B286" s="1271"/>
      <c r="C286" s="1311" t="s">
        <v>590</v>
      </c>
      <c r="D286" s="1312"/>
      <c r="E286" s="1312"/>
      <c r="F286" s="1312"/>
      <c r="G286" s="1313"/>
      <c r="H286" s="992">
        <f>H287+H294+H298</f>
        <v>914600</v>
      </c>
      <c r="I286" s="992">
        <f>I287+I294+I298</f>
        <v>2771554</v>
      </c>
      <c r="J286" s="1001">
        <f t="shared" si="10"/>
        <v>-1856954</v>
      </c>
    </row>
    <row r="287" spans="1:10" s="988" customFormat="1" ht="18" customHeight="1">
      <c r="A287" s="1269"/>
      <c r="B287" s="1271"/>
      <c r="C287" s="1272"/>
      <c r="D287" s="1299" t="s">
        <v>913</v>
      </c>
      <c r="E287" s="1300"/>
      <c r="F287" s="1300"/>
      <c r="G287" s="1301"/>
      <c r="H287" s="986">
        <f>H288+H291</f>
        <v>707000</v>
      </c>
      <c r="I287" s="986">
        <f>I288+I291</f>
        <v>665113</v>
      </c>
      <c r="J287" s="995">
        <f t="shared" si="10"/>
        <v>41887</v>
      </c>
    </row>
    <row r="288" spans="1:10" s="988" customFormat="1" ht="18" customHeight="1">
      <c r="A288" s="1269"/>
      <c r="B288" s="1271"/>
      <c r="C288" s="1273"/>
      <c r="D288" s="1274"/>
      <c r="E288" s="1299" t="s">
        <v>610</v>
      </c>
      <c r="F288" s="1300"/>
      <c r="G288" s="1301"/>
      <c r="H288" s="987">
        <f>H289</f>
        <v>707000</v>
      </c>
      <c r="I288" s="987">
        <f>I289</f>
        <v>635000</v>
      </c>
      <c r="J288" s="995">
        <f t="shared" si="10"/>
        <v>72000</v>
      </c>
    </row>
    <row r="289" spans="1:10" s="988" customFormat="1" ht="18" customHeight="1">
      <c r="A289" s="1269"/>
      <c r="B289" s="1271"/>
      <c r="C289" s="1273"/>
      <c r="D289" s="1272"/>
      <c r="E289" s="1274"/>
      <c r="F289" s="1299" t="s">
        <v>617</v>
      </c>
      <c r="G289" s="1301"/>
      <c r="H289" s="987">
        <f>도시미화부!H243</f>
        <v>707000</v>
      </c>
      <c r="I289" s="987">
        <f>도시미화부!I243</f>
        <v>635000</v>
      </c>
      <c r="J289" s="995">
        <f t="shared" si="10"/>
        <v>72000</v>
      </c>
    </row>
    <row r="290" spans="1:10" ht="18" customHeight="1">
      <c r="A290" s="748"/>
      <c r="B290" s="402"/>
      <c r="C290" s="1275"/>
      <c r="D290" s="1276"/>
      <c r="E290" s="1279"/>
      <c r="F290" s="1012"/>
      <c r="G290" s="1281" t="s">
        <v>838</v>
      </c>
      <c r="H290" s="315">
        <f>도시미화부!H244</f>
        <v>707000</v>
      </c>
      <c r="I290" s="315">
        <f>도시미화부!I244</f>
        <v>635000</v>
      </c>
      <c r="J290" s="997"/>
    </row>
    <row r="291" spans="1:10" s="988" customFormat="1" ht="18" customHeight="1">
      <c r="A291" s="1269"/>
      <c r="B291" s="1271"/>
      <c r="C291" s="1273"/>
      <c r="D291" s="1272"/>
      <c r="E291" s="1299" t="s">
        <v>611</v>
      </c>
      <c r="F291" s="1300"/>
      <c r="G291" s="1301"/>
      <c r="H291" s="987">
        <f>H292</f>
        <v>0</v>
      </c>
      <c r="I291" s="987">
        <f>I292</f>
        <v>30113</v>
      </c>
      <c r="J291" s="995">
        <f t="shared" si="10"/>
        <v>-30113</v>
      </c>
    </row>
    <row r="292" spans="1:10" s="988" customFormat="1" ht="18" customHeight="1">
      <c r="A292" s="1269"/>
      <c r="B292" s="1271"/>
      <c r="C292" s="1273"/>
      <c r="D292" s="1273"/>
      <c r="E292" s="1283"/>
      <c r="F292" s="1299" t="s">
        <v>617</v>
      </c>
      <c r="G292" s="1301"/>
      <c r="H292" s="987">
        <f>도시미화부!H251</f>
        <v>0</v>
      </c>
      <c r="I292" s="987">
        <f>도시미화부!I251</f>
        <v>30113</v>
      </c>
      <c r="J292" s="995">
        <f t="shared" si="10"/>
        <v>-30113</v>
      </c>
    </row>
    <row r="293" spans="1:10" ht="18" customHeight="1">
      <c r="A293" s="748"/>
      <c r="B293" s="402"/>
      <c r="C293" s="1275"/>
      <c r="D293" s="1276"/>
      <c r="E293" s="1279"/>
      <c r="F293" s="1012"/>
      <c r="G293" s="1281" t="s">
        <v>838</v>
      </c>
      <c r="H293" s="315">
        <f>도시미화부!H252</f>
        <v>0</v>
      </c>
      <c r="I293" s="315">
        <f>도시미화부!I252</f>
        <v>30113</v>
      </c>
      <c r="J293" s="997"/>
    </row>
    <row r="294" spans="1:10" s="988" customFormat="1" ht="18" customHeight="1">
      <c r="A294" s="1269"/>
      <c r="B294" s="1271"/>
      <c r="C294" s="1272"/>
      <c r="D294" s="1299" t="s">
        <v>916</v>
      </c>
      <c r="E294" s="1300"/>
      <c r="F294" s="1300"/>
      <c r="G294" s="1301"/>
      <c r="H294" s="986">
        <f>H295</f>
        <v>0</v>
      </c>
      <c r="I294" s="986">
        <f>I295</f>
        <v>0</v>
      </c>
      <c r="J294" s="995">
        <f t="shared" ref="J294" si="26">H294-I294</f>
        <v>0</v>
      </c>
    </row>
    <row r="295" spans="1:10" s="988" customFormat="1" ht="18" customHeight="1">
      <c r="A295" s="1269"/>
      <c r="B295" s="1271"/>
      <c r="C295" s="1273"/>
      <c r="D295" s="1272"/>
      <c r="E295" s="1299" t="s">
        <v>781</v>
      </c>
      <c r="F295" s="1300"/>
      <c r="G295" s="1301"/>
      <c r="H295" s="987">
        <f>H296</f>
        <v>0</v>
      </c>
      <c r="I295" s="987">
        <f>I296</f>
        <v>0</v>
      </c>
      <c r="J295" s="995">
        <f t="shared" ref="J295:J296" si="27">H295-I295</f>
        <v>0</v>
      </c>
    </row>
    <row r="296" spans="1:10" s="988" customFormat="1" ht="18" customHeight="1">
      <c r="A296" s="1269"/>
      <c r="B296" s="1271"/>
      <c r="C296" s="1273"/>
      <c r="D296" s="1273"/>
      <c r="E296" s="1283"/>
      <c r="F296" s="1299" t="s">
        <v>617</v>
      </c>
      <c r="G296" s="1301"/>
      <c r="H296" s="987">
        <f>도시미화부!H257</f>
        <v>0</v>
      </c>
      <c r="I296" s="987">
        <f>도시미화부!I257</f>
        <v>0</v>
      </c>
      <c r="J296" s="995">
        <f t="shared" si="27"/>
        <v>0</v>
      </c>
    </row>
    <row r="297" spans="1:10" ht="18" customHeight="1">
      <c r="A297" s="748"/>
      <c r="B297" s="402"/>
      <c r="C297" s="1275"/>
      <c r="D297" s="1275"/>
      <c r="E297" s="1279"/>
      <c r="F297" s="1012"/>
      <c r="G297" s="1281" t="s">
        <v>838</v>
      </c>
      <c r="H297" s="315">
        <f>도시미화부!H258</f>
        <v>0</v>
      </c>
      <c r="I297" s="315">
        <f>도시미화부!I258</f>
        <v>0</v>
      </c>
      <c r="J297" s="1000">
        <f>H297-I297</f>
        <v>0</v>
      </c>
    </row>
    <row r="298" spans="1:10" s="988" customFormat="1" ht="18" customHeight="1">
      <c r="A298" s="1269"/>
      <c r="B298" s="1271"/>
      <c r="C298" s="1272"/>
      <c r="D298" s="1299" t="s">
        <v>915</v>
      </c>
      <c r="E298" s="1300"/>
      <c r="F298" s="1300"/>
      <c r="G298" s="1301"/>
      <c r="H298" s="986">
        <f>H299+H302+H305</f>
        <v>207600</v>
      </c>
      <c r="I298" s="986">
        <f>I299+I302+I305</f>
        <v>2106441</v>
      </c>
      <c r="J298" s="995">
        <f t="shared" ref="J298:J300" si="28">H298-I298</f>
        <v>-1898841</v>
      </c>
    </row>
    <row r="299" spans="1:10" s="988" customFormat="1" ht="18" customHeight="1">
      <c r="A299" s="1269"/>
      <c r="B299" s="1271"/>
      <c r="C299" s="1273"/>
      <c r="D299" s="1273"/>
      <c r="E299" s="1299" t="s">
        <v>2475</v>
      </c>
      <c r="F299" s="1300"/>
      <c r="G299" s="1301"/>
      <c r="H299" s="987">
        <f>환경자원사업소!H180</f>
        <v>0</v>
      </c>
      <c r="I299" s="987">
        <f>환경자원사업소!I180</f>
        <v>2090839</v>
      </c>
      <c r="J299" s="995">
        <f t="shared" si="28"/>
        <v>-2090839</v>
      </c>
    </row>
    <row r="300" spans="1:10" s="988" customFormat="1" ht="18" customHeight="1">
      <c r="A300" s="1269"/>
      <c r="B300" s="1271"/>
      <c r="C300" s="1273"/>
      <c r="D300" s="1272"/>
      <c r="E300" s="1274"/>
      <c r="F300" s="1299" t="s">
        <v>901</v>
      </c>
      <c r="G300" s="1301"/>
      <c r="H300" s="987">
        <f>환경자원사업소!H182</f>
        <v>0</v>
      </c>
      <c r="I300" s="987">
        <f>환경자원사업소!I182</f>
        <v>2090839</v>
      </c>
      <c r="J300" s="995">
        <f t="shared" si="28"/>
        <v>-2090839</v>
      </c>
    </row>
    <row r="301" spans="1:10" ht="18" customHeight="1">
      <c r="A301" s="748"/>
      <c r="B301" s="402"/>
      <c r="C301" s="1275"/>
      <c r="D301" s="1276"/>
      <c r="E301" s="1279"/>
      <c r="F301" s="2721"/>
      <c r="G301" s="1281" t="s">
        <v>839</v>
      </c>
      <c r="H301" s="315">
        <f>환경자원사업소!H183</f>
        <v>0</v>
      </c>
      <c r="I301" s="315">
        <f>환경자원사업소!I183</f>
        <v>2090839</v>
      </c>
      <c r="J301" s="1000">
        <f>H301-I301</f>
        <v>-2090839</v>
      </c>
    </row>
    <row r="302" spans="1:10" s="988" customFormat="1" ht="18" customHeight="1">
      <c r="A302" s="1269"/>
      <c r="B302" s="1271"/>
      <c r="C302" s="1273"/>
      <c r="D302" s="1273"/>
      <c r="E302" s="1299" t="s">
        <v>2476</v>
      </c>
      <c r="F302" s="1300"/>
      <c r="G302" s="1301"/>
      <c r="H302" s="987">
        <f>H303</f>
        <v>150000</v>
      </c>
      <c r="I302" s="987">
        <f>I303</f>
        <v>0</v>
      </c>
      <c r="J302" s="995">
        <f t="shared" si="10"/>
        <v>150000</v>
      </c>
    </row>
    <row r="303" spans="1:10" s="988" customFormat="1" ht="18" customHeight="1">
      <c r="A303" s="1269"/>
      <c r="B303" s="1271"/>
      <c r="C303" s="1273"/>
      <c r="D303" s="1272"/>
      <c r="E303" s="1274"/>
      <c r="F303" s="1299" t="s">
        <v>901</v>
      </c>
      <c r="G303" s="1301"/>
      <c r="H303" s="987">
        <f>환경자원사업소!H188</f>
        <v>150000</v>
      </c>
      <c r="I303" s="987">
        <f>환경자원사업소!I188</f>
        <v>0</v>
      </c>
      <c r="J303" s="995">
        <f t="shared" si="10"/>
        <v>150000</v>
      </c>
    </row>
    <row r="304" spans="1:10" ht="18" customHeight="1">
      <c r="A304" s="748"/>
      <c r="B304" s="402"/>
      <c r="C304" s="1275"/>
      <c r="D304" s="1276"/>
      <c r="E304" s="1279"/>
      <c r="F304" s="1012"/>
      <c r="G304" s="1281" t="s">
        <v>839</v>
      </c>
      <c r="H304" s="315">
        <f>환경자원사업소!H189</f>
        <v>150000</v>
      </c>
      <c r="I304" s="315">
        <f>환경자원사업소!I189</f>
        <v>0</v>
      </c>
      <c r="J304" s="1000">
        <f>H304-I304</f>
        <v>150000</v>
      </c>
    </row>
    <row r="305" spans="1:10" s="988" customFormat="1" ht="18" customHeight="1">
      <c r="A305" s="1269"/>
      <c r="B305" s="1271"/>
      <c r="C305" s="1273"/>
      <c r="D305" s="1272"/>
      <c r="E305" s="1299" t="s">
        <v>612</v>
      </c>
      <c r="F305" s="1300"/>
      <c r="G305" s="1301"/>
      <c r="H305" s="987">
        <f>H306</f>
        <v>57600</v>
      </c>
      <c r="I305" s="987">
        <f>I306</f>
        <v>15602</v>
      </c>
      <c r="J305" s="995">
        <f t="shared" si="10"/>
        <v>41998</v>
      </c>
    </row>
    <row r="306" spans="1:10" s="988" customFormat="1" ht="18" customHeight="1">
      <c r="A306" s="1269"/>
      <c r="B306" s="1271"/>
      <c r="C306" s="1273"/>
      <c r="D306" s="1272"/>
      <c r="E306" s="1274"/>
      <c r="F306" s="1299" t="s">
        <v>617</v>
      </c>
      <c r="G306" s="1301"/>
      <c r="H306" s="986">
        <f>환경자원사업소!H194</f>
        <v>57600</v>
      </c>
      <c r="I306" s="986">
        <f>환경자원사업소!I194</f>
        <v>15602</v>
      </c>
      <c r="J306" s="995">
        <f t="shared" si="10"/>
        <v>41998</v>
      </c>
    </row>
    <row r="307" spans="1:10" ht="18" customHeight="1">
      <c r="A307" s="748"/>
      <c r="B307" s="402"/>
      <c r="C307" s="1279"/>
      <c r="D307" s="1279"/>
      <c r="E307" s="1279"/>
      <c r="F307" s="1012"/>
      <c r="G307" s="1281" t="s">
        <v>838</v>
      </c>
      <c r="H307" s="309">
        <f>환경자원사업소!H195</f>
        <v>57600</v>
      </c>
      <c r="I307" s="309">
        <f>환경자원사업소!I195</f>
        <v>15602</v>
      </c>
      <c r="J307" s="1000">
        <f>H307-I307</f>
        <v>41998</v>
      </c>
    </row>
    <row r="308" spans="1:10" s="988" customFormat="1" ht="18" customHeight="1">
      <c r="A308" s="1269"/>
      <c r="B308" s="1271"/>
      <c r="C308" s="1308" t="s">
        <v>594</v>
      </c>
      <c r="D308" s="1309"/>
      <c r="E308" s="1309"/>
      <c r="F308" s="1309"/>
      <c r="G308" s="1310"/>
      <c r="H308" s="993">
        <f>H309+H313</f>
        <v>508000</v>
      </c>
      <c r="I308" s="993">
        <f>I309+I313</f>
        <v>532396</v>
      </c>
      <c r="J308" s="1002">
        <f t="shared" si="10"/>
        <v>-24396</v>
      </c>
    </row>
    <row r="309" spans="1:10" s="988" customFormat="1" ht="18" customHeight="1">
      <c r="A309" s="1269"/>
      <c r="B309" s="1271"/>
      <c r="C309" s="1274"/>
      <c r="D309" s="1299" t="s">
        <v>595</v>
      </c>
      <c r="E309" s="1300"/>
      <c r="F309" s="1300"/>
      <c r="G309" s="1301"/>
      <c r="H309" s="986">
        <f>H310</f>
        <v>8000</v>
      </c>
      <c r="I309" s="986">
        <f>I310</f>
        <v>32396</v>
      </c>
      <c r="J309" s="995">
        <f t="shared" ref="J309:J310" si="29">H309-I309</f>
        <v>-24396</v>
      </c>
    </row>
    <row r="310" spans="1:10" s="988" customFormat="1" ht="18" customHeight="1">
      <c r="A310" s="1269"/>
      <c r="B310" s="1271"/>
      <c r="C310" s="1273"/>
      <c r="D310" s="1274"/>
      <c r="E310" s="1299" t="s">
        <v>604</v>
      </c>
      <c r="F310" s="1300"/>
      <c r="G310" s="1301"/>
      <c r="H310" s="987">
        <f>경영본부!H522</f>
        <v>8000</v>
      </c>
      <c r="I310" s="987">
        <f>경영본부!I522</f>
        <v>32396</v>
      </c>
      <c r="J310" s="995">
        <f t="shared" si="29"/>
        <v>-24396</v>
      </c>
    </row>
    <row r="311" spans="1:10" s="988" customFormat="1" ht="18" customHeight="1">
      <c r="A311" s="1284"/>
      <c r="B311" s="1271"/>
      <c r="C311" s="1273"/>
      <c r="D311" s="1273"/>
      <c r="E311" s="1274"/>
      <c r="F311" s="1299" t="s">
        <v>617</v>
      </c>
      <c r="G311" s="1301"/>
      <c r="H311" s="986">
        <f>경영본부!H524</f>
        <v>8000</v>
      </c>
      <c r="I311" s="986">
        <f>경영본부!I524</f>
        <v>32396</v>
      </c>
      <c r="J311" s="995">
        <f t="shared" ref="J311:J314" si="30">H311-I311</f>
        <v>-24396</v>
      </c>
    </row>
    <row r="312" spans="1:10" ht="18" customHeight="1">
      <c r="A312" s="1285"/>
      <c r="B312" s="402"/>
      <c r="C312" s="1276"/>
      <c r="D312" s="1279"/>
      <c r="E312" s="1279"/>
      <c r="F312" s="1012"/>
      <c r="G312" s="1012" t="s">
        <v>838</v>
      </c>
      <c r="H312" s="309">
        <f>경영본부!H525</f>
        <v>8000</v>
      </c>
      <c r="I312" s="309">
        <f>경영본부!I525</f>
        <v>32396</v>
      </c>
      <c r="J312" s="1265">
        <f>H312-I312</f>
        <v>-24396</v>
      </c>
    </row>
    <row r="313" spans="1:10" s="988" customFormat="1" ht="18" customHeight="1">
      <c r="A313" s="1269"/>
      <c r="B313" s="1271"/>
      <c r="C313" s="1273"/>
      <c r="D313" s="1299" t="s">
        <v>229</v>
      </c>
      <c r="E313" s="1300"/>
      <c r="F313" s="1300"/>
      <c r="G313" s="1301"/>
      <c r="H313" s="986">
        <f>경영본부!H529</f>
        <v>500000</v>
      </c>
      <c r="I313" s="986">
        <f>경영본부!I529</f>
        <v>500000</v>
      </c>
      <c r="J313" s="995">
        <f t="shared" si="30"/>
        <v>0</v>
      </c>
    </row>
    <row r="314" spans="1:10" s="988" customFormat="1" ht="18" customHeight="1">
      <c r="A314" s="1269"/>
      <c r="B314" s="1271"/>
      <c r="C314" s="1273"/>
      <c r="D314" s="1274"/>
      <c r="E314" s="1299" t="s">
        <v>919</v>
      </c>
      <c r="F314" s="1300"/>
      <c r="G314" s="1301"/>
      <c r="H314" s="987">
        <f>경영본부!H530</f>
        <v>500000</v>
      </c>
      <c r="I314" s="987">
        <f>경영본부!I530</f>
        <v>500000</v>
      </c>
      <c r="J314" s="995">
        <f t="shared" si="30"/>
        <v>0</v>
      </c>
    </row>
    <row r="315" spans="1:10" s="988" customFormat="1" ht="18" customHeight="1">
      <c r="A315" s="1284"/>
      <c r="B315" s="1271"/>
      <c r="C315" s="1273"/>
      <c r="D315" s="1273"/>
      <c r="E315" s="1274"/>
      <c r="F315" s="1299" t="s">
        <v>787</v>
      </c>
      <c r="G315" s="1301"/>
      <c r="H315" s="987">
        <f>경영본부!H531</f>
        <v>500000</v>
      </c>
      <c r="I315" s="987">
        <f>경영본부!I531</f>
        <v>500000</v>
      </c>
      <c r="J315" s="1003">
        <f>H315-I315</f>
        <v>0</v>
      </c>
    </row>
    <row r="316" spans="1:10" ht="18" customHeight="1" thickBot="1">
      <c r="A316" s="1289"/>
      <c r="B316" s="463"/>
      <c r="C316" s="1286"/>
      <c r="D316" s="1286"/>
      <c r="E316" s="1286"/>
      <c r="F316" s="1290"/>
      <c r="G316" s="1290" t="s">
        <v>840</v>
      </c>
      <c r="H316" s="753">
        <f>경영본부!H532</f>
        <v>500000</v>
      </c>
      <c r="I316" s="753">
        <f>경영본부!I532</f>
        <v>500000</v>
      </c>
      <c r="J316" s="1004">
        <f>H316-I316</f>
        <v>0</v>
      </c>
    </row>
  </sheetData>
  <autoFilter ref="A4:M316" xr:uid="{D6280F33-4576-40FB-B5B1-26A1BEA06E2C}"/>
  <mergeCells count="5">
    <mergeCell ref="H3:H4"/>
    <mergeCell ref="I3:I4"/>
    <mergeCell ref="J3:J4"/>
    <mergeCell ref="A3:G3"/>
    <mergeCell ref="A5:G5"/>
  </mergeCells>
  <phoneticPr fontId="15" type="noConversion"/>
  <pageMargins left="0.94488188976377963" right="0.78740157480314965" top="0.6692913385826772" bottom="0.98425196850393704" header="0.51181102362204722" footer="0.51181102362204722"/>
  <pageSetup paperSize="9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BD54-7F09-47DB-9E8E-9280F3D9AE2A}">
  <sheetPr>
    <tabColor rgb="FFFF0000"/>
  </sheetPr>
  <dimension ref="A1:WWA540"/>
  <sheetViews>
    <sheetView topLeftCell="B508" zoomScaleNormal="100" workbookViewId="0">
      <selection activeCell="J12" sqref="J12"/>
    </sheetView>
  </sheetViews>
  <sheetFormatPr defaultColWidth="8.75" defaultRowHeight="18" customHeight="1"/>
  <cols>
    <col min="1" max="6" width="3.875" style="17" customWidth="1"/>
    <col min="7" max="7" width="32.625" style="17" customWidth="1"/>
    <col min="8" max="9" width="14.625" style="1607" customWidth="1"/>
    <col min="10" max="10" width="14.625" style="18" customWidth="1"/>
    <col min="11" max="11" width="55.625" style="684" customWidth="1"/>
    <col min="12" max="12" width="3.625" style="744" customWidth="1"/>
    <col min="13" max="13" width="14.625" style="674" customWidth="1"/>
    <col min="14" max="14" width="17.5" style="84" customWidth="1"/>
    <col min="15" max="15" width="10.125" style="4" bestFit="1" customWidth="1"/>
    <col min="16" max="16" width="15.5" style="39" bestFit="1" customWidth="1"/>
    <col min="17" max="17" width="15.5" style="6" bestFit="1" customWidth="1"/>
    <col min="18" max="18" width="8.5" style="6" bestFit="1" customWidth="1"/>
    <col min="19" max="19" width="12.75" style="6" bestFit="1" customWidth="1"/>
    <col min="20" max="20" width="16" style="14" bestFit="1" customWidth="1"/>
    <col min="21" max="21" width="13" style="5" bestFit="1" customWidth="1"/>
    <col min="22" max="22" width="13" style="1" bestFit="1" customWidth="1"/>
    <col min="23" max="26" width="10" style="1" customWidth="1"/>
    <col min="27" max="186" width="8.75" style="1"/>
    <col min="187" max="187" width="3.625" style="1" customWidth="1"/>
    <col min="188" max="188" width="3.75" style="1" customWidth="1"/>
    <col min="189" max="189" width="4.375" style="1" customWidth="1"/>
    <col min="190" max="190" width="4.5" style="1" customWidth="1"/>
    <col min="191" max="191" width="16.25" style="1" customWidth="1"/>
    <col min="192" max="192" width="11.75" style="1" customWidth="1"/>
    <col min="193" max="193" width="12.25" style="1" customWidth="1"/>
    <col min="194" max="194" width="13.5" style="1" customWidth="1"/>
    <col min="195" max="195" width="47.875" style="1" customWidth="1"/>
    <col min="196" max="196" width="3.625" style="1" customWidth="1"/>
    <col min="197" max="197" width="13.875" style="1" customWidth="1"/>
    <col min="198" max="270" width="10" style="1" customWidth="1"/>
    <col min="271" max="272" width="8.75" style="1"/>
    <col min="273" max="273" width="12.75" style="1" bestFit="1" customWidth="1"/>
    <col min="274" max="274" width="8.75" style="1"/>
    <col min="275" max="275" width="11.75" style="1" bestFit="1" customWidth="1"/>
    <col min="276" max="442" width="8.75" style="1"/>
    <col min="443" max="443" width="3.625" style="1" customWidth="1"/>
    <col min="444" max="444" width="3.75" style="1" customWidth="1"/>
    <col min="445" max="445" width="4.375" style="1" customWidth="1"/>
    <col min="446" max="446" width="4.5" style="1" customWidth="1"/>
    <col min="447" max="447" width="16.25" style="1" customWidth="1"/>
    <col min="448" max="448" width="11.75" style="1" customWidth="1"/>
    <col min="449" max="449" width="12.25" style="1" customWidth="1"/>
    <col min="450" max="450" width="13.5" style="1" customWidth="1"/>
    <col min="451" max="451" width="47.875" style="1" customWidth="1"/>
    <col min="452" max="452" width="3.625" style="1" customWidth="1"/>
    <col min="453" max="453" width="13.875" style="1" customWidth="1"/>
    <col min="454" max="526" width="10" style="1" customWidth="1"/>
    <col min="527" max="528" width="8.75" style="1"/>
    <col min="529" max="529" width="12.75" style="1" bestFit="1" customWidth="1"/>
    <col min="530" max="530" width="8.75" style="1"/>
    <col min="531" max="531" width="11.75" style="1" bestFit="1" customWidth="1"/>
    <col min="532" max="698" width="8.75" style="1"/>
    <col min="699" max="699" width="3.625" style="1" customWidth="1"/>
    <col min="700" max="700" width="3.75" style="1" customWidth="1"/>
    <col min="701" max="701" width="4.375" style="1" customWidth="1"/>
    <col min="702" max="702" width="4.5" style="1" customWidth="1"/>
    <col min="703" max="703" width="16.25" style="1" customWidth="1"/>
    <col min="704" max="704" width="11.75" style="1" customWidth="1"/>
    <col min="705" max="705" width="12.25" style="1" customWidth="1"/>
    <col min="706" max="706" width="13.5" style="1" customWidth="1"/>
    <col min="707" max="707" width="47.875" style="1" customWidth="1"/>
    <col min="708" max="708" width="3.625" style="1" customWidth="1"/>
    <col min="709" max="709" width="13.875" style="1" customWidth="1"/>
    <col min="710" max="782" width="10" style="1" customWidth="1"/>
    <col min="783" max="784" width="8.75" style="1"/>
    <col min="785" max="785" width="12.75" style="1" bestFit="1" customWidth="1"/>
    <col min="786" max="786" width="8.75" style="1"/>
    <col min="787" max="787" width="11.75" style="1" bestFit="1" customWidth="1"/>
    <col min="788" max="954" width="8.75" style="1"/>
    <col min="955" max="955" width="3.625" style="1" customWidth="1"/>
    <col min="956" max="956" width="3.75" style="1" customWidth="1"/>
    <col min="957" max="957" width="4.375" style="1" customWidth="1"/>
    <col min="958" max="958" width="4.5" style="1" customWidth="1"/>
    <col min="959" max="959" width="16.25" style="1" customWidth="1"/>
    <col min="960" max="960" width="11.75" style="1" customWidth="1"/>
    <col min="961" max="961" width="12.25" style="1" customWidth="1"/>
    <col min="962" max="962" width="13.5" style="1" customWidth="1"/>
    <col min="963" max="963" width="47.875" style="1" customWidth="1"/>
    <col min="964" max="964" width="3.625" style="1" customWidth="1"/>
    <col min="965" max="965" width="13.875" style="1" customWidth="1"/>
    <col min="966" max="1038" width="10" style="1" customWidth="1"/>
    <col min="1039" max="1040" width="8.75" style="1"/>
    <col min="1041" max="1041" width="12.75" style="1" bestFit="1" customWidth="1"/>
    <col min="1042" max="1042" width="8.75" style="1"/>
    <col min="1043" max="1043" width="11.75" style="1" bestFit="1" customWidth="1"/>
    <col min="1044" max="1210" width="8.75" style="1"/>
    <col min="1211" max="1211" width="3.625" style="1" customWidth="1"/>
    <col min="1212" max="1212" width="3.75" style="1" customWidth="1"/>
    <col min="1213" max="1213" width="4.375" style="1" customWidth="1"/>
    <col min="1214" max="1214" width="4.5" style="1" customWidth="1"/>
    <col min="1215" max="1215" width="16.25" style="1" customWidth="1"/>
    <col min="1216" max="1216" width="11.75" style="1" customWidth="1"/>
    <col min="1217" max="1217" width="12.25" style="1" customWidth="1"/>
    <col min="1218" max="1218" width="13.5" style="1" customWidth="1"/>
    <col min="1219" max="1219" width="47.875" style="1" customWidth="1"/>
    <col min="1220" max="1220" width="3.625" style="1" customWidth="1"/>
    <col min="1221" max="1221" width="13.875" style="1" customWidth="1"/>
    <col min="1222" max="1294" width="10" style="1" customWidth="1"/>
    <col min="1295" max="1296" width="8.75" style="1"/>
    <col min="1297" max="1297" width="12.75" style="1" bestFit="1" customWidth="1"/>
    <col min="1298" max="1298" width="8.75" style="1"/>
    <col min="1299" max="1299" width="11.75" style="1" bestFit="1" customWidth="1"/>
    <col min="1300" max="1466" width="8.75" style="1"/>
    <col min="1467" max="1467" width="3.625" style="1" customWidth="1"/>
    <col min="1468" max="1468" width="3.75" style="1" customWidth="1"/>
    <col min="1469" max="1469" width="4.375" style="1" customWidth="1"/>
    <col min="1470" max="1470" width="4.5" style="1" customWidth="1"/>
    <col min="1471" max="1471" width="16.25" style="1" customWidth="1"/>
    <col min="1472" max="1472" width="11.75" style="1" customWidth="1"/>
    <col min="1473" max="1473" width="12.25" style="1" customWidth="1"/>
    <col min="1474" max="1474" width="13.5" style="1" customWidth="1"/>
    <col min="1475" max="1475" width="47.875" style="1" customWidth="1"/>
    <col min="1476" max="1476" width="3.625" style="1" customWidth="1"/>
    <col min="1477" max="1477" width="13.875" style="1" customWidth="1"/>
    <col min="1478" max="1550" width="10" style="1" customWidth="1"/>
    <col min="1551" max="1552" width="8.75" style="1"/>
    <col min="1553" max="1553" width="12.75" style="1" bestFit="1" customWidth="1"/>
    <col min="1554" max="1554" width="8.75" style="1"/>
    <col min="1555" max="1555" width="11.75" style="1" bestFit="1" customWidth="1"/>
    <col min="1556" max="1722" width="8.75" style="1"/>
    <col min="1723" max="1723" width="3.625" style="1" customWidth="1"/>
    <col min="1724" max="1724" width="3.75" style="1" customWidth="1"/>
    <col min="1725" max="1725" width="4.375" style="1" customWidth="1"/>
    <col min="1726" max="1726" width="4.5" style="1" customWidth="1"/>
    <col min="1727" max="1727" width="16.25" style="1" customWidth="1"/>
    <col min="1728" max="1728" width="11.75" style="1" customWidth="1"/>
    <col min="1729" max="1729" width="12.25" style="1" customWidth="1"/>
    <col min="1730" max="1730" width="13.5" style="1" customWidth="1"/>
    <col min="1731" max="1731" width="47.875" style="1" customWidth="1"/>
    <col min="1732" max="1732" width="3.625" style="1" customWidth="1"/>
    <col min="1733" max="1733" width="13.875" style="1" customWidth="1"/>
    <col min="1734" max="1806" width="10" style="1" customWidth="1"/>
    <col min="1807" max="1808" width="8.75" style="1"/>
    <col min="1809" max="1809" width="12.75" style="1" bestFit="1" customWidth="1"/>
    <col min="1810" max="1810" width="8.75" style="1"/>
    <col min="1811" max="1811" width="11.75" style="1" bestFit="1" customWidth="1"/>
    <col min="1812" max="1978" width="8.75" style="1"/>
    <col min="1979" max="1979" width="3.625" style="1" customWidth="1"/>
    <col min="1980" max="1980" width="3.75" style="1" customWidth="1"/>
    <col min="1981" max="1981" width="4.375" style="1" customWidth="1"/>
    <col min="1982" max="1982" width="4.5" style="1" customWidth="1"/>
    <col min="1983" max="1983" width="16.25" style="1" customWidth="1"/>
    <col min="1984" max="1984" width="11.75" style="1" customWidth="1"/>
    <col min="1985" max="1985" width="12.25" style="1" customWidth="1"/>
    <col min="1986" max="1986" width="13.5" style="1" customWidth="1"/>
    <col min="1987" max="1987" width="47.875" style="1" customWidth="1"/>
    <col min="1988" max="1988" width="3.625" style="1" customWidth="1"/>
    <col min="1989" max="1989" width="13.875" style="1" customWidth="1"/>
    <col min="1990" max="2062" width="10" style="1" customWidth="1"/>
    <col min="2063" max="2064" width="8.75" style="1"/>
    <col min="2065" max="2065" width="12.75" style="1" bestFit="1" customWidth="1"/>
    <col min="2066" max="2066" width="8.75" style="1"/>
    <col min="2067" max="2067" width="11.75" style="1" bestFit="1" customWidth="1"/>
    <col min="2068" max="2234" width="8.75" style="1"/>
    <col min="2235" max="2235" width="3.625" style="1" customWidth="1"/>
    <col min="2236" max="2236" width="3.75" style="1" customWidth="1"/>
    <col min="2237" max="2237" width="4.375" style="1" customWidth="1"/>
    <col min="2238" max="2238" width="4.5" style="1" customWidth="1"/>
    <col min="2239" max="2239" width="16.25" style="1" customWidth="1"/>
    <col min="2240" max="2240" width="11.75" style="1" customWidth="1"/>
    <col min="2241" max="2241" width="12.25" style="1" customWidth="1"/>
    <col min="2242" max="2242" width="13.5" style="1" customWidth="1"/>
    <col min="2243" max="2243" width="47.875" style="1" customWidth="1"/>
    <col min="2244" max="2244" width="3.625" style="1" customWidth="1"/>
    <col min="2245" max="2245" width="13.875" style="1" customWidth="1"/>
    <col min="2246" max="2318" width="10" style="1" customWidth="1"/>
    <col min="2319" max="2320" width="8.75" style="1"/>
    <col min="2321" max="2321" width="12.75" style="1" bestFit="1" customWidth="1"/>
    <col min="2322" max="2322" width="8.75" style="1"/>
    <col min="2323" max="2323" width="11.75" style="1" bestFit="1" customWidth="1"/>
    <col min="2324" max="2490" width="8.75" style="1"/>
    <col min="2491" max="2491" width="3.625" style="1" customWidth="1"/>
    <col min="2492" max="2492" width="3.75" style="1" customWidth="1"/>
    <col min="2493" max="2493" width="4.375" style="1" customWidth="1"/>
    <col min="2494" max="2494" width="4.5" style="1" customWidth="1"/>
    <col min="2495" max="2495" width="16.25" style="1" customWidth="1"/>
    <col min="2496" max="2496" width="11.75" style="1" customWidth="1"/>
    <col min="2497" max="2497" width="12.25" style="1" customWidth="1"/>
    <col min="2498" max="2498" width="13.5" style="1" customWidth="1"/>
    <col min="2499" max="2499" width="47.875" style="1" customWidth="1"/>
    <col min="2500" max="2500" width="3.625" style="1" customWidth="1"/>
    <col min="2501" max="2501" width="13.875" style="1" customWidth="1"/>
    <col min="2502" max="2574" width="10" style="1" customWidth="1"/>
    <col min="2575" max="2576" width="8.75" style="1"/>
    <col min="2577" max="2577" width="12.75" style="1" bestFit="1" customWidth="1"/>
    <col min="2578" max="2578" width="8.75" style="1"/>
    <col min="2579" max="2579" width="11.75" style="1" bestFit="1" customWidth="1"/>
    <col min="2580" max="2746" width="8.75" style="1"/>
    <col min="2747" max="2747" width="3.625" style="1" customWidth="1"/>
    <col min="2748" max="2748" width="3.75" style="1" customWidth="1"/>
    <col min="2749" max="2749" width="4.375" style="1" customWidth="1"/>
    <col min="2750" max="2750" width="4.5" style="1" customWidth="1"/>
    <col min="2751" max="2751" width="16.25" style="1" customWidth="1"/>
    <col min="2752" max="2752" width="11.75" style="1" customWidth="1"/>
    <col min="2753" max="2753" width="12.25" style="1" customWidth="1"/>
    <col min="2754" max="2754" width="13.5" style="1" customWidth="1"/>
    <col min="2755" max="2755" width="47.875" style="1" customWidth="1"/>
    <col min="2756" max="2756" width="3.625" style="1" customWidth="1"/>
    <col min="2757" max="2757" width="13.875" style="1" customWidth="1"/>
    <col min="2758" max="2830" width="10" style="1" customWidth="1"/>
    <col min="2831" max="2832" width="8.75" style="1"/>
    <col min="2833" max="2833" width="12.75" style="1" bestFit="1" customWidth="1"/>
    <col min="2834" max="2834" width="8.75" style="1"/>
    <col min="2835" max="2835" width="11.75" style="1" bestFit="1" customWidth="1"/>
    <col min="2836" max="3002" width="8.75" style="1"/>
    <col min="3003" max="3003" width="3.625" style="1" customWidth="1"/>
    <col min="3004" max="3004" width="3.75" style="1" customWidth="1"/>
    <col min="3005" max="3005" width="4.375" style="1" customWidth="1"/>
    <col min="3006" max="3006" width="4.5" style="1" customWidth="1"/>
    <col min="3007" max="3007" width="16.25" style="1" customWidth="1"/>
    <col min="3008" max="3008" width="11.75" style="1" customWidth="1"/>
    <col min="3009" max="3009" width="12.25" style="1" customWidth="1"/>
    <col min="3010" max="3010" width="13.5" style="1" customWidth="1"/>
    <col min="3011" max="3011" width="47.875" style="1" customWidth="1"/>
    <col min="3012" max="3012" width="3.625" style="1" customWidth="1"/>
    <col min="3013" max="3013" width="13.875" style="1" customWidth="1"/>
    <col min="3014" max="3086" width="10" style="1" customWidth="1"/>
    <col min="3087" max="3088" width="8.75" style="1"/>
    <col min="3089" max="3089" width="12.75" style="1" bestFit="1" customWidth="1"/>
    <col min="3090" max="3090" width="8.75" style="1"/>
    <col min="3091" max="3091" width="11.75" style="1" bestFit="1" customWidth="1"/>
    <col min="3092" max="3258" width="8.75" style="1"/>
    <col min="3259" max="3259" width="3.625" style="1" customWidth="1"/>
    <col min="3260" max="3260" width="3.75" style="1" customWidth="1"/>
    <col min="3261" max="3261" width="4.375" style="1" customWidth="1"/>
    <col min="3262" max="3262" width="4.5" style="1" customWidth="1"/>
    <col min="3263" max="3263" width="16.25" style="1" customWidth="1"/>
    <col min="3264" max="3264" width="11.75" style="1" customWidth="1"/>
    <col min="3265" max="3265" width="12.25" style="1" customWidth="1"/>
    <col min="3266" max="3266" width="13.5" style="1" customWidth="1"/>
    <col min="3267" max="3267" width="47.875" style="1" customWidth="1"/>
    <col min="3268" max="3268" width="3.625" style="1" customWidth="1"/>
    <col min="3269" max="3269" width="13.875" style="1" customWidth="1"/>
    <col min="3270" max="3342" width="10" style="1" customWidth="1"/>
    <col min="3343" max="3344" width="8.75" style="1"/>
    <col min="3345" max="3345" width="12.75" style="1" bestFit="1" customWidth="1"/>
    <col min="3346" max="3346" width="8.75" style="1"/>
    <col min="3347" max="3347" width="11.75" style="1" bestFit="1" customWidth="1"/>
    <col min="3348" max="3514" width="8.75" style="1"/>
    <col min="3515" max="3515" width="3.625" style="1" customWidth="1"/>
    <col min="3516" max="3516" width="3.75" style="1" customWidth="1"/>
    <col min="3517" max="3517" width="4.375" style="1" customWidth="1"/>
    <col min="3518" max="3518" width="4.5" style="1" customWidth="1"/>
    <col min="3519" max="3519" width="16.25" style="1" customWidth="1"/>
    <col min="3520" max="3520" width="11.75" style="1" customWidth="1"/>
    <col min="3521" max="3521" width="12.25" style="1" customWidth="1"/>
    <col min="3522" max="3522" width="13.5" style="1" customWidth="1"/>
    <col min="3523" max="3523" width="47.875" style="1" customWidth="1"/>
    <col min="3524" max="3524" width="3.625" style="1" customWidth="1"/>
    <col min="3525" max="3525" width="13.875" style="1" customWidth="1"/>
    <col min="3526" max="3598" width="10" style="1" customWidth="1"/>
    <col min="3599" max="3600" width="8.75" style="1"/>
    <col min="3601" max="3601" width="12.75" style="1" bestFit="1" customWidth="1"/>
    <col min="3602" max="3602" width="8.75" style="1"/>
    <col min="3603" max="3603" width="11.75" style="1" bestFit="1" customWidth="1"/>
    <col min="3604" max="3770" width="8.75" style="1"/>
    <col min="3771" max="3771" width="3.625" style="1" customWidth="1"/>
    <col min="3772" max="3772" width="3.75" style="1" customWidth="1"/>
    <col min="3773" max="3773" width="4.375" style="1" customWidth="1"/>
    <col min="3774" max="3774" width="4.5" style="1" customWidth="1"/>
    <col min="3775" max="3775" width="16.25" style="1" customWidth="1"/>
    <col min="3776" max="3776" width="11.75" style="1" customWidth="1"/>
    <col min="3777" max="3777" width="12.25" style="1" customWidth="1"/>
    <col min="3778" max="3778" width="13.5" style="1" customWidth="1"/>
    <col min="3779" max="3779" width="47.875" style="1" customWidth="1"/>
    <col min="3780" max="3780" width="3.625" style="1" customWidth="1"/>
    <col min="3781" max="3781" width="13.875" style="1" customWidth="1"/>
    <col min="3782" max="3854" width="10" style="1" customWidth="1"/>
    <col min="3855" max="3856" width="8.75" style="1"/>
    <col min="3857" max="3857" width="12.75" style="1" bestFit="1" customWidth="1"/>
    <col min="3858" max="3858" width="8.75" style="1"/>
    <col min="3859" max="3859" width="11.75" style="1" bestFit="1" customWidth="1"/>
    <col min="3860" max="4026" width="8.75" style="1"/>
    <col min="4027" max="4027" width="3.625" style="1" customWidth="1"/>
    <col min="4028" max="4028" width="3.75" style="1" customWidth="1"/>
    <col min="4029" max="4029" width="4.375" style="1" customWidth="1"/>
    <col min="4030" max="4030" width="4.5" style="1" customWidth="1"/>
    <col min="4031" max="4031" width="16.25" style="1" customWidth="1"/>
    <col min="4032" max="4032" width="11.75" style="1" customWidth="1"/>
    <col min="4033" max="4033" width="12.25" style="1" customWidth="1"/>
    <col min="4034" max="4034" width="13.5" style="1" customWidth="1"/>
    <col min="4035" max="4035" width="47.875" style="1" customWidth="1"/>
    <col min="4036" max="4036" width="3.625" style="1" customWidth="1"/>
    <col min="4037" max="4037" width="13.875" style="1" customWidth="1"/>
    <col min="4038" max="4110" width="10" style="1" customWidth="1"/>
    <col min="4111" max="4112" width="8.75" style="1"/>
    <col min="4113" max="4113" width="12.75" style="1" bestFit="1" customWidth="1"/>
    <col min="4114" max="4114" width="8.75" style="1"/>
    <col min="4115" max="4115" width="11.75" style="1" bestFit="1" customWidth="1"/>
    <col min="4116" max="4282" width="8.75" style="1"/>
    <col min="4283" max="4283" width="3.625" style="1" customWidth="1"/>
    <col min="4284" max="4284" width="3.75" style="1" customWidth="1"/>
    <col min="4285" max="4285" width="4.375" style="1" customWidth="1"/>
    <col min="4286" max="4286" width="4.5" style="1" customWidth="1"/>
    <col min="4287" max="4287" width="16.25" style="1" customWidth="1"/>
    <col min="4288" max="4288" width="11.75" style="1" customWidth="1"/>
    <col min="4289" max="4289" width="12.25" style="1" customWidth="1"/>
    <col min="4290" max="4290" width="13.5" style="1" customWidth="1"/>
    <col min="4291" max="4291" width="47.875" style="1" customWidth="1"/>
    <col min="4292" max="4292" width="3.625" style="1" customWidth="1"/>
    <col min="4293" max="4293" width="13.875" style="1" customWidth="1"/>
    <col min="4294" max="4366" width="10" style="1" customWidth="1"/>
    <col min="4367" max="4368" width="8.75" style="1"/>
    <col min="4369" max="4369" width="12.75" style="1" bestFit="1" customWidth="1"/>
    <col min="4370" max="4370" width="8.75" style="1"/>
    <col min="4371" max="4371" width="11.75" style="1" bestFit="1" customWidth="1"/>
    <col min="4372" max="4538" width="8.75" style="1"/>
    <col min="4539" max="4539" width="3.625" style="1" customWidth="1"/>
    <col min="4540" max="4540" width="3.75" style="1" customWidth="1"/>
    <col min="4541" max="4541" width="4.375" style="1" customWidth="1"/>
    <col min="4542" max="4542" width="4.5" style="1" customWidth="1"/>
    <col min="4543" max="4543" width="16.25" style="1" customWidth="1"/>
    <col min="4544" max="4544" width="11.75" style="1" customWidth="1"/>
    <col min="4545" max="4545" width="12.25" style="1" customWidth="1"/>
    <col min="4546" max="4546" width="13.5" style="1" customWidth="1"/>
    <col min="4547" max="4547" width="47.875" style="1" customWidth="1"/>
    <col min="4548" max="4548" width="3.625" style="1" customWidth="1"/>
    <col min="4549" max="4549" width="13.875" style="1" customWidth="1"/>
    <col min="4550" max="4622" width="10" style="1" customWidth="1"/>
    <col min="4623" max="4624" width="8.75" style="1"/>
    <col min="4625" max="4625" width="12.75" style="1" bestFit="1" customWidth="1"/>
    <col min="4626" max="4626" width="8.75" style="1"/>
    <col min="4627" max="4627" width="11.75" style="1" bestFit="1" customWidth="1"/>
    <col min="4628" max="4794" width="8.75" style="1"/>
    <col min="4795" max="4795" width="3.625" style="1" customWidth="1"/>
    <col min="4796" max="4796" width="3.75" style="1" customWidth="1"/>
    <col min="4797" max="4797" width="4.375" style="1" customWidth="1"/>
    <col min="4798" max="4798" width="4.5" style="1" customWidth="1"/>
    <col min="4799" max="4799" width="16.25" style="1" customWidth="1"/>
    <col min="4800" max="4800" width="11.75" style="1" customWidth="1"/>
    <col min="4801" max="4801" width="12.25" style="1" customWidth="1"/>
    <col min="4802" max="4802" width="13.5" style="1" customWidth="1"/>
    <col min="4803" max="4803" width="47.875" style="1" customWidth="1"/>
    <col min="4804" max="4804" width="3.625" style="1" customWidth="1"/>
    <col min="4805" max="4805" width="13.875" style="1" customWidth="1"/>
    <col min="4806" max="4878" width="10" style="1" customWidth="1"/>
    <col min="4879" max="4880" width="8.75" style="1"/>
    <col min="4881" max="4881" width="12.75" style="1" bestFit="1" customWidth="1"/>
    <col min="4882" max="4882" width="8.75" style="1"/>
    <col min="4883" max="4883" width="11.75" style="1" bestFit="1" customWidth="1"/>
    <col min="4884" max="5050" width="8.75" style="1"/>
    <col min="5051" max="5051" width="3.625" style="1" customWidth="1"/>
    <col min="5052" max="5052" width="3.75" style="1" customWidth="1"/>
    <col min="5053" max="5053" width="4.375" style="1" customWidth="1"/>
    <col min="5054" max="5054" width="4.5" style="1" customWidth="1"/>
    <col min="5055" max="5055" width="16.25" style="1" customWidth="1"/>
    <col min="5056" max="5056" width="11.75" style="1" customWidth="1"/>
    <col min="5057" max="5057" width="12.25" style="1" customWidth="1"/>
    <col min="5058" max="5058" width="13.5" style="1" customWidth="1"/>
    <col min="5059" max="5059" width="47.875" style="1" customWidth="1"/>
    <col min="5060" max="5060" width="3.625" style="1" customWidth="1"/>
    <col min="5061" max="5061" width="13.875" style="1" customWidth="1"/>
    <col min="5062" max="5134" width="10" style="1" customWidth="1"/>
    <col min="5135" max="5136" width="8.75" style="1"/>
    <col min="5137" max="5137" width="12.75" style="1" bestFit="1" customWidth="1"/>
    <col min="5138" max="5138" width="8.75" style="1"/>
    <col min="5139" max="5139" width="11.75" style="1" bestFit="1" customWidth="1"/>
    <col min="5140" max="5306" width="8.75" style="1"/>
    <col min="5307" max="5307" width="3.625" style="1" customWidth="1"/>
    <col min="5308" max="5308" width="3.75" style="1" customWidth="1"/>
    <col min="5309" max="5309" width="4.375" style="1" customWidth="1"/>
    <col min="5310" max="5310" width="4.5" style="1" customWidth="1"/>
    <col min="5311" max="5311" width="16.25" style="1" customWidth="1"/>
    <col min="5312" max="5312" width="11.75" style="1" customWidth="1"/>
    <col min="5313" max="5313" width="12.25" style="1" customWidth="1"/>
    <col min="5314" max="5314" width="13.5" style="1" customWidth="1"/>
    <col min="5315" max="5315" width="47.875" style="1" customWidth="1"/>
    <col min="5316" max="5316" width="3.625" style="1" customWidth="1"/>
    <col min="5317" max="5317" width="13.875" style="1" customWidth="1"/>
    <col min="5318" max="5390" width="10" style="1" customWidth="1"/>
    <col min="5391" max="5392" width="8.75" style="1"/>
    <col min="5393" max="5393" width="12.75" style="1" bestFit="1" customWidth="1"/>
    <col min="5394" max="5394" width="8.75" style="1"/>
    <col min="5395" max="5395" width="11.75" style="1" bestFit="1" customWidth="1"/>
    <col min="5396" max="5562" width="8.75" style="1"/>
    <col min="5563" max="5563" width="3.625" style="1" customWidth="1"/>
    <col min="5564" max="5564" width="3.75" style="1" customWidth="1"/>
    <col min="5565" max="5565" width="4.375" style="1" customWidth="1"/>
    <col min="5566" max="5566" width="4.5" style="1" customWidth="1"/>
    <col min="5567" max="5567" width="16.25" style="1" customWidth="1"/>
    <col min="5568" max="5568" width="11.75" style="1" customWidth="1"/>
    <col min="5569" max="5569" width="12.25" style="1" customWidth="1"/>
    <col min="5570" max="5570" width="13.5" style="1" customWidth="1"/>
    <col min="5571" max="5571" width="47.875" style="1" customWidth="1"/>
    <col min="5572" max="5572" width="3.625" style="1" customWidth="1"/>
    <col min="5573" max="5573" width="13.875" style="1" customWidth="1"/>
    <col min="5574" max="5646" width="10" style="1" customWidth="1"/>
    <col min="5647" max="5648" width="8.75" style="1"/>
    <col min="5649" max="5649" width="12.75" style="1" bestFit="1" customWidth="1"/>
    <col min="5650" max="5650" width="8.75" style="1"/>
    <col min="5651" max="5651" width="11.75" style="1" bestFit="1" customWidth="1"/>
    <col min="5652" max="5818" width="8.75" style="1"/>
    <col min="5819" max="5819" width="3.625" style="1" customWidth="1"/>
    <col min="5820" max="5820" width="3.75" style="1" customWidth="1"/>
    <col min="5821" max="5821" width="4.375" style="1" customWidth="1"/>
    <col min="5822" max="5822" width="4.5" style="1" customWidth="1"/>
    <col min="5823" max="5823" width="16.25" style="1" customWidth="1"/>
    <col min="5824" max="5824" width="11.75" style="1" customWidth="1"/>
    <col min="5825" max="5825" width="12.25" style="1" customWidth="1"/>
    <col min="5826" max="5826" width="13.5" style="1" customWidth="1"/>
    <col min="5827" max="5827" width="47.875" style="1" customWidth="1"/>
    <col min="5828" max="5828" width="3.625" style="1" customWidth="1"/>
    <col min="5829" max="5829" width="13.875" style="1" customWidth="1"/>
    <col min="5830" max="5902" width="10" style="1" customWidth="1"/>
    <col min="5903" max="5904" width="8.75" style="1"/>
    <col min="5905" max="5905" width="12.75" style="1" bestFit="1" customWidth="1"/>
    <col min="5906" max="5906" width="8.75" style="1"/>
    <col min="5907" max="5907" width="11.75" style="1" bestFit="1" customWidth="1"/>
    <col min="5908" max="6074" width="8.75" style="1"/>
    <col min="6075" max="6075" width="3.625" style="1" customWidth="1"/>
    <col min="6076" max="6076" width="3.75" style="1" customWidth="1"/>
    <col min="6077" max="6077" width="4.375" style="1" customWidth="1"/>
    <col min="6078" max="6078" width="4.5" style="1" customWidth="1"/>
    <col min="6079" max="6079" width="16.25" style="1" customWidth="1"/>
    <col min="6080" max="6080" width="11.75" style="1" customWidth="1"/>
    <col min="6081" max="6081" width="12.25" style="1" customWidth="1"/>
    <col min="6082" max="6082" width="13.5" style="1" customWidth="1"/>
    <col min="6083" max="6083" width="47.875" style="1" customWidth="1"/>
    <col min="6084" max="6084" width="3.625" style="1" customWidth="1"/>
    <col min="6085" max="6085" width="13.875" style="1" customWidth="1"/>
    <col min="6086" max="6158" width="10" style="1" customWidth="1"/>
    <col min="6159" max="6160" width="8.75" style="1"/>
    <col min="6161" max="6161" width="12.75" style="1" bestFit="1" customWidth="1"/>
    <col min="6162" max="6162" width="8.75" style="1"/>
    <col min="6163" max="6163" width="11.75" style="1" bestFit="1" customWidth="1"/>
    <col min="6164" max="6330" width="8.75" style="1"/>
    <col min="6331" max="6331" width="3.625" style="1" customWidth="1"/>
    <col min="6332" max="6332" width="3.75" style="1" customWidth="1"/>
    <col min="6333" max="6333" width="4.375" style="1" customWidth="1"/>
    <col min="6334" max="6334" width="4.5" style="1" customWidth="1"/>
    <col min="6335" max="6335" width="16.25" style="1" customWidth="1"/>
    <col min="6336" max="6336" width="11.75" style="1" customWidth="1"/>
    <col min="6337" max="6337" width="12.25" style="1" customWidth="1"/>
    <col min="6338" max="6338" width="13.5" style="1" customWidth="1"/>
    <col min="6339" max="6339" width="47.875" style="1" customWidth="1"/>
    <col min="6340" max="6340" width="3.625" style="1" customWidth="1"/>
    <col min="6341" max="6341" width="13.875" style="1" customWidth="1"/>
    <col min="6342" max="6414" width="10" style="1" customWidth="1"/>
    <col min="6415" max="6416" width="8.75" style="1"/>
    <col min="6417" max="6417" width="12.75" style="1" bestFit="1" customWidth="1"/>
    <col min="6418" max="6418" width="8.75" style="1"/>
    <col min="6419" max="6419" width="11.75" style="1" bestFit="1" customWidth="1"/>
    <col min="6420" max="6586" width="8.75" style="1"/>
    <col min="6587" max="6587" width="3.625" style="1" customWidth="1"/>
    <col min="6588" max="6588" width="3.75" style="1" customWidth="1"/>
    <col min="6589" max="6589" width="4.375" style="1" customWidth="1"/>
    <col min="6590" max="6590" width="4.5" style="1" customWidth="1"/>
    <col min="6591" max="6591" width="16.25" style="1" customWidth="1"/>
    <col min="6592" max="6592" width="11.75" style="1" customWidth="1"/>
    <col min="6593" max="6593" width="12.25" style="1" customWidth="1"/>
    <col min="6594" max="6594" width="13.5" style="1" customWidth="1"/>
    <col min="6595" max="6595" width="47.875" style="1" customWidth="1"/>
    <col min="6596" max="6596" width="3.625" style="1" customWidth="1"/>
    <col min="6597" max="6597" width="13.875" style="1" customWidth="1"/>
    <col min="6598" max="6670" width="10" style="1" customWidth="1"/>
    <col min="6671" max="6672" width="8.75" style="1"/>
    <col min="6673" max="6673" width="12.75" style="1" bestFit="1" customWidth="1"/>
    <col min="6674" max="6674" width="8.75" style="1"/>
    <col min="6675" max="6675" width="11.75" style="1" bestFit="1" customWidth="1"/>
    <col min="6676" max="6842" width="8.75" style="1"/>
    <col min="6843" max="6843" width="3.625" style="1" customWidth="1"/>
    <col min="6844" max="6844" width="3.75" style="1" customWidth="1"/>
    <col min="6845" max="6845" width="4.375" style="1" customWidth="1"/>
    <col min="6846" max="6846" width="4.5" style="1" customWidth="1"/>
    <col min="6847" max="6847" width="16.25" style="1" customWidth="1"/>
    <col min="6848" max="6848" width="11.75" style="1" customWidth="1"/>
    <col min="6849" max="6849" width="12.25" style="1" customWidth="1"/>
    <col min="6850" max="6850" width="13.5" style="1" customWidth="1"/>
    <col min="6851" max="6851" width="47.875" style="1" customWidth="1"/>
    <col min="6852" max="6852" width="3.625" style="1" customWidth="1"/>
    <col min="6853" max="6853" width="13.875" style="1" customWidth="1"/>
    <col min="6854" max="6926" width="10" style="1" customWidth="1"/>
    <col min="6927" max="6928" width="8.75" style="1"/>
    <col min="6929" max="6929" width="12.75" style="1" bestFit="1" customWidth="1"/>
    <col min="6930" max="6930" width="8.75" style="1"/>
    <col min="6931" max="6931" width="11.75" style="1" bestFit="1" customWidth="1"/>
    <col min="6932" max="7098" width="8.75" style="1"/>
    <col min="7099" max="7099" width="3.625" style="1" customWidth="1"/>
    <col min="7100" max="7100" width="3.75" style="1" customWidth="1"/>
    <col min="7101" max="7101" width="4.375" style="1" customWidth="1"/>
    <col min="7102" max="7102" width="4.5" style="1" customWidth="1"/>
    <col min="7103" max="7103" width="16.25" style="1" customWidth="1"/>
    <col min="7104" max="7104" width="11.75" style="1" customWidth="1"/>
    <col min="7105" max="7105" width="12.25" style="1" customWidth="1"/>
    <col min="7106" max="7106" width="13.5" style="1" customWidth="1"/>
    <col min="7107" max="7107" width="47.875" style="1" customWidth="1"/>
    <col min="7108" max="7108" width="3.625" style="1" customWidth="1"/>
    <col min="7109" max="7109" width="13.875" style="1" customWidth="1"/>
    <col min="7110" max="7182" width="10" style="1" customWidth="1"/>
    <col min="7183" max="7184" width="8.75" style="1"/>
    <col min="7185" max="7185" width="12.75" style="1" bestFit="1" customWidth="1"/>
    <col min="7186" max="7186" width="8.75" style="1"/>
    <col min="7187" max="7187" width="11.75" style="1" bestFit="1" customWidth="1"/>
    <col min="7188" max="7354" width="8.75" style="1"/>
    <col min="7355" max="7355" width="3.625" style="1" customWidth="1"/>
    <col min="7356" max="7356" width="3.75" style="1" customWidth="1"/>
    <col min="7357" max="7357" width="4.375" style="1" customWidth="1"/>
    <col min="7358" max="7358" width="4.5" style="1" customWidth="1"/>
    <col min="7359" max="7359" width="16.25" style="1" customWidth="1"/>
    <col min="7360" max="7360" width="11.75" style="1" customWidth="1"/>
    <col min="7361" max="7361" width="12.25" style="1" customWidth="1"/>
    <col min="7362" max="7362" width="13.5" style="1" customWidth="1"/>
    <col min="7363" max="7363" width="47.875" style="1" customWidth="1"/>
    <col min="7364" max="7364" width="3.625" style="1" customWidth="1"/>
    <col min="7365" max="7365" width="13.875" style="1" customWidth="1"/>
    <col min="7366" max="7438" width="10" style="1" customWidth="1"/>
    <col min="7439" max="7440" width="8.75" style="1"/>
    <col min="7441" max="7441" width="12.75" style="1" bestFit="1" customWidth="1"/>
    <col min="7442" max="7442" width="8.75" style="1"/>
    <col min="7443" max="7443" width="11.75" style="1" bestFit="1" customWidth="1"/>
    <col min="7444" max="7610" width="8.75" style="1"/>
    <col min="7611" max="7611" width="3.625" style="1" customWidth="1"/>
    <col min="7612" max="7612" width="3.75" style="1" customWidth="1"/>
    <col min="7613" max="7613" width="4.375" style="1" customWidth="1"/>
    <col min="7614" max="7614" width="4.5" style="1" customWidth="1"/>
    <col min="7615" max="7615" width="16.25" style="1" customWidth="1"/>
    <col min="7616" max="7616" width="11.75" style="1" customWidth="1"/>
    <col min="7617" max="7617" width="12.25" style="1" customWidth="1"/>
    <col min="7618" max="7618" width="13.5" style="1" customWidth="1"/>
    <col min="7619" max="7619" width="47.875" style="1" customWidth="1"/>
    <col min="7620" max="7620" width="3.625" style="1" customWidth="1"/>
    <col min="7621" max="7621" width="13.875" style="1" customWidth="1"/>
    <col min="7622" max="7694" width="10" style="1" customWidth="1"/>
    <col min="7695" max="7696" width="8.75" style="1"/>
    <col min="7697" max="7697" width="12.75" style="1" bestFit="1" customWidth="1"/>
    <col min="7698" max="7698" width="8.75" style="1"/>
    <col min="7699" max="7699" width="11.75" style="1" bestFit="1" customWidth="1"/>
    <col min="7700" max="7866" width="8.75" style="1"/>
    <col min="7867" max="7867" width="3.625" style="1" customWidth="1"/>
    <col min="7868" max="7868" width="3.75" style="1" customWidth="1"/>
    <col min="7869" max="7869" width="4.375" style="1" customWidth="1"/>
    <col min="7870" max="7870" width="4.5" style="1" customWidth="1"/>
    <col min="7871" max="7871" width="16.25" style="1" customWidth="1"/>
    <col min="7872" max="7872" width="11.75" style="1" customWidth="1"/>
    <col min="7873" max="7873" width="12.25" style="1" customWidth="1"/>
    <col min="7874" max="7874" width="13.5" style="1" customWidth="1"/>
    <col min="7875" max="7875" width="47.875" style="1" customWidth="1"/>
    <col min="7876" max="7876" width="3.625" style="1" customWidth="1"/>
    <col min="7877" max="7877" width="13.875" style="1" customWidth="1"/>
    <col min="7878" max="7950" width="10" style="1" customWidth="1"/>
    <col min="7951" max="7952" width="8.75" style="1"/>
    <col min="7953" max="7953" width="12.75" style="1" bestFit="1" customWidth="1"/>
    <col min="7954" max="7954" width="8.75" style="1"/>
    <col min="7955" max="7955" width="11.75" style="1" bestFit="1" customWidth="1"/>
    <col min="7956" max="8122" width="8.75" style="1"/>
    <col min="8123" max="8123" width="3.625" style="1" customWidth="1"/>
    <col min="8124" max="8124" width="3.75" style="1" customWidth="1"/>
    <col min="8125" max="8125" width="4.375" style="1" customWidth="1"/>
    <col min="8126" max="8126" width="4.5" style="1" customWidth="1"/>
    <col min="8127" max="8127" width="16.25" style="1" customWidth="1"/>
    <col min="8128" max="8128" width="11.75" style="1" customWidth="1"/>
    <col min="8129" max="8129" width="12.25" style="1" customWidth="1"/>
    <col min="8130" max="8130" width="13.5" style="1" customWidth="1"/>
    <col min="8131" max="8131" width="47.875" style="1" customWidth="1"/>
    <col min="8132" max="8132" width="3.625" style="1" customWidth="1"/>
    <col min="8133" max="8133" width="13.875" style="1" customWidth="1"/>
    <col min="8134" max="8206" width="10" style="1" customWidth="1"/>
    <col min="8207" max="8208" width="8.75" style="1"/>
    <col min="8209" max="8209" width="12.75" style="1" bestFit="1" customWidth="1"/>
    <col min="8210" max="8210" width="8.75" style="1"/>
    <col min="8211" max="8211" width="11.75" style="1" bestFit="1" customWidth="1"/>
    <col min="8212" max="8378" width="8.75" style="1"/>
    <col min="8379" max="8379" width="3.625" style="1" customWidth="1"/>
    <col min="8380" max="8380" width="3.75" style="1" customWidth="1"/>
    <col min="8381" max="8381" width="4.375" style="1" customWidth="1"/>
    <col min="8382" max="8382" width="4.5" style="1" customWidth="1"/>
    <col min="8383" max="8383" width="16.25" style="1" customWidth="1"/>
    <col min="8384" max="8384" width="11.75" style="1" customWidth="1"/>
    <col min="8385" max="8385" width="12.25" style="1" customWidth="1"/>
    <col min="8386" max="8386" width="13.5" style="1" customWidth="1"/>
    <col min="8387" max="8387" width="47.875" style="1" customWidth="1"/>
    <col min="8388" max="8388" width="3.625" style="1" customWidth="1"/>
    <col min="8389" max="8389" width="13.875" style="1" customWidth="1"/>
    <col min="8390" max="8462" width="10" style="1" customWidth="1"/>
    <col min="8463" max="8464" width="8.75" style="1"/>
    <col min="8465" max="8465" width="12.75" style="1" bestFit="1" customWidth="1"/>
    <col min="8466" max="8466" width="8.75" style="1"/>
    <col min="8467" max="8467" width="11.75" style="1" bestFit="1" customWidth="1"/>
    <col min="8468" max="8634" width="8.75" style="1"/>
    <col min="8635" max="8635" width="3.625" style="1" customWidth="1"/>
    <col min="8636" max="8636" width="3.75" style="1" customWidth="1"/>
    <col min="8637" max="8637" width="4.375" style="1" customWidth="1"/>
    <col min="8638" max="8638" width="4.5" style="1" customWidth="1"/>
    <col min="8639" max="8639" width="16.25" style="1" customWidth="1"/>
    <col min="8640" max="8640" width="11.75" style="1" customWidth="1"/>
    <col min="8641" max="8641" width="12.25" style="1" customWidth="1"/>
    <col min="8642" max="8642" width="13.5" style="1" customWidth="1"/>
    <col min="8643" max="8643" width="47.875" style="1" customWidth="1"/>
    <col min="8644" max="8644" width="3.625" style="1" customWidth="1"/>
    <col min="8645" max="8645" width="13.875" style="1" customWidth="1"/>
    <col min="8646" max="8718" width="10" style="1" customWidth="1"/>
    <col min="8719" max="8720" width="8.75" style="1"/>
    <col min="8721" max="8721" width="12.75" style="1" bestFit="1" customWidth="1"/>
    <col min="8722" max="8722" width="8.75" style="1"/>
    <col min="8723" max="8723" width="11.75" style="1" bestFit="1" customWidth="1"/>
    <col min="8724" max="8890" width="8.75" style="1"/>
    <col min="8891" max="8891" width="3.625" style="1" customWidth="1"/>
    <col min="8892" max="8892" width="3.75" style="1" customWidth="1"/>
    <col min="8893" max="8893" width="4.375" style="1" customWidth="1"/>
    <col min="8894" max="8894" width="4.5" style="1" customWidth="1"/>
    <col min="8895" max="8895" width="16.25" style="1" customWidth="1"/>
    <col min="8896" max="8896" width="11.75" style="1" customWidth="1"/>
    <col min="8897" max="8897" width="12.25" style="1" customWidth="1"/>
    <col min="8898" max="8898" width="13.5" style="1" customWidth="1"/>
    <col min="8899" max="8899" width="47.875" style="1" customWidth="1"/>
    <col min="8900" max="8900" width="3.625" style="1" customWidth="1"/>
    <col min="8901" max="8901" width="13.875" style="1" customWidth="1"/>
    <col min="8902" max="8974" width="10" style="1" customWidth="1"/>
    <col min="8975" max="8976" width="8.75" style="1"/>
    <col min="8977" max="8977" width="12.75" style="1" bestFit="1" customWidth="1"/>
    <col min="8978" max="8978" width="8.75" style="1"/>
    <col min="8979" max="8979" width="11.75" style="1" bestFit="1" customWidth="1"/>
    <col min="8980" max="9146" width="8.75" style="1"/>
    <col min="9147" max="9147" width="3.625" style="1" customWidth="1"/>
    <col min="9148" max="9148" width="3.75" style="1" customWidth="1"/>
    <col min="9149" max="9149" width="4.375" style="1" customWidth="1"/>
    <col min="9150" max="9150" width="4.5" style="1" customWidth="1"/>
    <col min="9151" max="9151" width="16.25" style="1" customWidth="1"/>
    <col min="9152" max="9152" width="11.75" style="1" customWidth="1"/>
    <col min="9153" max="9153" width="12.25" style="1" customWidth="1"/>
    <col min="9154" max="9154" width="13.5" style="1" customWidth="1"/>
    <col min="9155" max="9155" width="47.875" style="1" customWidth="1"/>
    <col min="9156" max="9156" width="3.625" style="1" customWidth="1"/>
    <col min="9157" max="9157" width="13.875" style="1" customWidth="1"/>
    <col min="9158" max="9230" width="10" style="1" customWidth="1"/>
    <col min="9231" max="9232" width="8.75" style="1"/>
    <col min="9233" max="9233" width="12.75" style="1" bestFit="1" customWidth="1"/>
    <col min="9234" max="9234" width="8.75" style="1"/>
    <col min="9235" max="9235" width="11.75" style="1" bestFit="1" customWidth="1"/>
    <col min="9236" max="9402" width="8.75" style="1"/>
    <col min="9403" max="9403" width="3.625" style="1" customWidth="1"/>
    <col min="9404" max="9404" width="3.75" style="1" customWidth="1"/>
    <col min="9405" max="9405" width="4.375" style="1" customWidth="1"/>
    <col min="9406" max="9406" width="4.5" style="1" customWidth="1"/>
    <col min="9407" max="9407" width="16.25" style="1" customWidth="1"/>
    <col min="9408" max="9408" width="11.75" style="1" customWidth="1"/>
    <col min="9409" max="9409" width="12.25" style="1" customWidth="1"/>
    <col min="9410" max="9410" width="13.5" style="1" customWidth="1"/>
    <col min="9411" max="9411" width="47.875" style="1" customWidth="1"/>
    <col min="9412" max="9412" width="3.625" style="1" customWidth="1"/>
    <col min="9413" max="9413" width="13.875" style="1" customWidth="1"/>
    <col min="9414" max="9486" width="10" style="1" customWidth="1"/>
    <col min="9487" max="9488" width="8.75" style="1"/>
    <col min="9489" max="9489" width="12.75" style="1" bestFit="1" customWidth="1"/>
    <col min="9490" max="9490" width="8.75" style="1"/>
    <col min="9491" max="9491" width="11.75" style="1" bestFit="1" customWidth="1"/>
    <col min="9492" max="9658" width="8.75" style="1"/>
    <col min="9659" max="9659" width="3.625" style="1" customWidth="1"/>
    <col min="9660" max="9660" width="3.75" style="1" customWidth="1"/>
    <col min="9661" max="9661" width="4.375" style="1" customWidth="1"/>
    <col min="9662" max="9662" width="4.5" style="1" customWidth="1"/>
    <col min="9663" max="9663" width="16.25" style="1" customWidth="1"/>
    <col min="9664" max="9664" width="11.75" style="1" customWidth="1"/>
    <col min="9665" max="9665" width="12.25" style="1" customWidth="1"/>
    <col min="9666" max="9666" width="13.5" style="1" customWidth="1"/>
    <col min="9667" max="9667" width="47.875" style="1" customWidth="1"/>
    <col min="9668" max="9668" width="3.625" style="1" customWidth="1"/>
    <col min="9669" max="9669" width="13.875" style="1" customWidth="1"/>
    <col min="9670" max="9742" width="10" style="1" customWidth="1"/>
    <col min="9743" max="9744" width="8.75" style="1"/>
    <col min="9745" max="9745" width="12.75" style="1" bestFit="1" customWidth="1"/>
    <col min="9746" max="9746" width="8.75" style="1"/>
    <col min="9747" max="9747" width="11.75" style="1" bestFit="1" customWidth="1"/>
    <col min="9748" max="9914" width="8.75" style="1"/>
    <col min="9915" max="9915" width="3.625" style="1" customWidth="1"/>
    <col min="9916" max="9916" width="3.75" style="1" customWidth="1"/>
    <col min="9917" max="9917" width="4.375" style="1" customWidth="1"/>
    <col min="9918" max="9918" width="4.5" style="1" customWidth="1"/>
    <col min="9919" max="9919" width="16.25" style="1" customWidth="1"/>
    <col min="9920" max="9920" width="11.75" style="1" customWidth="1"/>
    <col min="9921" max="9921" width="12.25" style="1" customWidth="1"/>
    <col min="9922" max="9922" width="13.5" style="1" customWidth="1"/>
    <col min="9923" max="9923" width="47.875" style="1" customWidth="1"/>
    <col min="9924" max="9924" width="3.625" style="1" customWidth="1"/>
    <col min="9925" max="9925" width="13.875" style="1" customWidth="1"/>
    <col min="9926" max="9998" width="10" style="1" customWidth="1"/>
    <col min="9999" max="10000" width="8.75" style="1"/>
    <col min="10001" max="10001" width="12.75" style="1" bestFit="1" customWidth="1"/>
    <col min="10002" max="10002" width="8.75" style="1"/>
    <col min="10003" max="10003" width="11.75" style="1" bestFit="1" customWidth="1"/>
    <col min="10004" max="10170" width="8.75" style="1"/>
    <col min="10171" max="10171" width="3.625" style="1" customWidth="1"/>
    <col min="10172" max="10172" width="3.75" style="1" customWidth="1"/>
    <col min="10173" max="10173" width="4.375" style="1" customWidth="1"/>
    <col min="10174" max="10174" width="4.5" style="1" customWidth="1"/>
    <col min="10175" max="10175" width="16.25" style="1" customWidth="1"/>
    <col min="10176" max="10176" width="11.75" style="1" customWidth="1"/>
    <col min="10177" max="10177" width="12.25" style="1" customWidth="1"/>
    <col min="10178" max="10178" width="13.5" style="1" customWidth="1"/>
    <col min="10179" max="10179" width="47.875" style="1" customWidth="1"/>
    <col min="10180" max="10180" width="3.625" style="1" customWidth="1"/>
    <col min="10181" max="10181" width="13.875" style="1" customWidth="1"/>
    <col min="10182" max="10254" width="10" style="1" customWidth="1"/>
    <col min="10255" max="10256" width="8.75" style="1"/>
    <col min="10257" max="10257" width="12.75" style="1" bestFit="1" customWidth="1"/>
    <col min="10258" max="10258" width="8.75" style="1"/>
    <col min="10259" max="10259" width="11.75" style="1" bestFit="1" customWidth="1"/>
    <col min="10260" max="10426" width="8.75" style="1"/>
    <col min="10427" max="10427" width="3.625" style="1" customWidth="1"/>
    <col min="10428" max="10428" width="3.75" style="1" customWidth="1"/>
    <col min="10429" max="10429" width="4.375" style="1" customWidth="1"/>
    <col min="10430" max="10430" width="4.5" style="1" customWidth="1"/>
    <col min="10431" max="10431" width="16.25" style="1" customWidth="1"/>
    <col min="10432" max="10432" width="11.75" style="1" customWidth="1"/>
    <col min="10433" max="10433" width="12.25" style="1" customWidth="1"/>
    <col min="10434" max="10434" width="13.5" style="1" customWidth="1"/>
    <col min="10435" max="10435" width="47.875" style="1" customWidth="1"/>
    <col min="10436" max="10436" width="3.625" style="1" customWidth="1"/>
    <col min="10437" max="10437" width="13.875" style="1" customWidth="1"/>
    <col min="10438" max="10510" width="10" style="1" customWidth="1"/>
    <col min="10511" max="10512" width="8.75" style="1"/>
    <col min="10513" max="10513" width="12.75" style="1" bestFit="1" customWidth="1"/>
    <col min="10514" max="10514" width="8.75" style="1"/>
    <col min="10515" max="10515" width="11.75" style="1" bestFit="1" customWidth="1"/>
    <col min="10516" max="10682" width="8.75" style="1"/>
    <col min="10683" max="10683" width="3.625" style="1" customWidth="1"/>
    <col min="10684" max="10684" width="3.75" style="1" customWidth="1"/>
    <col min="10685" max="10685" width="4.375" style="1" customWidth="1"/>
    <col min="10686" max="10686" width="4.5" style="1" customWidth="1"/>
    <col min="10687" max="10687" width="16.25" style="1" customWidth="1"/>
    <col min="10688" max="10688" width="11.75" style="1" customWidth="1"/>
    <col min="10689" max="10689" width="12.25" style="1" customWidth="1"/>
    <col min="10690" max="10690" width="13.5" style="1" customWidth="1"/>
    <col min="10691" max="10691" width="47.875" style="1" customWidth="1"/>
    <col min="10692" max="10692" width="3.625" style="1" customWidth="1"/>
    <col min="10693" max="10693" width="13.875" style="1" customWidth="1"/>
    <col min="10694" max="10766" width="10" style="1" customWidth="1"/>
    <col min="10767" max="10768" width="8.75" style="1"/>
    <col min="10769" max="10769" width="12.75" style="1" bestFit="1" customWidth="1"/>
    <col min="10770" max="10770" width="8.75" style="1"/>
    <col min="10771" max="10771" width="11.75" style="1" bestFit="1" customWidth="1"/>
    <col min="10772" max="10938" width="8.75" style="1"/>
    <col min="10939" max="10939" width="3.625" style="1" customWidth="1"/>
    <col min="10940" max="10940" width="3.75" style="1" customWidth="1"/>
    <col min="10941" max="10941" width="4.375" style="1" customWidth="1"/>
    <col min="10942" max="10942" width="4.5" style="1" customWidth="1"/>
    <col min="10943" max="10943" width="16.25" style="1" customWidth="1"/>
    <col min="10944" max="10944" width="11.75" style="1" customWidth="1"/>
    <col min="10945" max="10945" width="12.25" style="1" customWidth="1"/>
    <col min="10946" max="10946" width="13.5" style="1" customWidth="1"/>
    <col min="10947" max="10947" width="47.875" style="1" customWidth="1"/>
    <col min="10948" max="10948" width="3.625" style="1" customWidth="1"/>
    <col min="10949" max="10949" width="13.875" style="1" customWidth="1"/>
    <col min="10950" max="11022" width="10" style="1" customWidth="1"/>
    <col min="11023" max="11024" width="8.75" style="1"/>
    <col min="11025" max="11025" width="12.75" style="1" bestFit="1" customWidth="1"/>
    <col min="11026" max="11026" width="8.75" style="1"/>
    <col min="11027" max="11027" width="11.75" style="1" bestFit="1" customWidth="1"/>
    <col min="11028" max="11194" width="8.75" style="1"/>
    <col min="11195" max="11195" width="3.625" style="1" customWidth="1"/>
    <col min="11196" max="11196" width="3.75" style="1" customWidth="1"/>
    <col min="11197" max="11197" width="4.375" style="1" customWidth="1"/>
    <col min="11198" max="11198" width="4.5" style="1" customWidth="1"/>
    <col min="11199" max="11199" width="16.25" style="1" customWidth="1"/>
    <col min="11200" max="11200" width="11.75" style="1" customWidth="1"/>
    <col min="11201" max="11201" width="12.25" style="1" customWidth="1"/>
    <col min="11202" max="11202" width="13.5" style="1" customWidth="1"/>
    <col min="11203" max="11203" width="47.875" style="1" customWidth="1"/>
    <col min="11204" max="11204" width="3.625" style="1" customWidth="1"/>
    <col min="11205" max="11205" width="13.875" style="1" customWidth="1"/>
    <col min="11206" max="11278" width="10" style="1" customWidth="1"/>
    <col min="11279" max="11280" width="8.75" style="1"/>
    <col min="11281" max="11281" width="12.75" style="1" bestFit="1" customWidth="1"/>
    <col min="11282" max="11282" width="8.75" style="1"/>
    <col min="11283" max="11283" width="11.75" style="1" bestFit="1" customWidth="1"/>
    <col min="11284" max="11450" width="8.75" style="1"/>
    <col min="11451" max="11451" width="3.625" style="1" customWidth="1"/>
    <col min="11452" max="11452" width="3.75" style="1" customWidth="1"/>
    <col min="11453" max="11453" width="4.375" style="1" customWidth="1"/>
    <col min="11454" max="11454" width="4.5" style="1" customWidth="1"/>
    <col min="11455" max="11455" width="16.25" style="1" customWidth="1"/>
    <col min="11456" max="11456" width="11.75" style="1" customWidth="1"/>
    <col min="11457" max="11457" width="12.25" style="1" customWidth="1"/>
    <col min="11458" max="11458" width="13.5" style="1" customWidth="1"/>
    <col min="11459" max="11459" width="47.875" style="1" customWidth="1"/>
    <col min="11460" max="11460" width="3.625" style="1" customWidth="1"/>
    <col min="11461" max="11461" width="13.875" style="1" customWidth="1"/>
    <col min="11462" max="11534" width="10" style="1" customWidth="1"/>
    <col min="11535" max="11536" width="8.75" style="1"/>
    <col min="11537" max="11537" width="12.75" style="1" bestFit="1" customWidth="1"/>
    <col min="11538" max="11538" width="8.75" style="1"/>
    <col min="11539" max="11539" width="11.75" style="1" bestFit="1" customWidth="1"/>
    <col min="11540" max="11706" width="8.75" style="1"/>
    <col min="11707" max="11707" width="3.625" style="1" customWidth="1"/>
    <col min="11708" max="11708" width="3.75" style="1" customWidth="1"/>
    <col min="11709" max="11709" width="4.375" style="1" customWidth="1"/>
    <col min="11710" max="11710" width="4.5" style="1" customWidth="1"/>
    <col min="11711" max="11711" width="16.25" style="1" customWidth="1"/>
    <col min="11712" max="11712" width="11.75" style="1" customWidth="1"/>
    <col min="11713" max="11713" width="12.25" style="1" customWidth="1"/>
    <col min="11714" max="11714" width="13.5" style="1" customWidth="1"/>
    <col min="11715" max="11715" width="47.875" style="1" customWidth="1"/>
    <col min="11716" max="11716" width="3.625" style="1" customWidth="1"/>
    <col min="11717" max="11717" width="13.875" style="1" customWidth="1"/>
    <col min="11718" max="11790" width="10" style="1" customWidth="1"/>
    <col min="11791" max="11792" width="8.75" style="1"/>
    <col min="11793" max="11793" width="12.75" style="1" bestFit="1" customWidth="1"/>
    <col min="11794" max="11794" width="8.75" style="1"/>
    <col min="11795" max="11795" width="11.75" style="1" bestFit="1" customWidth="1"/>
    <col min="11796" max="11962" width="8.75" style="1"/>
    <col min="11963" max="11963" width="3.625" style="1" customWidth="1"/>
    <col min="11964" max="11964" width="3.75" style="1" customWidth="1"/>
    <col min="11965" max="11965" width="4.375" style="1" customWidth="1"/>
    <col min="11966" max="11966" width="4.5" style="1" customWidth="1"/>
    <col min="11967" max="11967" width="16.25" style="1" customWidth="1"/>
    <col min="11968" max="11968" width="11.75" style="1" customWidth="1"/>
    <col min="11969" max="11969" width="12.25" style="1" customWidth="1"/>
    <col min="11970" max="11970" width="13.5" style="1" customWidth="1"/>
    <col min="11971" max="11971" width="47.875" style="1" customWidth="1"/>
    <col min="11972" max="11972" width="3.625" style="1" customWidth="1"/>
    <col min="11973" max="11973" width="13.875" style="1" customWidth="1"/>
    <col min="11974" max="12046" width="10" style="1" customWidth="1"/>
    <col min="12047" max="12048" width="8.75" style="1"/>
    <col min="12049" max="12049" width="12.75" style="1" bestFit="1" customWidth="1"/>
    <col min="12050" max="12050" width="8.75" style="1"/>
    <col min="12051" max="12051" width="11.75" style="1" bestFit="1" customWidth="1"/>
    <col min="12052" max="12218" width="8.75" style="1"/>
    <col min="12219" max="12219" width="3.625" style="1" customWidth="1"/>
    <col min="12220" max="12220" width="3.75" style="1" customWidth="1"/>
    <col min="12221" max="12221" width="4.375" style="1" customWidth="1"/>
    <col min="12222" max="12222" width="4.5" style="1" customWidth="1"/>
    <col min="12223" max="12223" width="16.25" style="1" customWidth="1"/>
    <col min="12224" max="12224" width="11.75" style="1" customWidth="1"/>
    <col min="12225" max="12225" width="12.25" style="1" customWidth="1"/>
    <col min="12226" max="12226" width="13.5" style="1" customWidth="1"/>
    <col min="12227" max="12227" width="47.875" style="1" customWidth="1"/>
    <col min="12228" max="12228" width="3.625" style="1" customWidth="1"/>
    <col min="12229" max="12229" width="13.875" style="1" customWidth="1"/>
    <col min="12230" max="12302" width="10" style="1" customWidth="1"/>
    <col min="12303" max="12304" width="8.75" style="1"/>
    <col min="12305" max="12305" width="12.75" style="1" bestFit="1" customWidth="1"/>
    <col min="12306" max="12306" width="8.75" style="1"/>
    <col min="12307" max="12307" width="11.75" style="1" bestFit="1" customWidth="1"/>
    <col min="12308" max="12474" width="8.75" style="1"/>
    <col min="12475" max="12475" width="3.625" style="1" customWidth="1"/>
    <col min="12476" max="12476" width="3.75" style="1" customWidth="1"/>
    <col min="12477" max="12477" width="4.375" style="1" customWidth="1"/>
    <col min="12478" max="12478" width="4.5" style="1" customWidth="1"/>
    <col min="12479" max="12479" width="16.25" style="1" customWidth="1"/>
    <col min="12480" max="12480" width="11.75" style="1" customWidth="1"/>
    <col min="12481" max="12481" width="12.25" style="1" customWidth="1"/>
    <col min="12482" max="12482" width="13.5" style="1" customWidth="1"/>
    <col min="12483" max="12483" width="47.875" style="1" customWidth="1"/>
    <col min="12484" max="12484" width="3.625" style="1" customWidth="1"/>
    <col min="12485" max="12485" width="13.875" style="1" customWidth="1"/>
    <col min="12486" max="12558" width="10" style="1" customWidth="1"/>
    <col min="12559" max="12560" width="8.75" style="1"/>
    <col min="12561" max="12561" width="12.75" style="1" bestFit="1" customWidth="1"/>
    <col min="12562" max="12562" width="8.75" style="1"/>
    <col min="12563" max="12563" width="11.75" style="1" bestFit="1" customWidth="1"/>
    <col min="12564" max="12730" width="8.75" style="1"/>
    <col min="12731" max="12731" width="3.625" style="1" customWidth="1"/>
    <col min="12732" max="12732" width="3.75" style="1" customWidth="1"/>
    <col min="12733" max="12733" width="4.375" style="1" customWidth="1"/>
    <col min="12734" max="12734" width="4.5" style="1" customWidth="1"/>
    <col min="12735" max="12735" width="16.25" style="1" customWidth="1"/>
    <col min="12736" max="12736" width="11.75" style="1" customWidth="1"/>
    <col min="12737" max="12737" width="12.25" style="1" customWidth="1"/>
    <col min="12738" max="12738" width="13.5" style="1" customWidth="1"/>
    <col min="12739" max="12739" width="47.875" style="1" customWidth="1"/>
    <col min="12740" max="12740" width="3.625" style="1" customWidth="1"/>
    <col min="12741" max="12741" width="13.875" style="1" customWidth="1"/>
    <col min="12742" max="12814" width="10" style="1" customWidth="1"/>
    <col min="12815" max="12816" width="8.75" style="1"/>
    <col min="12817" max="12817" width="12.75" style="1" bestFit="1" customWidth="1"/>
    <col min="12818" max="12818" width="8.75" style="1"/>
    <col min="12819" max="12819" width="11.75" style="1" bestFit="1" customWidth="1"/>
    <col min="12820" max="12986" width="8.75" style="1"/>
    <col min="12987" max="12987" width="3.625" style="1" customWidth="1"/>
    <col min="12988" max="12988" width="3.75" style="1" customWidth="1"/>
    <col min="12989" max="12989" width="4.375" style="1" customWidth="1"/>
    <col min="12990" max="12990" width="4.5" style="1" customWidth="1"/>
    <col min="12991" max="12991" width="16.25" style="1" customWidth="1"/>
    <col min="12992" max="12992" width="11.75" style="1" customWidth="1"/>
    <col min="12993" max="12993" width="12.25" style="1" customWidth="1"/>
    <col min="12994" max="12994" width="13.5" style="1" customWidth="1"/>
    <col min="12995" max="12995" width="47.875" style="1" customWidth="1"/>
    <col min="12996" max="12996" width="3.625" style="1" customWidth="1"/>
    <col min="12997" max="12997" width="13.875" style="1" customWidth="1"/>
    <col min="12998" max="13070" width="10" style="1" customWidth="1"/>
    <col min="13071" max="13072" width="8.75" style="1"/>
    <col min="13073" max="13073" width="12.75" style="1" bestFit="1" customWidth="1"/>
    <col min="13074" max="13074" width="8.75" style="1"/>
    <col min="13075" max="13075" width="11.75" style="1" bestFit="1" customWidth="1"/>
    <col min="13076" max="13242" width="8.75" style="1"/>
    <col min="13243" max="13243" width="3.625" style="1" customWidth="1"/>
    <col min="13244" max="13244" width="3.75" style="1" customWidth="1"/>
    <col min="13245" max="13245" width="4.375" style="1" customWidth="1"/>
    <col min="13246" max="13246" width="4.5" style="1" customWidth="1"/>
    <col min="13247" max="13247" width="16.25" style="1" customWidth="1"/>
    <col min="13248" max="13248" width="11.75" style="1" customWidth="1"/>
    <col min="13249" max="13249" width="12.25" style="1" customWidth="1"/>
    <col min="13250" max="13250" width="13.5" style="1" customWidth="1"/>
    <col min="13251" max="13251" width="47.875" style="1" customWidth="1"/>
    <col min="13252" max="13252" width="3.625" style="1" customWidth="1"/>
    <col min="13253" max="13253" width="13.875" style="1" customWidth="1"/>
    <col min="13254" max="13326" width="10" style="1" customWidth="1"/>
    <col min="13327" max="13328" width="8.75" style="1"/>
    <col min="13329" max="13329" width="12.75" style="1" bestFit="1" customWidth="1"/>
    <col min="13330" max="13330" width="8.75" style="1"/>
    <col min="13331" max="13331" width="11.75" style="1" bestFit="1" customWidth="1"/>
    <col min="13332" max="13498" width="8.75" style="1"/>
    <col min="13499" max="13499" width="3.625" style="1" customWidth="1"/>
    <col min="13500" max="13500" width="3.75" style="1" customWidth="1"/>
    <col min="13501" max="13501" width="4.375" style="1" customWidth="1"/>
    <col min="13502" max="13502" width="4.5" style="1" customWidth="1"/>
    <col min="13503" max="13503" width="16.25" style="1" customWidth="1"/>
    <col min="13504" max="13504" width="11.75" style="1" customWidth="1"/>
    <col min="13505" max="13505" width="12.25" style="1" customWidth="1"/>
    <col min="13506" max="13506" width="13.5" style="1" customWidth="1"/>
    <col min="13507" max="13507" width="47.875" style="1" customWidth="1"/>
    <col min="13508" max="13508" width="3.625" style="1" customWidth="1"/>
    <col min="13509" max="13509" width="13.875" style="1" customWidth="1"/>
    <col min="13510" max="13582" width="10" style="1" customWidth="1"/>
    <col min="13583" max="13584" width="8.75" style="1"/>
    <col min="13585" max="13585" width="12.75" style="1" bestFit="1" customWidth="1"/>
    <col min="13586" max="13586" width="8.75" style="1"/>
    <col min="13587" max="13587" width="11.75" style="1" bestFit="1" customWidth="1"/>
    <col min="13588" max="13754" width="8.75" style="1"/>
    <col min="13755" max="13755" width="3.625" style="1" customWidth="1"/>
    <col min="13756" max="13756" width="3.75" style="1" customWidth="1"/>
    <col min="13757" max="13757" width="4.375" style="1" customWidth="1"/>
    <col min="13758" max="13758" width="4.5" style="1" customWidth="1"/>
    <col min="13759" max="13759" width="16.25" style="1" customWidth="1"/>
    <col min="13760" max="13760" width="11.75" style="1" customWidth="1"/>
    <col min="13761" max="13761" width="12.25" style="1" customWidth="1"/>
    <col min="13762" max="13762" width="13.5" style="1" customWidth="1"/>
    <col min="13763" max="13763" width="47.875" style="1" customWidth="1"/>
    <col min="13764" max="13764" width="3.625" style="1" customWidth="1"/>
    <col min="13765" max="13765" width="13.875" style="1" customWidth="1"/>
    <col min="13766" max="13838" width="10" style="1" customWidth="1"/>
    <col min="13839" max="13840" width="8.75" style="1"/>
    <col min="13841" max="13841" width="12.75" style="1" bestFit="1" customWidth="1"/>
    <col min="13842" max="13842" width="8.75" style="1"/>
    <col min="13843" max="13843" width="11.75" style="1" bestFit="1" customWidth="1"/>
    <col min="13844" max="14010" width="8.75" style="1"/>
    <col min="14011" max="14011" width="3.625" style="1" customWidth="1"/>
    <col min="14012" max="14012" width="3.75" style="1" customWidth="1"/>
    <col min="14013" max="14013" width="4.375" style="1" customWidth="1"/>
    <col min="14014" max="14014" width="4.5" style="1" customWidth="1"/>
    <col min="14015" max="14015" width="16.25" style="1" customWidth="1"/>
    <col min="14016" max="14016" width="11.75" style="1" customWidth="1"/>
    <col min="14017" max="14017" width="12.25" style="1" customWidth="1"/>
    <col min="14018" max="14018" width="13.5" style="1" customWidth="1"/>
    <col min="14019" max="14019" width="47.875" style="1" customWidth="1"/>
    <col min="14020" max="14020" width="3.625" style="1" customWidth="1"/>
    <col min="14021" max="14021" width="13.875" style="1" customWidth="1"/>
    <col min="14022" max="14094" width="10" style="1" customWidth="1"/>
    <col min="14095" max="14096" width="8.75" style="1"/>
    <col min="14097" max="14097" width="12.75" style="1" bestFit="1" customWidth="1"/>
    <col min="14098" max="14098" width="8.75" style="1"/>
    <col min="14099" max="14099" width="11.75" style="1" bestFit="1" customWidth="1"/>
    <col min="14100" max="14266" width="8.75" style="1"/>
    <col min="14267" max="14267" width="3.625" style="1" customWidth="1"/>
    <col min="14268" max="14268" width="3.75" style="1" customWidth="1"/>
    <col min="14269" max="14269" width="4.375" style="1" customWidth="1"/>
    <col min="14270" max="14270" width="4.5" style="1" customWidth="1"/>
    <col min="14271" max="14271" width="16.25" style="1" customWidth="1"/>
    <col min="14272" max="14272" width="11.75" style="1" customWidth="1"/>
    <col min="14273" max="14273" width="12.25" style="1" customWidth="1"/>
    <col min="14274" max="14274" width="13.5" style="1" customWidth="1"/>
    <col min="14275" max="14275" width="47.875" style="1" customWidth="1"/>
    <col min="14276" max="14276" width="3.625" style="1" customWidth="1"/>
    <col min="14277" max="14277" width="13.875" style="1" customWidth="1"/>
    <col min="14278" max="14350" width="10" style="1" customWidth="1"/>
    <col min="14351" max="14352" width="8.75" style="1"/>
    <col min="14353" max="14353" width="12.75" style="1" bestFit="1" customWidth="1"/>
    <col min="14354" max="14354" width="8.75" style="1"/>
    <col min="14355" max="14355" width="11.75" style="1" bestFit="1" customWidth="1"/>
    <col min="14356" max="14522" width="8.75" style="1"/>
    <col min="14523" max="14523" width="3.625" style="1" customWidth="1"/>
    <col min="14524" max="14524" width="3.75" style="1" customWidth="1"/>
    <col min="14525" max="14525" width="4.375" style="1" customWidth="1"/>
    <col min="14526" max="14526" width="4.5" style="1" customWidth="1"/>
    <col min="14527" max="14527" width="16.25" style="1" customWidth="1"/>
    <col min="14528" max="14528" width="11.75" style="1" customWidth="1"/>
    <col min="14529" max="14529" width="12.25" style="1" customWidth="1"/>
    <col min="14530" max="14530" width="13.5" style="1" customWidth="1"/>
    <col min="14531" max="14531" width="47.875" style="1" customWidth="1"/>
    <col min="14532" max="14532" width="3.625" style="1" customWidth="1"/>
    <col min="14533" max="14533" width="13.875" style="1" customWidth="1"/>
    <col min="14534" max="14606" width="10" style="1" customWidth="1"/>
    <col min="14607" max="14608" width="8.75" style="1"/>
    <col min="14609" max="14609" width="12.75" style="1" bestFit="1" customWidth="1"/>
    <col min="14610" max="14610" width="8.75" style="1"/>
    <col min="14611" max="14611" width="11.75" style="1" bestFit="1" customWidth="1"/>
    <col min="14612" max="14778" width="8.75" style="1"/>
    <col min="14779" max="14779" width="3.625" style="1" customWidth="1"/>
    <col min="14780" max="14780" width="3.75" style="1" customWidth="1"/>
    <col min="14781" max="14781" width="4.375" style="1" customWidth="1"/>
    <col min="14782" max="14782" width="4.5" style="1" customWidth="1"/>
    <col min="14783" max="14783" width="16.25" style="1" customWidth="1"/>
    <col min="14784" max="14784" width="11.75" style="1" customWidth="1"/>
    <col min="14785" max="14785" width="12.25" style="1" customWidth="1"/>
    <col min="14786" max="14786" width="13.5" style="1" customWidth="1"/>
    <col min="14787" max="14787" width="47.875" style="1" customWidth="1"/>
    <col min="14788" max="14788" width="3.625" style="1" customWidth="1"/>
    <col min="14789" max="14789" width="13.875" style="1" customWidth="1"/>
    <col min="14790" max="14862" width="10" style="1" customWidth="1"/>
    <col min="14863" max="14864" width="8.75" style="1"/>
    <col min="14865" max="14865" width="12.75" style="1" bestFit="1" customWidth="1"/>
    <col min="14866" max="14866" width="8.75" style="1"/>
    <col min="14867" max="14867" width="11.75" style="1" bestFit="1" customWidth="1"/>
    <col min="14868" max="15034" width="8.75" style="1"/>
    <col min="15035" max="15035" width="3.625" style="1" customWidth="1"/>
    <col min="15036" max="15036" width="3.75" style="1" customWidth="1"/>
    <col min="15037" max="15037" width="4.375" style="1" customWidth="1"/>
    <col min="15038" max="15038" width="4.5" style="1" customWidth="1"/>
    <col min="15039" max="15039" width="16.25" style="1" customWidth="1"/>
    <col min="15040" max="15040" width="11.75" style="1" customWidth="1"/>
    <col min="15041" max="15041" width="12.25" style="1" customWidth="1"/>
    <col min="15042" max="15042" width="13.5" style="1" customWidth="1"/>
    <col min="15043" max="15043" width="47.875" style="1" customWidth="1"/>
    <col min="15044" max="15044" width="3.625" style="1" customWidth="1"/>
    <col min="15045" max="15045" width="13.875" style="1" customWidth="1"/>
    <col min="15046" max="15118" width="10" style="1" customWidth="1"/>
    <col min="15119" max="15120" width="8.75" style="1"/>
    <col min="15121" max="15121" width="12.75" style="1" bestFit="1" customWidth="1"/>
    <col min="15122" max="15122" width="8.75" style="1"/>
    <col min="15123" max="15123" width="11.75" style="1" bestFit="1" customWidth="1"/>
    <col min="15124" max="15290" width="8.75" style="1"/>
    <col min="15291" max="15291" width="3.625" style="1" customWidth="1"/>
    <col min="15292" max="15292" width="3.75" style="1" customWidth="1"/>
    <col min="15293" max="15293" width="4.375" style="1" customWidth="1"/>
    <col min="15294" max="15294" width="4.5" style="1" customWidth="1"/>
    <col min="15295" max="15295" width="16.25" style="1" customWidth="1"/>
    <col min="15296" max="15296" width="11.75" style="1" customWidth="1"/>
    <col min="15297" max="15297" width="12.25" style="1" customWidth="1"/>
    <col min="15298" max="15298" width="13.5" style="1" customWidth="1"/>
    <col min="15299" max="15299" width="47.875" style="1" customWidth="1"/>
    <col min="15300" max="15300" width="3.625" style="1" customWidth="1"/>
    <col min="15301" max="15301" width="13.875" style="1" customWidth="1"/>
    <col min="15302" max="15374" width="10" style="1" customWidth="1"/>
    <col min="15375" max="15376" width="8.75" style="1"/>
    <col min="15377" max="15377" width="12.75" style="1" bestFit="1" customWidth="1"/>
    <col min="15378" max="15378" width="8.75" style="1"/>
    <col min="15379" max="15379" width="11.75" style="1" bestFit="1" customWidth="1"/>
    <col min="15380" max="15546" width="8.75" style="1"/>
    <col min="15547" max="15547" width="3.625" style="1" customWidth="1"/>
    <col min="15548" max="15548" width="3.75" style="1" customWidth="1"/>
    <col min="15549" max="15549" width="4.375" style="1" customWidth="1"/>
    <col min="15550" max="15550" width="4.5" style="1" customWidth="1"/>
    <col min="15551" max="15551" width="16.25" style="1" customWidth="1"/>
    <col min="15552" max="15552" width="11.75" style="1" customWidth="1"/>
    <col min="15553" max="15553" width="12.25" style="1" customWidth="1"/>
    <col min="15554" max="15554" width="13.5" style="1" customWidth="1"/>
    <col min="15555" max="15555" width="47.875" style="1" customWidth="1"/>
    <col min="15556" max="15556" width="3.625" style="1" customWidth="1"/>
    <col min="15557" max="15557" width="13.875" style="1" customWidth="1"/>
    <col min="15558" max="15630" width="10" style="1" customWidth="1"/>
    <col min="15631" max="15632" width="8.75" style="1"/>
    <col min="15633" max="15633" width="12.75" style="1" bestFit="1" customWidth="1"/>
    <col min="15634" max="15634" width="8.75" style="1"/>
    <col min="15635" max="15635" width="11.75" style="1" bestFit="1" customWidth="1"/>
    <col min="15636" max="15802" width="8.75" style="1"/>
    <col min="15803" max="15803" width="3.625" style="1" customWidth="1"/>
    <col min="15804" max="15804" width="3.75" style="1" customWidth="1"/>
    <col min="15805" max="15805" width="4.375" style="1" customWidth="1"/>
    <col min="15806" max="15806" width="4.5" style="1" customWidth="1"/>
    <col min="15807" max="15807" width="16.25" style="1" customWidth="1"/>
    <col min="15808" max="15808" width="11.75" style="1" customWidth="1"/>
    <col min="15809" max="15809" width="12.25" style="1" customWidth="1"/>
    <col min="15810" max="15810" width="13.5" style="1" customWidth="1"/>
    <col min="15811" max="15811" width="47.875" style="1" customWidth="1"/>
    <col min="15812" max="15812" width="3.625" style="1" customWidth="1"/>
    <col min="15813" max="15813" width="13.875" style="1" customWidth="1"/>
    <col min="15814" max="15886" width="10" style="1" customWidth="1"/>
    <col min="15887" max="15888" width="8.75" style="1"/>
    <col min="15889" max="15889" width="12.75" style="1" bestFit="1" customWidth="1"/>
    <col min="15890" max="15890" width="8.75" style="1"/>
    <col min="15891" max="15891" width="11.75" style="1" bestFit="1" customWidth="1"/>
    <col min="15892" max="16058" width="8.75" style="1"/>
    <col min="16059" max="16059" width="3.625" style="1" customWidth="1"/>
    <col min="16060" max="16060" width="3.75" style="1" customWidth="1"/>
    <col min="16061" max="16061" width="4.375" style="1" customWidth="1"/>
    <col min="16062" max="16062" width="4.5" style="1" customWidth="1"/>
    <col min="16063" max="16063" width="16.25" style="1" customWidth="1"/>
    <col min="16064" max="16064" width="11.75" style="1" customWidth="1"/>
    <col min="16065" max="16065" width="12.25" style="1" customWidth="1"/>
    <col min="16066" max="16066" width="13.5" style="1" customWidth="1"/>
    <col min="16067" max="16067" width="47.875" style="1" customWidth="1"/>
    <col min="16068" max="16068" width="3.625" style="1" customWidth="1"/>
    <col min="16069" max="16069" width="13.875" style="1" customWidth="1"/>
    <col min="16070" max="16142" width="10" style="1" customWidth="1"/>
    <col min="16143" max="16144" width="8.75" style="1"/>
    <col min="16145" max="16145" width="12.75" style="1" bestFit="1" customWidth="1"/>
    <col min="16146" max="16146" width="8.75" style="1"/>
    <col min="16147" max="16147" width="11.75" style="1" bestFit="1" customWidth="1"/>
    <col min="16148" max="16384" width="8.75" style="1"/>
  </cols>
  <sheetData>
    <row r="1" spans="1:24" ht="18" customHeight="1" thickBot="1">
      <c r="A1" s="1698" t="s">
        <v>904</v>
      </c>
      <c r="B1" s="1699"/>
      <c r="C1" s="1698"/>
      <c r="D1" s="1698"/>
      <c r="E1" s="1698"/>
      <c r="F1" s="1700"/>
      <c r="G1" s="1701"/>
      <c r="H1" s="1702"/>
      <c r="I1" s="1702"/>
      <c r="J1" s="1703"/>
      <c r="K1" s="1704"/>
      <c r="L1" s="1705"/>
      <c r="M1" s="1314" t="s">
        <v>903</v>
      </c>
    </row>
    <row r="2" spans="1:24" s="2" customFormat="1" ht="18" customHeight="1">
      <c r="A2" s="2930" t="s">
        <v>844</v>
      </c>
      <c r="B2" s="2932" t="s">
        <v>845</v>
      </c>
      <c r="C2" s="2933"/>
      <c r="D2" s="2934"/>
      <c r="E2" s="2932" t="s">
        <v>846</v>
      </c>
      <c r="F2" s="2933"/>
      <c r="G2" s="2934"/>
      <c r="H2" s="2944" t="s">
        <v>33</v>
      </c>
      <c r="I2" s="2940" t="s">
        <v>35</v>
      </c>
      <c r="J2" s="2942" t="s">
        <v>73</v>
      </c>
      <c r="K2" s="2923" t="s">
        <v>105</v>
      </c>
      <c r="L2" s="2924"/>
      <c r="M2" s="2925"/>
      <c r="N2" s="85"/>
      <c r="O2" s="6"/>
      <c r="P2" s="39"/>
      <c r="Q2" s="6"/>
      <c r="R2" s="6"/>
      <c r="S2" s="6"/>
      <c r="T2" s="14"/>
      <c r="U2" s="5"/>
    </row>
    <row r="3" spans="1:24" s="2" customFormat="1" ht="18" customHeight="1" thickBot="1">
      <c r="A3" s="2931"/>
      <c r="B3" s="1015" t="s">
        <v>847</v>
      </c>
      <c r="C3" s="1015" t="s">
        <v>848</v>
      </c>
      <c r="D3" s="1015" t="s">
        <v>849</v>
      </c>
      <c r="E3" s="1015" t="s">
        <v>850</v>
      </c>
      <c r="F3" s="1015" t="s">
        <v>851</v>
      </c>
      <c r="G3" s="1015" t="s">
        <v>852</v>
      </c>
      <c r="H3" s="2945"/>
      <c r="I3" s="2941"/>
      <c r="J3" s="2943"/>
      <c r="K3" s="2926"/>
      <c r="L3" s="2927"/>
      <c r="M3" s="2928"/>
      <c r="N3" s="85"/>
      <c r="O3" s="6"/>
      <c r="P3" s="39"/>
      <c r="Q3" s="6"/>
      <c r="R3" s="6"/>
      <c r="S3" s="6"/>
      <c r="T3" s="14"/>
      <c r="U3" s="5"/>
    </row>
    <row r="4" spans="1:24" s="2" customFormat="1" ht="18" customHeight="1" thickBot="1">
      <c r="A4" s="2938" t="s">
        <v>613</v>
      </c>
      <c r="B4" s="2939"/>
      <c r="C4" s="2939"/>
      <c r="D4" s="2939"/>
      <c r="E4" s="2939"/>
      <c r="F4" s="2939"/>
      <c r="G4" s="2939"/>
      <c r="H4" s="745">
        <f>H5+H519</f>
        <v>16662050</v>
      </c>
      <c r="I4" s="745">
        <v>16422581</v>
      </c>
      <c r="J4" s="745">
        <f t="shared" ref="J4:J314" si="0">H4-I4</f>
        <v>239469</v>
      </c>
      <c r="K4" s="675"/>
      <c r="L4" s="676"/>
      <c r="M4" s="677"/>
      <c r="N4" s="85"/>
      <c r="O4" s="6"/>
      <c r="P4" s="39"/>
      <c r="Q4" s="6"/>
      <c r="R4" s="6"/>
      <c r="S4" s="6"/>
      <c r="T4" s="14"/>
      <c r="U4" s="5"/>
    </row>
    <row r="5" spans="1:24" s="2" customFormat="1" ht="18" customHeight="1">
      <c r="A5" s="1092" t="s">
        <v>204</v>
      </c>
      <c r="B5" s="1020"/>
      <c r="C5" s="1020"/>
      <c r="D5" s="1020"/>
      <c r="E5" s="1020"/>
      <c r="F5" s="1020"/>
      <c r="G5" s="1021"/>
      <c r="H5" s="829">
        <f>H6</f>
        <v>16154050</v>
      </c>
      <c r="I5" s="829">
        <v>15890185</v>
      </c>
      <c r="J5" s="830">
        <f t="shared" si="0"/>
        <v>263865</v>
      </c>
      <c r="K5" s="678"/>
      <c r="L5" s="679"/>
      <c r="M5" s="680"/>
      <c r="N5" s="84"/>
      <c r="O5" s="4"/>
      <c r="P5" s="39"/>
      <c r="Q5" s="6"/>
      <c r="R5" s="6"/>
      <c r="S5" s="6"/>
      <c r="T5" s="14"/>
      <c r="U5" s="5"/>
    </row>
    <row r="6" spans="1:24" s="2" customFormat="1" ht="18" customHeight="1">
      <c r="A6" s="64"/>
      <c r="B6" s="1026" t="s">
        <v>594</v>
      </c>
      <c r="C6" s="1027"/>
      <c r="D6" s="1027"/>
      <c r="E6" s="1027"/>
      <c r="F6" s="1027"/>
      <c r="G6" s="1028"/>
      <c r="H6" s="829">
        <f>H310+H7</f>
        <v>16154050</v>
      </c>
      <c r="I6" s="829">
        <v>15890185</v>
      </c>
      <c r="J6" s="830">
        <f t="shared" si="0"/>
        <v>263865</v>
      </c>
      <c r="K6" s="678"/>
      <c r="L6" s="679"/>
      <c r="M6" s="680"/>
      <c r="N6" s="84"/>
      <c r="O6" s="4"/>
      <c r="P6" s="39"/>
      <c r="Q6" s="6"/>
      <c r="R6" s="6"/>
      <c r="S6" s="6"/>
      <c r="T6" s="14"/>
      <c r="U6" s="5"/>
    </row>
    <row r="7" spans="1:24" s="2" customFormat="1" ht="18" customHeight="1">
      <c r="A7" s="64"/>
      <c r="B7" s="22"/>
      <c r="C7" s="1026" t="s">
        <v>595</v>
      </c>
      <c r="D7" s="1027"/>
      <c r="E7" s="1027"/>
      <c r="F7" s="1027"/>
      <c r="G7" s="1028"/>
      <c r="H7" s="829">
        <f>H8+H258</f>
        <v>5219217</v>
      </c>
      <c r="I7" s="829">
        <v>5298338</v>
      </c>
      <c r="J7" s="830">
        <f t="shared" si="0"/>
        <v>-79121</v>
      </c>
      <c r="K7" s="678"/>
      <c r="L7" s="679"/>
      <c r="M7" s="680"/>
      <c r="N7" s="2936"/>
      <c r="O7" s="2936"/>
      <c r="P7" s="2936"/>
      <c r="Q7" s="2936"/>
      <c r="R7" s="2936"/>
      <c r="S7" s="2936"/>
      <c r="T7" s="2936"/>
      <c r="U7" s="2936"/>
    </row>
    <row r="8" spans="1:24" ht="18" customHeight="1">
      <c r="A8" s="1707"/>
      <c r="B8" s="22"/>
      <c r="C8" s="25"/>
      <c r="D8" s="1026" t="s">
        <v>873</v>
      </c>
      <c r="E8" s="1027"/>
      <c r="F8" s="1027"/>
      <c r="G8" s="1028"/>
      <c r="H8" s="1029">
        <f>H9+H234+H256</f>
        <v>5130718</v>
      </c>
      <c r="I8" s="1029">
        <v>5141908</v>
      </c>
      <c r="J8" s="51">
        <f t="shared" si="0"/>
        <v>-11190</v>
      </c>
      <c r="M8" s="680"/>
    </row>
    <row r="9" spans="1:24" s="2" customFormat="1" ht="18" customHeight="1">
      <c r="A9" s="64"/>
      <c r="B9" s="22"/>
      <c r="C9" s="832"/>
      <c r="D9" s="1032"/>
      <c r="E9" s="56" t="s">
        <v>623</v>
      </c>
      <c r="F9" s="56"/>
      <c r="G9" s="56"/>
      <c r="H9" s="825">
        <f>H10+H197+H203+H207+H226</f>
        <v>1504983</v>
      </c>
      <c r="I9" s="825">
        <v>1468396</v>
      </c>
      <c r="J9" s="826">
        <f t="shared" si="0"/>
        <v>36587</v>
      </c>
      <c r="K9" s="728"/>
      <c r="L9" s="827"/>
      <c r="M9" s="694">
        <f>M10+M197+M203+M207+M226</f>
        <v>1504983</v>
      </c>
      <c r="N9" s="84"/>
      <c r="O9" s="4"/>
      <c r="P9" s="39"/>
      <c r="Q9" s="6"/>
      <c r="R9" s="6"/>
      <c r="S9" s="6"/>
      <c r="T9" s="15"/>
      <c r="U9" s="5"/>
    </row>
    <row r="10" spans="1:24" s="2" customFormat="1" ht="18" customHeight="1">
      <c r="A10" s="64"/>
      <c r="B10" s="22"/>
      <c r="C10" s="23"/>
      <c r="D10" s="23"/>
      <c r="E10" s="23"/>
      <c r="F10" s="55" t="s">
        <v>49</v>
      </c>
      <c r="G10" s="55"/>
      <c r="H10" s="754">
        <f>H11+H76+H79+H82+H97+H130+H146+H158+H184+H194</f>
        <v>1247836</v>
      </c>
      <c r="I10" s="754">
        <v>1363391</v>
      </c>
      <c r="J10" s="472">
        <f t="shared" si="0"/>
        <v>-115555</v>
      </c>
      <c r="K10" s="702"/>
      <c r="L10" s="695"/>
      <c r="M10" s="683">
        <f>H11+H76+H79+H82+H97+H130+H146+H158+H184+H194</f>
        <v>1247836</v>
      </c>
      <c r="N10" s="84"/>
      <c r="O10" s="4"/>
      <c r="P10" s="39"/>
      <c r="Q10" s="6"/>
      <c r="R10" s="6"/>
      <c r="S10" s="6"/>
      <c r="T10" s="14"/>
      <c r="U10" s="5"/>
    </row>
    <row r="11" spans="1:24" ht="18" customHeight="1">
      <c r="A11" s="64"/>
      <c r="B11" s="22"/>
      <c r="C11" s="22"/>
      <c r="D11" s="22"/>
      <c r="E11" s="22"/>
      <c r="F11" s="24"/>
      <c r="G11" s="22" t="s">
        <v>32</v>
      </c>
      <c r="H11" s="756">
        <f>M11+M51</f>
        <v>59506</v>
      </c>
      <c r="I11" s="756">
        <v>64394</v>
      </c>
      <c r="J11" s="474">
        <f t="shared" si="0"/>
        <v>-4888</v>
      </c>
      <c r="K11" s="703" t="s">
        <v>84</v>
      </c>
      <c r="L11" s="689"/>
      <c r="M11" s="475">
        <f>M12+M15+M17+M23+M24+M25+M31+M32+M49+M46+M40+M41+M45+M50</f>
        <v>41056</v>
      </c>
      <c r="N11" s="78"/>
      <c r="O11" s="70"/>
      <c r="P11" s="71" t="s">
        <v>87</v>
      </c>
      <c r="Q11" s="72" t="s">
        <v>12</v>
      </c>
      <c r="R11" s="72" t="s">
        <v>18</v>
      </c>
      <c r="S11" s="72" t="s">
        <v>1</v>
      </c>
      <c r="T11" s="73" t="s">
        <v>91</v>
      </c>
      <c r="V11" s="2"/>
    </row>
    <row r="12" spans="1:24" ht="18" customHeight="1">
      <c r="A12" s="64"/>
      <c r="B12" s="22"/>
      <c r="C12" s="22"/>
      <c r="D12" s="22"/>
      <c r="E12" s="22"/>
      <c r="F12" s="24"/>
      <c r="G12" s="27"/>
      <c r="H12" s="760"/>
      <c r="I12" s="760"/>
      <c r="J12" s="474"/>
      <c r="K12" s="806" t="s">
        <v>28</v>
      </c>
      <c r="L12" s="807"/>
      <c r="M12" s="788">
        <f>M13+M14</f>
        <v>5712</v>
      </c>
      <c r="N12" s="846" t="s">
        <v>28</v>
      </c>
      <c r="O12" s="3"/>
      <c r="P12" s="68"/>
      <c r="Q12" s="69"/>
      <c r="R12" s="69"/>
      <c r="S12" s="69"/>
      <c r="T12" s="77">
        <v>6705600</v>
      </c>
      <c r="V12" s="59" t="s">
        <v>1044</v>
      </c>
      <c r="W12" s="847" t="s">
        <v>1045</v>
      </c>
      <c r="X12" s="847" t="s">
        <v>1046</v>
      </c>
    </row>
    <row r="13" spans="1:24" ht="18" customHeight="1">
      <c r="A13" s="64"/>
      <c r="B13" s="22"/>
      <c r="C13" s="22"/>
      <c r="D13" s="22"/>
      <c r="E13" s="22"/>
      <c r="F13" s="24"/>
      <c r="G13" s="27"/>
      <c r="H13" s="760"/>
      <c r="I13" s="760"/>
      <c r="J13" s="474"/>
      <c r="K13" s="801" t="s">
        <v>2322</v>
      </c>
      <c r="L13" s="804" t="s">
        <v>6</v>
      </c>
      <c r="M13" s="1794">
        <f>T13/1000</f>
        <v>3312</v>
      </c>
      <c r="N13" s="848" t="s">
        <v>1047</v>
      </c>
      <c r="O13" s="3"/>
      <c r="P13" s="68">
        <v>23000</v>
      </c>
      <c r="Q13" s="69">
        <v>12</v>
      </c>
      <c r="R13" s="69" t="s">
        <v>13</v>
      </c>
      <c r="S13" s="69">
        <v>12</v>
      </c>
      <c r="T13" s="849">
        <f>P13*Q13*S13</f>
        <v>3312000</v>
      </c>
      <c r="V13" s="59" t="s">
        <v>1048</v>
      </c>
      <c r="W13" s="850">
        <v>27900</v>
      </c>
      <c r="X13" s="850">
        <v>29900</v>
      </c>
    </row>
    <row r="14" spans="1:24" ht="18" customHeight="1">
      <c r="A14" s="64"/>
      <c r="B14" s="22"/>
      <c r="C14" s="22"/>
      <c r="D14" s="22"/>
      <c r="E14" s="22"/>
      <c r="F14" s="22"/>
      <c r="G14" s="22"/>
      <c r="H14" s="760"/>
      <c r="I14" s="760"/>
      <c r="J14" s="474"/>
      <c r="K14" s="801" t="s">
        <v>2323</v>
      </c>
      <c r="L14" s="804" t="s">
        <v>6</v>
      </c>
      <c r="M14" s="1794">
        <v>2400</v>
      </c>
      <c r="N14" s="848" t="s">
        <v>1049</v>
      </c>
      <c r="O14" s="3"/>
      <c r="P14" s="68" t="s">
        <v>1050</v>
      </c>
      <c r="Q14" s="69">
        <v>1</v>
      </c>
      <c r="R14" s="69" t="s">
        <v>9</v>
      </c>
      <c r="S14" s="69">
        <v>12</v>
      </c>
      <c r="T14" s="849">
        <v>2400000</v>
      </c>
      <c r="V14" s="59"/>
      <c r="W14" s="847"/>
      <c r="X14" s="847"/>
    </row>
    <row r="15" spans="1:24" ht="18" customHeight="1">
      <c r="A15" s="65"/>
      <c r="B15" s="62"/>
      <c r="C15" s="20"/>
      <c r="D15" s="20"/>
      <c r="E15" s="20"/>
      <c r="F15" s="28"/>
      <c r="G15" s="29"/>
      <c r="H15" s="758"/>
      <c r="I15" s="758"/>
      <c r="J15" s="21"/>
      <c r="K15" s="851" t="s">
        <v>22</v>
      </c>
      <c r="L15" s="804"/>
      <c r="M15" s="788">
        <f>M16</f>
        <v>400</v>
      </c>
      <c r="N15" s="846" t="s">
        <v>22</v>
      </c>
      <c r="O15" s="3"/>
      <c r="P15" s="68"/>
      <c r="Q15" s="69"/>
      <c r="R15" s="69"/>
      <c r="S15" s="69"/>
      <c r="T15" s="77">
        <v>400000</v>
      </c>
      <c r="V15" s="59"/>
      <c r="W15" s="847"/>
      <c r="X15" s="847"/>
    </row>
    <row r="16" spans="1:24" ht="18" customHeight="1">
      <c r="A16" s="65"/>
      <c r="B16" s="62"/>
      <c r="C16" s="20"/>
      <c r="D16" s="20"/>
      <c r="E16" s="20"/>
      <c r="F16" s="28"/>
      <c r="G16" s="29"/>
      <c r="H16" s="758"/>
      <c r="I16" s="758"/>
      <c r="J16" s="21"/>
      <c r="K16" s="801" t="s">
        <v>2351</v>
      </c>
      <c r="L16" s="804" t="s">
        <v>6</v>
      </c>
      <c r="M16" s="1793">
        <v>400</v>
      </c>
      <c r="N16" s="848" t="s">
        <v>1052</v>
      </c>
      <c r="O16" s="3"/>
      <c r="P16" s="68" t="s">
        <v>1050</v>
      </c>
      <c r="Q16" s="69">
        <v>2</v>
      </c>
      <c r="R16" s="69" t="s">
        <v>4</v>
      </c>
      <c r="S16" s="69"/>
      <c r="T16" s="849">
        <v>400000</v>
      </c>
      <c r="V16" s="59"/>
      <c r="W16" s="847"/>
      <c r="X16" s="847"/>
    </row>
    <row r="17" spans="1:24" s="2" customFormat="1" ht="18" customHeight="1">
      <c r="A17" s="64"/>
      <c r="B17" s="22"/>
      <c r="C17" s="22"/>
      <c r="D17" s="22"/>
      <c r="E17" s="22"/>
      <c r="F17" s="22"/>
      <c r="G17" s="22"/>
      <c r="H17" s="760"/>
      <c r="I17" s="760"/>
      <c r="J17" s="21"/>
      <c r="K17" s="806" t="s">
        <v>104</v>
      </c>
      <c r="L17" s="807"/>
      <c r="M17" s="788">
        <f>M18+M19+M20+M21+M22</f>
        <v>7200</v>
      </c>
      <c r="N17" s="846" t="s">
        <v>104</v>
      </c>
      <c r="O17" s="3"/>
      <c r="P17" s="68"/>
      <c r="Q17" s="69"/>
      <c r="R17" s="75"/>
      <c r="S17" s="75"/>
      <c r="T17" s="852">
        <v>8200000</v>
      </c>
      <c r="U17" s="5"/>
      <c r="V17" s="847"/>
      <c r="W17" s="59"/>
      <c r="X17" s="59"/>
    </row>
    <row r="18" spans="1:24" s="2" customFormat="1" ht="18" customHeight="1">
      <c r="A18" s="64"/>
      <c r="B18" s="22"/>
      <c r="C18" s="22"/>
      <c r="D18" s="22"/>
      <c r="E18" s="22"/>
      <c r="F18" s="22"/>
      <c r="G18" s="22"/>
      <c r="H18" s="760"/>
      <c r="I18" s="760"/>
      <c r="J18" s="21"/>
      <c r="K18" s="801" t="s">
        <v>2346</v>
      </c>
      <c r="L18" s="804" t="s">
        <v>6</v>
      </c>
      <c r="M18" s="1794">
        <f>T18/1000</f>
        <v>4000</v>
      </c>
      <c r="N18" s="848" t="s">
        <v>1053</v>
      </c>
      <c r="O18" s="3"/>
      <c r="P18" s="68" t="s">
        <v>1050</v>
      </c>
      <c r="Q18" s="69">
        <v>20</v>
      </c>
      <c r="R18" s="69" t="s">
        <v>4</v>
      </c>
      <c r="S18" s="69"/>
      <c r="T18" s="849">
        <f>P18*Q18</f>
        <v>4000000</v>
      </c>
      <c r="U18" s="5"/>
      <c r="V18" s="847"/>
      <c r="W18" s="59"/>
      <c r="X18" s="59"/>
    </row>
    <row r="19" spans="1:24" s="2" customFormat="1" ht="18" customHeight="1">
      <c r="A19" s="64"/>
      <c r="B19" s="22"/>
      <c r="C19" s="22"/>
      <c r="D19" s="22"/>
      <c r="E19" s="22"/>
      <c r="F19" s="22"/>
      <c r="G19" s="22"/>
      <c r="H19" s="760"/>
      <c r="I19" s="760"/>
      <c r="J19" s="21"/>
      <c r="K19" s="801" t="s">
        <v>2347</v>
      </c>
      <c r="L19" s="804" t="s">
        <v>6</v>
      </c>
      <c r="M19" s="1794">
        <v>1100</v>
      </c>
      <c r="N19" s="848" t="s">
        <v>1054</v>
      </c>
      <c r="O19" s="3"/>
      <c r="P19" s="68" t="s">
        <v>1055</v>
      </c>
      <c r="Q19" s="69">
        <v>10</v>
      </c>
      <c r="R19" s="69" t="s">
        <v>4</v>
      </c>
      <c r="S19" s="69"/>
      <c r="T19" s="849">
        <v>1100000</v>
      </c>
      <c r="U19" s="5"/>
      <c r="V19" s="847"/>
      <c r="W19" s="59"/>
      <c r="X19" s="59"/>
    </row>
    <row r="20" spans="1:24" s="2" customFormat="1" ht="18" customHeight="1">
      <c r="A20" s="64"/>
      <c r="B20" s="22"/>
      <c r="C20" s="22"/>
      <c r="D20" s="22"/>
      <c r="E20" s="22"/>
      <c r="F20" s="22"/>
      <c r="G20" s="22"/>
      <c r="H20" s="760"/>
      <c r="I20" s="760"/>
      <c r="J20" s="21"/>
      <c r="K20" s="801" t="s">
        <v>2348</v>
      </c>
      <c r="L20" s="804" t="s">
        <v>6</v>
      </c>
      <c r="M20" s="1794">
        <v>1100</v>
      </c>
      <c r="N20" s="848" t="s">
        <v>1056</v>
      </c>
      <c r="O20" s="3"/>
      <c r="P20" s="68" t="s">
        <v>1057</v>
      </c>
      <c r="Q20" s="471">
        <v>100000</v>
      </c>
      <c r="R20" s="69" t="s">
        <v>15</v>
      </c>
      <c r="S20" s="69"/>
      <c r="T20" s="849">
        <v>1100000</v>
      </c>
      <c r="U20" s="5"/>
      <c r="V20" s="59"/>
      <c r="W20" s="59"/>
      <c r="X20" s="59"/>
    </row>
    <row r="21" spans="1:24" s="2" customFormat="1" ht="18" customHeight="1">
      <c r="A21" s="64"/>
      <c r="B21" s="22"/>
      <c r="C21" s="22"/>
      <c r="D21" s="22"/>
      <c r="E21" s="22"/>
      <c r="F21" s="22"/>
      <c r="G21" s="22"/>
      <c r="H21" s="760"/>
      <c r="I21" s="760"/>
      <c r="J21" s="21"/>
      <c r="K21" s="801" t="s">
        <v>2349</v>
      </c>
      <c r="L21" s="804" t="s">
        <v>6</v>
      </c>
      <c r="M21" s="1793">
        <v>600</v>
      </c>
      <c r="N21" s="848" t="s">
        <v>1059</v>
      </c>
      <c r="O21" s="3"/>
      <c r="P21" s="68" t="s">
        <v>1050</v>
      </c>
      <c r="Q21" s="69">
        <v>3</v>
      </c>
      <c r="R21" s="69" t="s">
        <v>4</v>
      </c>
      <c r="S21" s="69"/>
      <c r="T21" s="849">
        <v>600000</v>
      </c>
      <c r="U21" s="5"/>
      <c r="V21" s="59"/>
      <c r="W21" s="59"/>
      <c r="X21" s="59"/>
    </row>
    <row r="22" spans="1:24" s="2" customFormat="1" ht="18" customHeight="1">
      <c r="A22" s="64"/>
      <c r="B22" s="22"/>
      <c r="C22" s="22"/>
      <c r="D22" s="22"/>
      <c r="E22" s="22"/>
      <c r="F22" s="22"/>
      <c r="G22" s="22"/>
      <c r="H22" s="760"/>
      <c r="I22" s="760"/>
      <c r="J22" s="21"/>
      <c r="K22" s="801" t="s">
        <v>2350</v>
      </c>
      <c r="L22" s="804" t="s">
        <v>6</v>
      </c>
      <c r="M22" s="1793">
        <v>400</v>
      </c>
      <c r="N22" s="848" t="s">
        <v>1060</v>
      </c>
      <c r="O22" s="3"/>
      <c r="P22" s="68" t="s">
        <v>1061</v>
      </c>
      <c r="Q22" s="69">
        <v>20</v>
      </c>
      <c r="R22" s="69" t="s">
        <v>9</v>
      </c>
      <c r="S22" s="69"/>
      <c r="T22" s="849">
        <v>400000</v>
      </c>
      <c r="U22" s="5"/>
      <c r="V22" s="59"/>
      <c r="W22" s="59"/>
      <c r="X22" s="59"/>
    </row>
    <row r="23" spans="1:24" s="2" customFormat="1" ht="18" customHeight="1">
      <c r="A23" s="64"/>
      <c r="B23" s="22"/>
      <c r="C23" s="22"/>
      <c r="D23" s="22"/>
      <c r="E23" s="22"/>
      <c r="F23" s="22"/>
      <c r="G23" s="22"/>
      <c r="H23" s="760"/>
      <c r="I23" s="760"/>
      <c r="J23" s="474"/>
      <c r="K23" s="801" t="s">
        <v>1062</v>
      </c>
      <c r="L23" s="804" t="s">
        <v>6</v>
      </c>
      <c r="M23" s="788">
        <v>4800</v>
      </c>
      <c r="N23" s="846" t="s">
        <v>491</v>
      </c>
      <c r="O23" s="3"/>
      <c r="P23" s="68">
        <v>400000</v>
      </c>
      <c r="Q23" s="69"/>
      <c r="R23" s="69"/>
      <c r="S23" s="69">
        <v>12</v>
      </c>
      <c r="T23" s="852">
        <v>4800000</v>
      </c>
      <c r="U23" s="5"/>
      <c r="V23" s="59"/>
      <c r="W23" s="59"/>
      <c r="X23" s="59"/>
    </row>
    <row r="24" spans="1:24" s="1098" customFormat="1" ht="18" customHeight="1">
      <c r="A24" s="64"/>
      <c r="B24" s="22"/>
      <c r="C24" s="22"/>
      <c r="D24" s="22"/>
      <c r="E24" s="22"/>
      <c r="F24" s="22"/>
      <c r="G24" s="22"/>
      <c r="H24" s="760"/>
      <c r="I24" s="760"/>
      <c r="J24" s="21"/>
      <c r="K24" s="801" t="s">
        <v>1063</v>
      </c>
      <c r="L24" s="804" t="s">
        <v>6</v>
      </c>
      <c r="M24" s="788">
        <v>2600</v>
      </c>
      <c r="N24" s="846" t="s">
        <v>1064</v>
      </c>
      <c r="O24" s="3"/>
      <c r="P24" s="81">
        <v>2600000</v>
      </c>
      <c r="Q24" s="1095"/>
      <c r="R24" s="1095"/>
      <c r="S24" s="1095"/>
      <c r="T24" s="852">
        <v>2600000</v>
      </c>
      <c r="U24" s="1096"/>
      <c r="V24" s="1097"/>
      <c r="W24" s="1097"/>
      <c r="X24" s="1097"/>
    </row>
    <row r="25" spans="1:24" s="2" customFormat="1" ht="18" customHeight="1">
      <c r="A25" s="64"/>
      <c r="B25" s="22"/>
      <c r="C25" s="22"/>
      <c r="D25" s="22"/>
      <c r="E25" s="22"/>
      <c r="F25" s="24"/>
      <c r="G25" s="27"/>
      <c r="H25" s="760"/>
      <c r="I25" s="760"/>
      <c r="J25" s="474"/>
      <c r="K25" s="806" t="s">
        <v>492</v>
      </c>
      <c r="L25" s="804"/>
      <c r="M25" s="788">
        <f>M26+M27+M28+M29+M30</f>
        <v>1020</v>
      </c>
      <c r="N25" s="846" t="s">
        <v>62</v>
      </c>
      <c r="O25" s="3"/>
      <c r="P25" s="68"/>
      <c r="Q25" s="69"/>
      <c r="R25" s="69"/>
      <c r="S25" s="69"/>
      <c r="T25" s="77">
        <v>1020000</v>
      </c>
      <c r="U25" s="5"/>
      <c r="V25" s="59" t="s">
        <v>1044</v>
      </c>
      <c r="W25" s="59"/>
      <c r="X25" s="59"/>
    </row>
    <row r="26" spans="1:24" s="2" customFormat="1" ht="18" customHeight="1">
      <c r="A26" s="64"/>
      <c r="B26" s="22"/>
      <c r="C26" s="22"/>
      <c r="D26" s="22"/>
      <c r="E26" s="22"/>
      <c r="F26" s="24"/>
      <c r="G26" s="27"/>
      <c r="H26" s="760"/>
      <c r="I26" s="760"/>
      <c r="J26" s="474"/>
      <c r="K26" s="801" t="s">
        <v>1065</v>
      </c>
      <c r="L26" s="804" t="s">
        <v>6</v>
      </c>
      <c r="M26" s="1793">
        <v>240</v>
      </c>
      <c r="N26" s="848" t="s">
        <v>1066</v>
      </c>
      <c r="O26" s="3"/>
      <c r="P26" s="68" t="s">
        <v>1061</v>
      </c>
      <c r="Q26" s="69">
        <v>1</v>
      </c>
      <c r="R26" s="69" t="s">
        <v>10</v>
      </c>
      <c r="S26" s="69">
        <v>12</v>
      </c>
      <c r="T26" s="849">
        <v>240000</v>
      </c>
      <c r="U26" s="5"/>
      <c r="V26" s="59"/>
      <c r="W26" s="59"/>
      <c r="X26" s="59"/>
    </row>
    <row r="27" spans="1:24" s="2" customFormat="1" ht="18" customHeight="1">
      <c r="A27" s="64"/>
      <c r="B27" s="22"/>
      <c r="C27" s="22"/>
      <c r="D27" s="22"/>
      <c r="E27" s="22"/>
      <c r="F27" s="24"/>
      <c r="G27" s="27"/>
      <c r="H27" s="760"/>
      <c r="I27" s="760"/>
      <c r="J27" s="474"/>
      <c r="K27" s="801" t="s">
        <v>1067</v>
      </c>
      <c r="L27" s="804" t="s">
        <v>6</v>
      </c>
      <c r="M27" s="1793">
        <v>180</v>
      </c>
      <c r="N27" s="848" t="s">
        <v>1068</v>
      </c>
      <c r="O27" s="3"/>
      <c r="P27" s="68" t="s">
        <v>1069</v>
      </c>
      <c r="Q27" s="69">
        <v>1</v>
      </c>
      <c r="R27" s="69" t="s">
        <v>10</v>
      </c>
      <c r="S27" s="69">
        <v>12</v>
      </c>
      <c r="T27" s="849">
        <v>180000</v>
      </c>
      <c r="U27" s="5"/>
      <c r="V27" s="59"/>
      <c r="W27" s="59"/>
      <c r="X27" s="59"/>
    </row>
    <row r="28" spans="1:24" s="2" customFormat="1" ht="18" customHeight="1">
      <c r="A28" s="64"/>
      <c r="B28" s="22"/>
      <c r="C28" s="22"/>
      <c r="D28" s="22"/>
      <c r="E28" s="22"/>
      <c r="F28" s="24"/>
      <c r="G28" s="27"/>
      <c r="H28" s="760"/>
      <c r="I28" s="760"/>
      <c r="J28" s="474"/>
      <c r="K28" s="801" t="s">
        <v>1070</v>
      </c>
      <c r="L28" s="804" t="s">
        <v>6</v>
      </c>
      <c r="M28" s="1793">
        <v>240</v>
      </c>
      <c r="N28" s="848" t="s">
        <v>1071</v>
      </c>
      <c r="O28" s="3"/>
      <c r="P28" s="68" t="s">
        <v>1061</v>
      </c>
      <c r="Q28" s="69">
        <v>1</v>
      </c>
      <c r="R28" s="69" t="s">
        <v>10</v>
      </c>
      <c r="S28" s="69">
        <v>12</v>
      </c>
      <c r="T28" s="849">
        <v>240000</v>
      </c>
      <c r="U28" s="5"/>
      <c r="V28" s="59"/>
      <c r="W28" s="59"/>
      <c r="X28" s="59"/>
    </row>
    <row r="29" spans="1:24" s="2" customFormat="1" ht="18" customHeight="1">
      <c r="A29" s="64"/>
      <c r="B29" s="22"/>
      <c r="C29" s="22"/>
      <c r="D29" s="22"/>
      <c r="E29" s="22"/>
      <c r="F29" s="24"/>
      <c r="G29" s="27"/>
      <c r="H29" s="760"/>
      <c r="I29" s="760"/>
      <c r="J29" s="474"/>
      <c r="K29" s="801" t="s">
        <v>1072</v>
      </c>
      <c r="L29" s="804" t="s">
        <v>6</v>
      </c>
      <c r="M29" s="1793">
        <v>120</v>
      </c>
      <c r="N29" s="848" t="s">
        <v>1074</v>
      </c>
      <c r="O29" s="3"/>
      <c r="P29" s="68" t="s">
        <v>1075</v>
      </c>
      <c r="Q29" s="69">
        <v>1</v>
      </c>
      <c r="R29" s="69" t="s">
        <v>10</v>
      </c>
      <c r="S29" s="69">
        <v>12</v>
      </c>
      <c r="T29" s="849">
        <v>120000</v>
      </c>
      <c r="U29" s="5"/>
      <c r="V29" s="59" t="s">
        <v>1076</v>
      </c>
      <c r="W29" s="59"/>
      <c r="X29" s="59"/>
    </row>
    <row r="30" spans="1:24" s="2" customFormat="1" ht="18" customHeight="1">
      <c r="A30" s="64"/>
      <c r="B30" s="22"/>
      <c r="C30" s="22"/>
      <c r="D30" s="22"/>
      <c r="E30" s="22"/>
      <c r="F30" s="24"/>
      <c r="G30" s="27"/>
      <c r="H30" s="760"/>
      <c r="I30" s="760"/>
      <c r="J30" s="474"/>
      <c r="K30" s="801" t="s">
        <v>1077</v>
      </c>
      <c r="L30" s="804" t="s">
        <v>6</v>
      </c>
      <c r="M30" s="1793">
        <v>240</v>
      </c>
      <c r="N30" s="848" t="s">
        <v>1078</v>
      </c>
      <c r="O30" s="3"/>
      <c r="P30" s="68" t="s">
        <v>1061</v>
      </c>
      <c r="Q30" s="69">
        <v>1</v>
      </c>
      <c r="R30" s="69" t="s">
        <v>10</v>
      </c>
      <c r="S30" s="69">
        <v>12</v>
      </c>
      <c r="T30" s="849">
        <v>240000</v>
      </c>
      <c r="U30" s="5"/>
      <c r="V30" s="59"/>
      <c r="W30" s="59"/>
      <c r="X30" s="59"/>
    </row>
    <row r="31" spans="1:24" s="1098" customFormat="1" ht="18" customHeight="1">
      <c r="A31" s="64"/>
      <c r="B31" s="22"/>
      <c r="C31" s="22"/>
      <c r="D31" s="22"/>
      <c r="E31" s="22"/>
      <c r="F31" s="22"/>
      <c r="G31" s="22"/>
      <c r="H31" s="760"/>
      <c r="I31" s="760"/>
      <c r="J31" s="21"/>
      <c r="K31" s="688" t="s">
        <v>1079</v>
      </c>
      <c r="L31" s="804" t="s">
        <v>6</v>
      </c>
      <c r="M31" s="788">
        <v>300</v>
      </c>
      <c r="N31" s="4"/>
      <c r="O31" s="4"/>
      <c r="P31" s="60"/>
      <c r="Q31" s="1099"/>
      <c r="R31" s="1099"/>
      <c r="S31" s="1099"/>
      <c r="T31" s="1100"/>
      <c r="U31" s="1096"/>
      <c r="V31" s="1097"/>
      <c r="W31" s="1097"/>
      <c r="X31" s="1097"/>
    </row>
    <row r="32" spans="1:24" s="1098" customFormat="1" ht="18" customHeight="1">
      <c r="A32" s="64"/>
      <c r="B32" s="22"/>
      <c r="C32" s="22"/>
      <c r="D32" s="22"/>
      <c r="E32" s="22"/>
      <c r="F32" s="22"/>
      <c r="G32" s="22"/>
      <c r="H32" s="760"/>
      <c r="I32" s="760"/>
      <c r="J32" s="21"/>
      <c r="K32" s="806" t="s">
        <v>1080</v>
      </c>
      <c r="L32" s="807"/>
      <c r="M32" s="788">
        <f>M33+M34+M35+M36+M37+M38+M39</f>
        <v>3020</v>
      </c>
      <c r="N32" s="4"/>
      <c r="O32" s="4"/>
      <c r="P32" s="60"/>
      <c r="Q32" s="1099"/>
      <c r="R32" s="1099"/>
      <c r="S32" s="1099"/>
      <c r="T32" s="1100"/>
      <c r="U32" s="1096"/>
      <c r="V32" s="1097"/>
      <c r="W32" s="1097"/>
      <c r="X32" s="1097"/>
    </row>
    <row r="33" spans="1:24" s="2" customFormat="1" ht="18" customHeight="1">
      <c r="A33" s="64"/>
      <c r="B33" s="22"/>
      <c r="C33" s="22"/>
      <c r="D33" s="22"/>
      <c r="E33" s="22"/>
      <c r="F33" s="22"/>
      <c r="G33" s="22"/>
      <c r="H33" s="760"/>
      <c r="I33" s="760"/>
      <c r="J33" s="21"/>
      <c r="K33" s="806" t="s">
        <v>1081</v>
      </c>
      <c r="L33" s="804" t="s">
        <v>6</v>
      </c>
      <c r="M33" s="1793">
        <v>600</v>
      </c>
      <c r="N33" s="4"/>
      <c r="O33" s="4"/>
      <c r="P33" s="39">
        <v>5000</v>
      </c>
      <c r="Q33" s="45">
        <v>60</v>
      </c>
      <c r="R33" s="6">
        <v>2</v>
      </c>
      <c r="S33" s="6"/>
      <c r="T33" s="45">
        <v>600000</v>
      </c>
      <c r="U33" s="5"/>
      <c r="V33" s="59"/>
      <c r="W33" s="59"/>
      <c r="X33" s="59"/>
    </row>
    <row r="34" spans="1:24" s="2" customFormat="1" ht="18" customHeight="1">
      <c r="A34" s="64"/>
      <c r="B34" s="22"/>
      <c r="C34" s="22"/>
      <c r="D34" s="22"/>
      <c r="E34" s="22"/>
      <c r="F34" s="22"/>
      <c r="G34" s="22"/>
      <c r="H34" s="760"/>
      <c r="I34" s="760"/>
      <c r="J34" s="21"/>
      <c r="K34" s="806" t="s">
        <v>1082</v>
      </c>
      <c r="L34" s="804" t="s">
        <v>6</v>
      </c>
      <c r="M34" s="1793">
        <v>800</v>
      </c>
      <c r="N34" s="4"/>
      <c r="O34" s="4"/>
      <c r="P34" s="39">
        <v>200000</v>
      </c>
      <c r="Q34" s="6">
        <v>1</v>
      </c>
      <c r="R34" s="6">
        <v>4</v>
      </c>
      <c r="S34" s="6"/>
      <c r="T34" s="45">
        <v>800000</v>
      </c>
      <c r="U34" s="5"/>
      <c r="V34" s="59"/>
      <c r="W34" s="59"/>
      <c r="X34" s="59"/>
    </row>
    <row r="35" spans="1:24" s="2" customFormat="1" ht="18" customHeight="1">
      <c r="A35" s="64"/>
      <c r="B35" s="22"/>
      <c r="C35" s="22"/>
      <c r="D35" s="22"/>
      <c r="E35" s="22"/>
      <c r="F35" s="22"/>
      <c r="G35" s="22"/>
      <c r="H35" s="760"/>
      <c r="I35" s="760"/>
      <c r="J35" s="21"/>
      <c r="K35" s="806" t="s">
        <v>1083</v>
      </c>
      <c r="L35" s="804" t="s">
        <v>6</v>
      </c>
      <c r="M35" s="1793">
        <v>600</v>
      </c>
      <c r="N35" s="4"/>
      <c r="O35" s="4"/>
      <c r="P35" s="39">
        <v>5000</v>
      </c>
      <c r="Q35" s="6">
        <v>30</v>
      </c>
      <c r="R35" s="6">
        <v>4</v>
      </c>
      <c r="S35" s="6"/>
      <c r="T35" s="45">
        <v>600000</v>
      </c>
      <c r="U35" s="5"/>
      <c r="V35" s="59"/>
      <c r="W35" s="59"/>
      <c r="X35" s="59"/>
    </row>
    <row r="36" spans="1:24" s="2" customFormat="1" ht="18" customHeight="1">
      <c r="A36" s="64"/>
      <c r="B36" s="22"/>
      <c r="C36" s="22"/>
      <c r="D36" s="22"/>
      <c r="E36" s="22"/>
      <c r="F36" s="22"/>
      <c r="G36" s="22"/>
      <c r="H36" s="760"/>
      <c r="I36" s="760"/>
      <c r="J36" s="21"/>
      <c r="K36" s="806" t="s">
        <v>1084</v>
      </c>
      <c r="L36" s="804" t="s">
        <v>6</v>
      </c>
      <c r="M36" s="1793">
        <v>100</v>
      </c>
      <c r="N36" s="4"/>
      <c r="O36" s="4"/>
      <c r="P36" s="39">
        <v>5000</v>
      </c>
      <c r="Q36" s="6">
        <v>20</v>
      </c>
      <c r="R36" s="6"/>
      <c r="S36" s="6"/>
      <c r="T36" s="45">
        <v>100000</v>
      </c>
      <c r="U36" s="5"/>
      <c r="V36" s="59"/>
      <c r="W36" s="59"/>
      <c r="X36" s="59"/>
    </row>
    <row r="37" spans="1:24" s="2" customFormat="1" ht="18" customHeight="1">
      <c r="A37" s="64"/>
      <c r="B37" s="22"/>
      <c r="C37" s="22"/>
      <c r="D37" s="22"/>
      <c r="E37" s="22"/>
      <c r="F37" s="22"/>
      <c r="G37" s="22"/>
      <c r="H37" s="760"/>
      <c r="I37" s="760"/>
      <c r="J37" s="21"/>
      <c r="K37" s="806" t="s">
        <v>1085</v>
      </c>
      <c r="L37" s="804" t="s">
        <v>6</v>
      </c>
      <c r="M37" s="1793">
        <v>100</v>
      </c>
      <c r="N37" s="4"/>
      <c r="O37" s="4"/>
      <c r="P37" s="39">
        <v>5000</v>
      </c>
      <c r="Q37" s="6">
        <v>20</v>
      </c>
      <c r="R37" s="6"/>
      <c r="S37" s="6"/>
      <c r="T37" s="45">
        <v>100000</v>
      </c>
      <c r="U37" s="5"/>
      <c r="V37" s="59"/>
      <c r="W37" s="59"/>
      <c r="X37" s="59"/>
    </row>
    <row r="38" spans="1:24" s="2" customFormat="1" ht="18" customHeight="1">
      <c r="A38" s="64"/>
      <c r="B38" s="22"/>
      <c r="C38" s="22"/>
      <c r="D38" s="22"/>
      <c r="E38" s="22"/>
      <c r="F38" s="22"/>
      <c r="G38" s="22"/>
      <c r="H38" s="760"/>
      <c r="I38" s="760"/>
      <c r="J38" s="21"/>
      <c r="K38" s="806" t="s">
        <v>1086</v>
      </c>
      <c r="L38" s="804" t="s">
        <v>6</v>
      </c>
      <c r="M38" s="1793">
        <v>320</v>
      </c>
      <c r="N38" s="4"/>
      <c r="O38" s="4"/>
      <c r="P38" s="39">
        <v>16000</v>
      </c>
      <c r="Q38" s="6">
        <v>20</v>
      </c>
      <c r="R38" s="6"/>
      <c r="S38" s="6"/>
      <c r="T38" s="45">
        <v>320000</v>
      </c>
      <c r="U38" s="5"/>
      <c r="V38" s="59"/>
      <c r="W38" s="59"/>
      <c r="X38" s="59"/>
    </row>
    <row r="39" spans="1:24" s="2" customFormat="1" ht="18" customHeight="1">
      <c r="A39" s="64"/>
      <c r="B39" s="22"/>
      <c r="C39" s="22"/>
      <c r="D39" s="22"/>
      <c r="E39" s="22"/>
      <c r="F39" s="22"/>
      <c r="G39" s="22"/>
      <c r="H39" s="760"/>
      <c r="I39" s="760"/>
      <c r="J39" s="21"/>
      <c r="K39" s="806" t="s">
        <v>1087</v>
      </c>
      <c r="L39" s="804" t="s">
        <v>6</v>
      </c>
      <c r="M39" s="1793">
        <v>500</v>
      </c>
      <c r="N39" s="4"/>
      <c r="O39" s="4"/>
      <c r="P39" s="39">
        <v>10000</v>
      </c>
      <c r="Q39" s="6">
        <v>5</v>
      </c>
      <c r="R39" s="6">
        <v>10</v>
      </c>
      <c r="S39" s="6"/>
      <c r="T39" s="45">
        <v>500000</v>
      </c>
      <c r="U39" s="5"/>
      <c r="V39" s="59"/>
      <c r="W39" s="59"/>
      <c r="X39" s="59"/>
    </row>
    <row r="40" spans="1:24" s="2" customFormat="1" ht="18" customHeight="1">
      <c r="A40" s="64"/>
      <c r="B40" s="22"/>
      <c r="C40" s="22"/>
      <c r="D40" s="22"/>
      <c r="E40" s="22"/>
      <c r="F40" s="24"/>
      <c r="G40" s="27"/>
      <c r="H40" s="760"/>
      <c r="I40" s="760"/>
      <c r="J40" s="21"/>
      <c r="K40" s="688" t="s">
        <v>1088</v>
      </c>
      <c r="L40" s="699" t="s">
        <v>6</v>
      </c>
      <c r="M40" s="475">
        <v>6600</v>
      </c>
      <c r="N40" s="84"/>
      <c r="O40" s="4"/>
      <c r="P40" s="39"/>
      <c r="Q40" s="6"/>
      <c r="R40" s="6"/>
      <c r="S40" s="6"/>
      <c r="T40" s="14"/>
      <c r="U40" s="5"/>
    </row>
    <row r="41" spans="1:24" s="2" customFormat="1" ht="18" customHeight="1">
      <c r="A41" s="64"/>
      <c r="B41" s="22"/>
      <c r="C41" s="22"/>
      <c r="D41" s="22"/>
      <c r="E41" s="22"/>
      <c r="F41" s="24"/>
      <c r="G41" s="27"/>
      <c r="H41" s="760"/>
      <c r="I41" s="760"/>
      <c r="J41" s="21"/>
      <c r="K41" s="706" t="s">
        <v>110</v>
      </c>
      <c r="L41" s="853"/>
      <c r="M41" s="788">
        <f>M42+M43+M44</f>
        <v>1554</v>
      </c>
      <c r="N41" s="854" t="s">
        <v>110</v>
      </c>
      <c r="O41" s="82"/>
      <c r="P41" s="68"/>
      <c r="Q41" s="69"/>
      <c r="R41" s="69"/>
      <c r="S41" s="69"/>
      <c r="T41" s="77">
        <v>1554000</v>
      </c>
      <c r="U41" s="5"/>
      <c r="V41" s="59" t="s">
        <v>1044</v>
      </c>
      <c r="W41" s="59" t="s">
        <v>1045</v>
      </c>
      <c r="X41" s="59" t="s">
        <v>1046</v>
      </c>
    </row>
    <row r="42" spans="1:24" s="2" customFormat="1" ht="18" customHeight="1">
      <c r="A42" s="64"/>
      <c r="B42" s="22"/>
      <c r="C42" s="22"/>
      <c r="D42" s="22"/>
      <c r="E42" s="22"/>
      <c r="F42" s="24"/>
      <c r="G42" s="27"/>
      <c r="H42" s="760"/>
      <c r="I42" s="760"/>
      <c r="J42" s="21"/>
      <c r="K42" s="801" t="s">
        <v>1089</v>
      </c>
      <c r="L42" s="853" t="s">
        <v>6</v>
      </c>
      <c r="M42" s="1793">
        <v>250</v>
      </c>
      <c r="N42" s="855" t="s">
        <v>1090</v>
      </c>
      <c r="O42" s="82"/>
      <c r="P42" s="68" t="s">
        <v>1091</v>
      </c>
      <c r="Q42" s="69">
        <v>1</v>
      </c>
      <c r="R42" s="69" t="s">
        <v>11</v>
      </c>
      <c r="S42" s="69"/>
      <c r="T42" s="856">
        <v>250000</v>
      </c>
      <c r="U42" s="5"/>
      <c r="V42" s="59" t="s">
        <v>1092</v>
      </c>
      <c r="W42" s="59" t="s">
        <v>1093</v>
      </c>
      <c r="X42" s="59" t="s">
        <v>1094</v>
      </c>
    </row>
    <row r="43" spans="1:24" s="2" customFormat="1" ht="18" customHeight="1">
      <c r="A43" s="64"/>
      <c r="B43" s="22"/>
      <c r="C43" s="22"/>
      <c r="D43" s="22"/>
      <c r="E43" s="22"/>
      <c r="F43" s="24"/>
      <c r="G43" s="27"/>
      <c r="H43" s="760"/>
      <c r="I43" s="760"/>
      <c r="J43" s="21"/>
      <c r="K43" s="801" t="s">
        <v>1095</v>
      </c>
      <c r="L43" s="853" t="s">
        <v>6</v>
      </c>
      <c r="M43" s="1793">
        <v>420</v>
      </c>
      <c r="N43" s="855" t="s">
        <v>1096</v>
      </c>
      <c r="O43" s="82"/>
      <c r="P43" s="68" t="s">
        <v>1097</v>
      </c>
      <c r="Q43" s="69">
        <v>1</v>
      </c>
      <c r="R43" s="69" t="s">
        <v>11</v>
      </c>
      <c r="S43" s="69"/>
      <c r="T43" s="856">
        <v>420000</v>
      </c>
      <c r="U43" s="5"/>
      <c r="V43" s="59"/>
      <c r="W43" s="59"/>
      <c r="X43" s="59"/>
    </row>
    <row r="44" spans="1:24" s="2" customFormat="1" ht="18" customHeight="1">
      <c r="A44" s="64"/>
      <c r="B44" s="22"/>
      <c r="C44" s="22"/>
      <c r="D44" s="22"/>
      <c r="E44" s="22"/>
      <c r="F44" s="24"/>
      <c r="G44" s="27"/>
      <c r="H44" s="760"/>
      <c r="I44" s="760"/>
      <c r="J44" s="21"/>
      <c r="K44" s="801" t="s">
        <v>1098</v>
      </c>
      <c r="L44" s="804" t="s">
        <v>6</v>
      </c>
      <c r="M44" s="1793">
        <v>884</v>
      </c>
      <c r="N44" s="855" t="s">
        <v>1099</v>
      </c>
      <c r="O44" s="82"/>
      <c r="P44" s="68" t="s">
        <v>1100</v>
      </c>
      <c r="Q44" s="69">
        <v>34</v>
      </c>
      <c r="R44" s="69" t="s">
        <v>11</v>
      </c>
      <c r="S44" s="69"/>
      <c r="T44" s="856">
        <v>884000</v>
      </c>
      <c r="U44" s="5"/>
      <c r="V44" s="59"/>
      <c r="W44" s="59"/>
      <c r="X44" s="59"/>
    </row>
    <row r="45" spans="1:24" s="2" customFormat="1" ht="18" customHeight="1">
      <c r="A45" s="64"/>
      <c r="B45" s="22"/>
      <c r="C45" s="22"/>
      <c r="D45" s="22"/>
      <c r="E45" s="22"/>
      <c r="F45" s="24"/>
      <c r="G45" s="27"/>
      <c r="H45" s="760"/>
      <c r="I45" s="760"/>
      <c r="J45" s="21"/>
      <c r="K45" s="684" t="s">
        <v>2352</v>
      </c>
      <c r="L45" s="699" t="s">
        <v>6</v>
      </c>
      <c r="M45" s="475">
        <f>T45/1000</f>
        <v>4000</v>
      </c>
      <c r="N45" s="83" t="s">
        <v>493</v>
      </c>
      <c r="O45" s="82"/>
      <c r="P45" s="68">
        <v>50000</v>
      </c>
      <c r="Q45" s="69">
        <v>80</v>
      </c>
      <c r="R45" s="69" t="s">
        <v>10</v>
      </c>
      <c r="S45" s="69"/>
      <c r="T45" s="79">
        <f>P45*Q45</f>
        <v>4000000</v>
      </c>
      <c r="U45" s="5"/>
    </row>
    <row r="46" spans="1:24" ht="18" customHeight="1">
      <c r="A46" s="64"/>
      <c r="B46" s="22"/>
      <c r="C46" s="23"/>
      <c r="D46" s="23"/>
      <c r="E46" s="23"/>
      <c r="F46" s="23"/>
      <c r="G46" s="27"/>
      <c r="H46" s="1101"/>
      <c r="I46" s="1101"/>
      <c r="J46" s="21"/>
      <c r="K46" s="684" t="s">
        <v>108</v>
      </c>
      <c r="L46" s="686"/>
      <c r="M46" s="475">
        <f>M47+M48</f>
        <v>650</v>
      </c>
      <c r="N46" s="80"/>
      <c r="O46" s="3"/>
      <c r="P46" s="68"/>
      <c r="Q46" s="69"/>
      <c r="R46" s="69"/>
      <c r="S46" s="69"/>
      <c r="T46" s="76"/>
    </row>
    <row r="47" spans="1:24" ht="18" customHeight="1">
      <c r="A47" s="65"/>
      <c r="B47" s="62"/>
      <c r="C47" s="20"/>
      <c r="D47" s="20"/>
      <c r="E47" s="20"/>
      <c r="F47" s="28"/>
      <c r="G47" s="29"/>
      <c r="H47" s="758"/>
      <c r="I47" s="758"/>
      <c r="J47" s="21"/>
      <c r="K47" s="684" t="s">
        <v>1101</v>
      </c>
      <c r="L47" s="686" t="s">
        <v>6</v>
      </c>
      <c r="M47" s="1795">
        <v>200</v>
      </c>
      <c r="N47" s="16"/>
      <c r="O47" s="3"/>
      <c r="P47" s="68">
        <v>10000</v>
      </c>
      <c r="Q47" s="69">
        <v>20</v>
      </c>
      <c r="R47" s="69">
        <v>1</v>
      </c>
      <c r="S47" s="69"/>
      <c r="T47" s="14">
        <v>200000</v>
      </c>
    </row>
    <row r="48" spans="1:24" s="2" customFormat="1" ht="18" customHeight="1">
      <c r="A48" s="64"/>
      <c r="B48" s="22"/>
      <c r="C48" s="22"/>
      <c r="D48" s="22"/>
      <c r="E48" s="22"/>
      <c r="F48" s="22"/>
      <c r="G48" s="22"/>
      <c r="H48" s="760"/>
      <c r="I48" s="760"/>
      <c r="J48" s="21"/>
      <c r="K48" s="698" t="s">
        <v>1103</v>
      </c>
      <c r="L48" s="699" t="s">
        <v>6</v>
      </c>
      <c r="M48" s="1796">
        <v>450</v>
      </c>
      <c r="N48" s="84"/>
      <c r="O48" s="4"/>
      <c r="P48" s="39">
        <v>15000</v>
      </c>
      <c r="Q48" s="6">
        <v>30</v>
      </c>
      <c r="R48" s="6">
        <v>1</v>
      </c>
      <c r="S48" s="6"/>
      <c r="T48" s="14">
        <v>450000</v>
      </c>
      <c r="U48" s="5"/>
    </row>
    <row r="49" spans="1:24" s="2" customFormat="1" ht="18" customHeight="1">
      <c r="A49" s="64"/>
      <c r="B49" s="22"/>
      <c r="C49" s="22"/>
      <c r="D49" s="22"/>
      <c r="E49" s="22"/>
      <c r="F49" s="22"/>
      <c r="G49" s="22"/>
      <c r="H49" s="760"/>
      <c r="I49" s="760"/>
      <c r="J49" s="21"/>
      <c r="K49" s="688" t="s">
        <v>2324</v>
      </c>
      <c r="L49" s="699" t="s">
        <v>6</v>
      </c>
      <c r="M49" s="705">
        <v>800</v>
      </c>
      <c r="N49" s="84"/>
      <c r="O49" s="4"/>
      <c r="P49" s="39">
        <v>1000000</v>
      </c>
      <c r="Q49" s="6">
        <v>1</v>
      </c>
      <c r="R49" s="6">
        <v>1</v>
      </c>
      <c r="S49" s="6"/>
      <c r="T49" s="14">
        <v>1000000</v>
      </c>
      <c r="U49" s="5"/>
    </row>
    <row r="50" spans="1:24" s="2" customFormat="1" ht="18" customHeight="1">
      <c r="A50" s="64"/>
      <c r="B50" s="22"/>
      <c r="C50" s="22"/>
      <c r="D50" s="22"/>
      <c r="E50" s="22"/>
      <c r="F50" s="22"/>
      <c r="G50" s="22"/>
      <c r="H50" s="760"/>
      <c r="I50" s="760"/>
      <c r="J50" s="21"/>
      <c r="K50" s="688" t="s">
        <v>1104</v>
      </c>
      <c r="L50" s="699"/>
      <c r="M50" s="705">
        <v>2400</v>
      </c>
      <c r="N50" s="84"/>
      <c r="O50" s="4"/>
      <c r="P50" s="39">
        <v>200000</v>
      </c>
      <c r="Q50" s="6">
        <v>12</v>
      </c>
      <c r="R50" s="6"/>
      <c r="S50" s="6"/>
      <c r="T50" s="14">
        <v>2400000</v>
      </c>
      <c r="U50" s="5"/>
    </row>
    <row r="51" spans="1:24" s="2" customFormat="1" ht="18" customHeight="1">
      <c r="A51" s="64"/>
      <c r="B51" s="22"/>
      <c r="C51" s="22"/>
      <c r="D51" s="22"/>
      <c r="E51" s="22"/>
      <c r="F51" s="22"/>
      <c r="G51" s="22"/>
      <c r="H51" s="760"/>
      <c r="I51" s="760"/>
      <c r="J51" s="21"/>
      <c r="K51" s="701" t="s">
        <v>63</v>
      </c>
      <c r="L51" s="699"/>
      <c r="M51" s="475">
        <f>M52+M55+M58+M61+M63+M65+M68+M69+M70+M72+M73+M74+M75</f>
        <v>18450</v>
      </c>
      <c r="N51" s="86"/>
      <c r="O51" s="7"/>
      <c r="P51" s="40" t="s">
        <v>87</v>
      </c>
      <c r="Q51" s="41" t="s">
        <v>93</v>
      </c>
      <c r="R51" s="41" t="s">
        <v>16</v>
      </c>
      <c r="S51" s="41"/>
      <c r="T51" s="42" t="s">
        <v>91</v>
      </c>
      <c r="U51" s="5"/>
    </row>
    <row r="52" spans="1:24" s="2" customFormat="1" ht="18" customHeight="1">
      <c r="A52" s="64"/>
      <c r="B52" s="22"/>
      <c r="C52" s="22"/>
      <c r="D52" s="22"/>
      <c r="E52" s="22"/>
      <c r="F52" s="22"/>
      <c r="G52" s="22"/>
      <c r="H52" s="760"/>
      <c r="I52" s="760"/>
      <c r="J52" s="21"/>
      <c r="K52" s="806" t="s">
        <v>1105</v>
      </c>
      <c r="L52" s="841"/>
      <c r="M52" s="788">
        <f>M53+M54</f>
        <v>4200</v>
      </c>
      <c r="N52" s="59"/>
      <c r="O52" s="59"/>
      <c r="P52" s="59"/>
      <c r="Q52" s="59"/>
      <c r="R52" s="59"/>
      <c r="S52" s="59"/>
      <c r="T52" s="842">
        <v>4600000</v>
      </c>
      <c r="U52" s="5"/>
      <c r="V52" s="59"/>
      <c r="W52" s="59"/>
      <c r="X52" s="59"/>
    </row>
    <row r="53" spans="1:24" s="2" customFormat="1" ht="18" customHeight="1">
      <c r="A53" s="64"/>
      <c r="B53" s="22"/>
      <c r="C53" s="22"/>
      <c r="D53" s="22"/>
      <c r="E53" s="22"/>
      <c r="F53" s="22"/>
      <c r="G53" s="22"/>
      <c r="H53" s="760"/>
      <c r="I53" s="760"/>
      <c r="J53" s="21"/>
      <c r="K53" s="806" t="s">
        <v>2325</v>
      </c>
      <c r="L53" s="841" t="s">
        <v>6</v>
      </c>
      <c r="M53" s="1794">
        <f>T53/1000</f>
        <v>3600</v>
      </c>
      <c r="N53" s="4"/>
      <c r="O53" s="4"/>
      <c r="P53" s="39">
        <v>100000</v>
      </c>
      <c r="Q53" s="6">
        <v>4</v>
      </c>
      <c r="R53" s="6">
        <v>9</v>
      </c>
      <c r="S53" s="6"/>
      <c r="T53" s="45">
        <f>P53*Q53*R53</f>
        <v>3600000</v>
      </c>
      <c r="U53" s="5"/>
      <c r="V53" s="59"/>
      <c r="W53" s="59"/>
      <c r="X53" s="59"/>
    </row>
    <row r="54" spans="1:24" s="2" customFormat="1" ht="18" customHeight="1">
      <c r="A54" s="64"/>
      <c r="B54" s="22"/>
      <c r="C54" s="22"/>
      <c r="D54" s="22"/>
      <c r="E54" s="22"/>
      <c r="F54" s="22"/>
      <c r="G54" s="22"/>
      <c r="H54" s="760"/>
      <c r="I54" s="760"/>
      <c r="J54" s="21"/>
      <c r="K54" s="806" t="s">
        <v>1106</v>
      </c>
      <c r="L54" s="841" t="s">
        <v>6</v>
      </c>
      <c r="M54" s="1793">
        <v>600</v>
      </c>
      <c r="N54" s="4"/>
      <c r="O54" s="4"/>
      <c r="P54" s="39">
        <v>50000</v>
      </c>
      <c r="Q54" s="6">
        <v>4</v>
      </c>
      <c r="R54" s="6">
        <v>3</v>
      </c>
      <c r="S54" s="6"/>
      <c r="T54" s="45">
        <v>600000</v>
      </c>
      <c r="U54" s="5"/>
      <c r="V54" s="59"/>
      <c r="W54" s="59"/>
      <c r="X54" s="59"/>
    </row>
    <row r="55" spans="1:24" s="2" customFormat="1" ht="18" customHeight="1">
      <c r="A55" s="64"/>
      <c r="B55" s="22"/>
      <c r="C55" s="22"/>
      <c r="D55" s="22"/>
      <c r="E55" s="22"/>
      <c r="F55" s="22"/>
      <c r="G55" s="22"/>
      <c r="H55" s="760"/>
      <c r="I55" s="760"/>
      <c r="J55" s="21"/>
      <c r="K55" s="806" t="s">
        <v>1107</v>
      </c>
      <c r="L55" s="804"/>
      <c r="M55" s="788">
        <f>M56+M57</f>
        <v>4200</v>
      </c>
      <c r="N55" s="4"/>
      <c r="O55" s="4"/>
      <c r="P55" s="39"/>
      <c r="Q55" s="6"/>
      <c r="R55" s="6"/>
      <c r="S55" s="6"/>
      <c r="T55" s="45">
        <v>11600000</v>
      </c>
      <c r="U55" s="5"/>
      <c r="V55" s="59"/>
      <c r="W55" s="59"/>
      <c r="X55" s="59"/>
    </row>
    <row r="56" spans="1:24" s="2" customFormat="1" ht="18" customHeight="1">
      <c r="A56" s="64"/>
      <c r="B56" s="22"/>
      <c r="C56" s="22"/>
      <c r="D56" s="22"/>
      <c r="E56" s="22"/>
      <c r="F56" s="24"/>
      <c r="G56" s="27"/>
      <c r="H56" s="760"/>
      <c r="I56" s="760"/>
      <c r="J56" s="21"/>
      <c r="K56" s="806" t="s">
        <v>2353</v>
      </c>
      <c r="L56" s="841" t="s">
        <v>6</v>
      </c>
      <c r="M56" s="1794">
        <f>T56/1000</f>
        <v>3500</v>
      </c>
      <c r="N56" s="4"/>
      <c r="O56" s="4"/>
      <c r="P56" s="39">
        <v>100000</v>
      </c>
      <c r="Q56" s="6">
        <v>7</v>
      </c>
      <c r="R56" s="6">
        <v>5</v>
      </c>
      <c r="S56" s="6"/>
      <c r="T56" s="45">
        <f>P56*Q56*R56</f>
        <v>3500000</v>
      </c>
      <c r="U56" s="5"/>
      <c r="V56" s="59"/>
      <c r="W56" s="59"/>
      <c r="X56" s="59"/>
    </row>
    <row r="57" spans="1:24" s="2" customFormat="1" ht="18" customHeight="1">
      <c r="A57" s="64"/>
      <c r="B57" s="22"/>
      <c r="C57" s="22"/>
      <c r="D57" s="22"/>
      <c r="E57" s="22"/>
      <c r="F57" s="24"/>
      <c r="G57" s="27"/>
      <c r="H57" s="760"/>
      <c r="I57" s="760"/>
      <c r="J57" s="21"/>
      <c r="K57" s="806" t="s">
        <v>2354</v>
      </c>
      <c r="L57" s="841" t="s">
        <v>6</v>
      </c>
      <c r="M57" s="1794">
        <f>T57/1000</f>
        <v>700</v>
      </c>
      <c r="N57" s="4"/>
      <c r="O57" s="4"/>
      <c r="P57" s="39">
        <v>50000</v>
      </c>
      <c r="Q57" s="6">
        <v>7</v>
      </c>
      <c r="R57" s="6">
        <v>2</v>
      </c>
      <c r="S57" s="6"/>
      <c r="T57" s="45">
        <f>P57*Q57*R57</f>
        <v>700000</v>
      </c>
      <c r="U57" s="5"/>
      <c r="V57" s="59"/>
      <c r="W57" s="59"/>
      <c r="X57" s="59"/>
    </row>
    <row r="58" spans="1:24" s="2" customFormat="1" ht="18" customHeight="1">
      <c r="A58" s="64"/>
      <c r="B58" s="22"/>
      <c r="C58" s="22"/>
      <c r="D58" s="22"/>
      <c r="E58" s="22"/>
      <c r="F58" s="22"/>
      <c r="G58" s="22"/>
      <c r="H58" s="760"/>
      <c r="I58" s="760"/>
      <c r="J58" s="21"/>
      <c r="K58" s="688" t="s">
        <v>112</v>
      </c>
      <c r="L58" s="804"/>
      <c r="M58" s="788">
        <f>M59+M60</f>
        <v>3600</v>
      </c>
      <c r="N58" s="4"/>
      <c r="O58" s="4"/>
      <c r="P58" s="39">
        <v>100000</v>
      </c>
      <c r="Q58" s="6">
        <v>3</v>
      </c>
      <c r="R58" s="6">
        <v>6</v>
      </c>
      <c r="S58" s="6"/>
      <c r="T58" s="45">
        <v>1800000</v>
      </c>
      <c r="U58" s="5"/>
      <c r="V58" s="59"/>
      <c r="W58" s="59"/>
      <c r="X58" s="59"/>
    </row>
    <row r="59" spans="1:24" s="2" customFormat="1" ht="18" customHeight="1">
      <c r="A59" s="64"/>
      <c r="B59" s="22"/>
      <c r="C59" s="22"/>
      <c r="D59" s="22"/>
      <c r="E59" s="22"/>
      <c r="F59" s="22"/>
      <c r="G59" s="22"/>
      <c r="H59" s="760"/>
      <c r="I59" s="760"/>
      <c r="J59" s="21"/>
      <c r="K59" s="806" t="s">
        <v>2326</v>
      </c>
      <c r="L59" s="841" t="s">
        <v>6</v>
      </c>
      <c r="M59" s="1794">
        <f>T59/1000</f>
        <v>2400</v>
      </c>
      <c r="N59" s="4"/>
      <c r="O59" s="4"/>
      <c r="P59" s="39">
        <v>100000</v>
      </c>
      <c r="Q59" s="6">
        <v>3</v>
      </c>
      <c r="R59" s="6">
        <v>8</v>
      </c>
      <c r="S59" s="6"/>
      <c r="T59" s="45">
        <f>P59*Q59*R59</f>
        <v>2400000</v>
      </c>
      <c r="U59" s="5"/>
      <c r="V59" s="59"/>
      <c r="W59" s="59"/>
      <c r="X59" s="59"/>
    </row>
    <row r="60" spans="1:24" s="2" customFormat="1" ht="18" customHeight="1">
      <c r="A60" s="64"/>
      <c r="B60" s="22"/>
      <c r="C60" s="22"/>
      <c r="D60" s="22"/>
      <c r="E60" s="22"/>
      <c r="F60" s="22"/>
      <c r="G60" s="22"/>
      <c r="H60" s="760"/>
      <c r="I60" s="760"/>
      <c r="J60" s="21"/>
      <c r="K60" s="806" t="s">
        <v>2355</v>
      </c>
      <c r="L60" s="841" t="s">
        <v>6</v>
      </c>
      <c r="M60" s="1794">
        <f>T60/1000</f>
        <v>1200</v>
      </c>
      <c r="N60" s="4"/>
      <c r="O60" s="4"/>
      <c r="P60" s="39">
        <v>50000</v>
      </c>
      <c r="Q60" s="6">
        <v>3</v>
      </c>
      <c r="R60" s="6">
        <v>8</v>
      </c>
      <c r="S60" s="6"/>
      <c r="T60" s="45">
        <f>P60*Q60*R60</f>
        <v>1200000</v>
      </c>
      <c r="U60" s="5"/>
      <c r="V60" s="59"/>
      <c r="W60" s="59"/>
      <c r="X60" s="59"/>
    </row>
    <row r="61" spans="1:24" s="2" customFormat="1" ht="18" customHeight="1">
      <c r="A61" s="64"/>
      <c r="B61" s="22"/>
      <c r="C61" s="22"/>
      <c r="D61" s="22"/>
      <c r="E61" s="22"/>
      <c r="F61" s="22"/>
      <c r="G61" s="22"/>
      <c r="H61" s="760"/>
      <c r="I61" s="760"/>
      <c r="J61" s="21"/>
      <c r="K61" s="806" t="s">
        <v>1109</v>
      </c>
      <c r="L61" s="843"/>
      <c r="M61" s="788">
        <f>M62</f>
        <v>500</v>
      </c>
      <c r="N61" s="4"/>
      <c r="O61" s="4"/>
      <c r="P61" s="39"/>
      <c r="Q61" s="6"/>
      <c r="R61" s="6"/>
      <c r="S61" s="6"/>
      <c r="T61" s="45">
        <v>500000</v>
      </c>
      <c r="U61" s="5"/>
      <c r="V61" s="59"/>
      <c r="W61" s="59"/>
      <c r="X61" s="59"/>
    </row>
    <row r="62" spans="1:24" s="2" customFormat="1" ht="18" customHeight="1">
      <c r="A62" s="64"/>
      <c r="B62" s="22"/>
      <c r="C62" s="22"/>
      <c r="D62" s="22"/>
      <c r="E62" s="22"/>
      <c r="F62" s="22"/>
      <c r="G62" s="22"/>
      <c r="H62" s="760"/>
      <c r="I62" s="760"/>
      <c r="J62" s="21"/>
      <c r="K62" s="806" t="s">
        <v>1110</v>
      </c>
      <c r="L62" s="844" t="s">
        <v>6</v>
      </c>
      <c r="M62" s="1793">
        <v>500</v>
      </c>
      <c r="N62" s="4"/>
      <c r="O62" s="4"/>
      <c r="P62" s="39">
        <v>100000</v>
      </c>
      <c r="Q62" s="6">
        <v>5</v>
      </c>
      <c r="R62" s="6">
        <v>1</v>
      </c>
      <c r="S62" s="6"/>
      <c r="T62" s="45">
        <v>500000</v>
      </c>
      <c r="U62" s="5"/>
      <c r="V62" s="59"/>
      <c r="W62" s="59"/>
      <c r="X62" s="59"/>
    </row>
    <row r="63" spans="1:24" s="2" customFormat="1" ht="18" customHeight="1">
      <c r="A63" s="64"/>
      <c r="B63" s="22"/>
      <c r="C63" s="22"/>
      <c r="D63" s="22"/>
      <c r="E63" s="22"/>
      <c r="F63" s="22"/>
      <c r="G63" s="22"/>
      <c r="H63" s="760"/>
      <c r="I63" s="760"/>
      <c r="J63" s="21"/>
      <c r="K63" s="806" t="s">
        <v>1111</v>
      </c>
      <c r="L63" s="843"/>
      <c r="M63" s="788">
        <f>M64</f>
        <v>300</v>
      </c>
      <c r="N63" s="4"/>
      <c r="O63" s="4"/>
      <c r="P63" s="39"/>
      <c r="Q63" s="6"/>
      <c r="R63" s="6"/>
      <c r="S63" s="6"/>
      <c r="T63" s="45">
        <v>300000</v>
      </c>
      <c r="U63" s="5"/>
      <c r="V63" s="59"/>
      <c r="W63" s="59"/>
      <c r="X63" s="59"/>
    </row>
    <row r="64" spans="1:24" s="2" customFormat="1" ht="18" customHeight="1">
      <c r="A64" s="64"/>
      <c r="B64" s="22"/>
      <c r="C64" s="22"/>
      <c r="D64" s="22"/>
      <c r="E64" s="22"/>
      <c r="F64" s="22"/>
      <c r="G64" s="22"/>
      <c r="H64" s="760"/>
      <c r="I64" s="760"/>
      <c r="J64" s="21"/>
      <c r="K64" s="806" t="s">
        <v>1112</v>
      </c>
      <c r="L64" s="844" t="s">
        <v>6</v>
      </c>
      <c r="M64" s="1793">
        <v>300</v>
      </c>
      <c r="N64" s="4"/>
      <c r="O64" s="4"/>
      <c r="P64" s="39">
        <v>100000</v>
      </c>
      <c r="Q64" s="6">
        <v>3</v>
      </c>
      <c r="R64" s="6">
        <v>1</v>
      </c>
      <c r="S64" s="6"/>
      <c r="T64" s="45">
        <v>300000</v>
      </c>
      <c r="U64" s="5"/>
      <c r="V64" s="59"/>
      <c r="W64" s="59"/>
      <c r="X64" s="59"/>
    </row>
    <row r="65" spans="1:24" s="2" customFormat="1" ht="18" customHeight="1">
      <c r="A65" s="65"/>
      <c r="B65" s="62"/>
      <c r="C65" s="20"/>
      <c r="D65" s="20"/>
      <c r="E65" s="20"/>
      <c r="F65" s="28"/>
      <c r="G65" s="29"/>
      <c r="H65" s="758"/>
      <c r="I65" s="758"/>
      <c r="J65" s="21"/>
      <c r="K65" s="1102" t="s">
        <v>72</v>
      </c>
      <c r="L65" s="841"/>
      <c r="M65" s="788">
        <f>M66+M67</f>
        <v>250</v>
      </c>
      <c r="N65" s="4"/>
      <c r="O65" s="4"/>
      <c r="P65" s="39"/>
      <c r="Q65" s="6"/>
      <c r="R65" s="6"/>
      <c r="S65" s="6"/>
      <c r="T65" s="45">
        <v>250000</v>
      </c>
      <c r="U65" s="5"/>
      <c r="V65" s="59"/>
      <c r="W65" s="59"/>
      <c r="X65" s="59"/>
    </row>
    <row r="66" spans="1:24" s="2" customFormat="1" ht="18" customHeight="1">
      <c r="A66" s="65"/>
      <c r="B66" s="62"/>
      <c r="C66" s="20"/>
      <c r="D66" s="20"/>
      <c r="E66" s="20"/>
      <c r="F66" s="28"/>
      <c r="G66" s="29"/>
      <c r="H66" s="758"/>
      <c r="I66" s="758"/>
      <c r="J66" s="21"/>
      <c r="K66" s="1102" t="s">
        <v>1114</v>
      </c>
      <c r="L66" s="841" t="s">
        <v>6</v>
      </c>
      <c r="M66" s="1793">
        <v>200</v>
      </c>
      <c r="N66" s="4"/>
      <c r="O66" s="4"/>
      <c r="P66" s="39">
        <v>100000</v>
      </c>
      <c r="Q66" s="6">
        <v>2</v>
      </c>
      <c r="R66" s="6">
        <v>1</v>
      </c>
      <c r="S66" s="6"/>
      <c r="T66" s="45">
        <v>200000</v>
      </c>
      <c r="U66" s="5"/>
      <c r="V66" s="59"/>
      <c r="W66" s="59"/>
      <c r="X66" s="59"/>
    </row>
    <row r="67" spans="1:24" s="2" customFormat="1" ht="18" customHeight="1">
      <c r="A67" s="65"/>
      <c r="B67" s="62"/>
      <c r="C67" s="20"/>
      <c r="D67" s="20"/>
      <c r="E67" s="20"/>
      <c r="F67" s="28"/>
      <c r="G67" s="29"/>
      <c r="H67" s="758"/>
      <c r="I67" s="758"/>
      <c r="J67" s="21"/>
      <c r="K67" s="1102" t="s">
        <v>1115</v>
      </c>
      <c r="L67" s="841" t="s">
        <v>6</v>
      </c>
      <c r="M67" s="1793">
        <v>50</v>
      </c>
      <c r="N67" s="4"/>
      <c r="O67" s="4"/>
      <c r="P67" s="39">
        <v>50000</v>
      </c>
      <c r="Q67" s="6">
        <v>1</v>
      </c>
      <c r="R67" s="6">
        <v>1</v>
      </c>
      <c r="S67" s="6"/>
      <c r="T67" s="45">
        <v>50000</v>
      </c>
      <c r="U67" s="5"/>
      <c r="V67" s="59"/>
      <c r="W67" s="59"/>
      <c r="X67" s="59"/>
    </row>
    <row r="68" spans="1:24" s="2" customFormat="1" ht="18" customHeight="1">
      <c r="A68" s="64"/>
      <c r="B68" s="22"/>
      <c r="C68" s="22"/>
      <c r="D68" s="22"/>
      <c r="E68" s="22"/>
      <c r="F68" s="24"/>
      <c r="G68" s="27"/>
      <c r="H68" s="760"/>
      <c r="I68" s="760"/>
      <c r="J68" s="21"/>
      <c r="K68" s="945" t="s">
        <v>1116</v>
      </c>
      <c r="L68" s="707" t="s">
        <v>6</v>
      </c>
      <c r="M68" s="708">
        <v>400</v>
      </c>
      <c r="N68" s="84"/>
      <c r="O68" s="4"/>
      <c r="P68" s="39"/>
      <c r="Q68" s="6"/>
      <c r="R68" s="6"/>
      <c r="S68" s="6"/>
      <c r="T68" s="14"/>
      <c r="U68" s="5"/>
    </row>
    <row r="69" spans="1:24" s="2" customFormat="1" ht="18" customHeight="1">
      <c r="A69" s="64"/>
      <c r="B69" s="22"/>
      <c r="C69" s="22"/>
      <c r="D69" s="22"/>
      <c r="E69" s="22"/>
      <c r="F69" s="24"/>
      <c r="G69" s="27"/>
      <c r="H69" s="760"/>
      <c r="I69" s="760"/>
      <c r="J69" s="21"/>
      <c r="K69" s="944" t="s">
        <v>2327</v>
      </c>
      <c r="L69" s="707" t="s">
        <v>6</v>
      </c>
      <c r="M69" s="708">
        <v>1400</v>
      </c>
      <c r="N69" s="84"/>
      <c r="O69" s="4"/>
      <c r="P69" s="39">
        <v>100000</v>
      </c>
      <c r="Q69" s="6">
        <v>7</v>
      </c>
      <c r="R69" s="6">
        <v>2</v>
      </c>
      <c r="S69" s="6"/>
      <c r="T69" s="45">
        <v>2100000</v>
      </c>
      <c r="U69" s="5"/>
    </row>
    <row r="70" spans="1:24" s="2" customFormat="1" ht="18" customHeight="1">
      <c r="A70" s="64"/>
      <c r="B70" s="22"/>
      <c r="C70" s="22"/>
      <c r="D70" s="22"/>
      <c r="E70" s="22"/>
      <c r="F70" s="24"/>
      <c r="G70" s="27"/>
      <c r="H70" s="760"/>
      <c r="I70" s="760"/>
      <c r="J70" s="21"/>
      <c r="K70" s="945" t="s">
        <v>111</v>
      </c>
      <c r="L70" s="707"/>
      <c r="M70" s="708">
        <f>M71</f>
        <v>800</v>
      </c>
      <c r="N70" s="84"/>
      <c r="O70" s="4"/>
      <c r="P70" s="39"/>
      <c r="Q70" s="6"/>
      <c r="R70" s="6"/>
      <c r="S70" s="6"/>
      <c r="T70" s="14"/>
      <c r="U70" s="5"/>
    </row>
    <row r="71" spans="1:24" s="2" customFormat="1" ht="18" customHeight="1">
      <c r="A71" s="64"/>
      <c r="B71" s="22"/>
      <c r="C71" s="22"/>
      <c r="D71" s="22"/>
      <c r="E71" s="22"/>
      <c r="F71" s="24"/>
      <c r="G71" s="27"/>
      <c r="H71" s="760"/>
      <c r="I71" s="760"/>
      <c r="J71" s="21"/>
      <c r="K71" s="945" t="s">
        <v>1117</v>
      </c>
      <c r="L71" s="707" t="s">
        <v>6</v>
      </c>
      <c r="M71" s="1796">
        <v>800</v>
      </c>
      <c r="N71" s="84"/>
      <c r="O71" s="4"/>
      <c r="P71" s="39"/>
      <c r="Q71" s="6"/>
      <c r="R71" s="6"/>
      <c r="S71" s="6"/>
      <c r="T71" s="14"/>
      <c r="U71" s="5"/>
    </row>
    <row r="72" spans="1:24" s="2" customFormat="1" ht="18" customHeight="1">
      <c r="A72" s="64"/>
      <c r="B72" s="22"/>
      <c r="C72" s="22"/>
      <c r="D72" s="22"/>
      <c r="E72" s="22"/>
      <c r="F72" s="24"/>
      <c r="G72" s="27"/>
      <c r="H72" s="760"/>
      <c r="I72" s="760"/>
      <c r="J72" s="21"/>
      <c r="K72" s="945" t="s">
        <v>1118</v>
      </c>
      <c r="L72" s="707" t="s">
        <v>6</v>
      </c>
      <c r="M72" s="712">
        <v>500</v>
      </c>
      <c r="N72" s="84"/>
      <c r="O72" s="4"/>
      <c r="P72" s="39">
        <v>100000</v>
      </c>
      <c r="Q72" s="6">
        <v>5</v>
      </c>
      <c r="R72" s="6">
        <v>1</v>
      </c>
      <c r="S72" s="6"/>
      <c r="T72" s="45">
        <v>500000</v>
      </c>
      <c r="U72" s="5"/>
    </row>
    <row r="73" spans="1:24" s="2" customFormat="1" ht="18" customHeight="1">
      <c r="A73" s="64"/>
      <c r="B73" s="22"/>
      <c r="C73" s="22"/>
      <c r="D73" s="22"/>
      <c r="E73" s="22"/>
      <c r="F73" s="24"/>
      <c r="G73" s="27"/>
      <c r="H73" s="760"/>
      <c r="I73" s="760"/>
      <c r="J73" s="21"/>
      <c r="K73" s="710" t="s">
        <v>1119</v>
      </c>
      <c r="L73" s="711" t="s">
        <v>6</v>
      </c>
      <c r="M73" s="712">
        <v>800</v>
      </c>
      <c r="N73" s="84"/>
      <c r="O73" s="4"/>
      <c r="P73" s="39">
        <v>100000</v>
      </c>
      <c r="Q73" s="6">
        <v>4</v>
      </c>
      <c r="R73" s="6">
        <v>2</v>
      </c>
      <c r="S73" s="6"/>
      <c r="T73" s="45">
        <v>800000</v>
      </c>
      <c r="U73" s="5"/>
    </row>
    <row r="74" spans="1:24" s="2" customFormat="1" ht="18" customHeight="1">
      <c r="A74" s="64"/>
      <c r="B74" s="22"/>
      <c r="C74" s="22"/>
      <c r="D74" s="22"/>
      <c r="E74" s="22"/>
      <c r="F74" s="24"/>
      <c r="G74" s="27"/>
      <c r="H74" s="760"/>
      <c r="I74" s="760"/>
      <c r="J74" s="21"/>
      <c r="K74" s="698" t="s">
        <v>1120</v>
      </c>
      <c r="L74" s="845" t="s">
        <v>6</v>
      </c>
      <c r="M74" s="712">
        <v>500</v>
      </c>
      <c r="N74" s="84"/>
      <c r="O74" s="4"/>
      <c r="P74" s="39">
        <v>100000</v>
      </c>
      <c r="Q74" s="6">
        <v>5</v>
      </c>
      <c r="R74" s="6">
        <v>1</v>
      </c>
      <c r="S74" s="6"/>
      <c r="T74" s="45">
        <v>500000</v>
      </c>
      <c r="U74" s="5"/>
    </row>
    <row r="75" spans="1:24" s="2" customFormat="1" ht="18" customHeight="1">
      <c r="A75" s="64"/>
      <c r="B75" s="22"/>
      <c r="C75" s="22"/>
      <c r="D75" s="22"/>
      <c r="E75" s="22"/>
      <c r="F75" s="24"/>
      <c r="G75" s="27"/>
      <c r="H75" s="760"/>
      <c r="I75" s="760"/>
      <c r="J75" s="21"/>
      <c r="K75" s="698" t="s">
        <v>2318</v>
      </c>
      <c r="L75" s="699" t="s">
        <v>6</v>
      </c>
      <c r="M75" s="712">
        <v>1000</v>
      </c>
      <c r="N75" s="84"/>
      <c r="O75" s="4"/>
      <c r="P75" s="39">
        <v>100000</v>
      </c>
      <c r="Q75" s="6">
        <v>5</v>
      </c>
      <c r="R75" s="6">
        <v>2</v>
      </c>
      <c r="S75" s="6"/>
      <c r="T75" s="45">
        <v>1500000</v>
      </c>
      <c r="U75" s="5"/>
    </row>
    <row r="76" spans="1:24" s="2" customFormat="1" ht="18" customHeight="1">
      <c r="A76" s="64"/>
      <c r="B76" s="22"/>
      <c r="C76" s="22"/>
      <c r="D76" s="22"/>
      <c r="E76" s="22"/>
      <c r="F76" s="24"/>
      <c r="G76" s="25" t="s">
        <v>30</v>
      </c>
      <c r="H76" s="759">
        <f>M76</f>
        <v>6500</v>
      </c>
      <c r="I76" s="759">
        <v>0</v>
      </c>
      <c r="J76" s="26">
        <f>H76-I76</f>
        <v>6500</v>
      </c>
      <c r="K76" s="690"/>
      <c r="L76" s="713"/>
      <c r="M76" s="691">
        <f>M77+M78</f>
        <v>6500</v>
      </c>
      <c r="N76" s="84"/>
      <c r="O76" s="4"/>
      <c r="P76" s="39"/>
      <c r="Q76" s="6"/>
      <c r="R76" s="6"/>
      <c r="S76" s="6"/>
      <c r="T76" s="14"/>
      <c r="U76" s="5"/>
    </row>
    <row r="77" spans="1:24" s="2" customFormat="1" ht="18" customHeight="1">
      <c r="A77" s="64"/>
      <c r="B77" s="22"/>
      <c r="C77" s="22"/>
      <c r="D77" s="22"/>
      <c r="E77" s="22"/>
      <c r="F77" s="24"/>
      <c r="G77" s="22"/>
      <c r="H77" s="760"/>
      <c r="I77" s="760"/>
      <c r="J77" s="21"/>
      <c r="K77" s="688" t="s">
        <v>1526</v>
      </c>
      <c r="L77" s="699" t="s">
        <v>6</v>
      </c>
      <c r="M77" s="685">
        <v>500</v>
      </c>
      <c r="N77" s="84"/>
      <c r="O77" s="4"/>
      <c r="P77" s="39"/>
      <c r="Q77" s="6"/>
      <c r="R77" s="6"/>
      <c r="S77" s="6"/>
      <c r="T77" s="14"/>
      <c r="U77" s="5"/>
    </row>
    <row r="78" spans="1:24" s="2" customFormat="1" ht="18" customHeight="1">
      <c r="A78" s="64"/>
      <c r="B78" s="22"/>
      <c r="C78" s="22"/>
      <c r="D78" s="22"/>
      <c r="E78" s="22"/>
      <c r="F78" s="24"/>
      <c r="G78" s="22"/>
      <c r="H78" s="760"/>
      <c r="I78" s="760"/>
      <c r="J78" s="474"/>
      <c r="K78" s="806" t="s">
        <v>1525</v>
      </c>
      <c r="L78" s="804" t="s">
        <v>6</v>
      </c>
      <c r="M78" s="802">
        <v>6000</v>
      </c>
      <c r="N78" s="4"/>
      <c r="O78" s="4"/>
      <c r="P78" s="39"/>
      <c r="Q78" s="6"/>
      <c r="R78" s="6"/>
      <c r="S78" s="6"/>
      <c r="T78" s="45"/>
      <c r="U78" s="5"/>
      <c r="V78" s="59"/>
      <c r="W78" s="59"/>
    </row>
    <row r="79" spans="1:24" s="2" customFormat="1" ht="18" customHeight="1">
      <c r="A79" s="64"/>
      <c r="B79" s="22"/>
      <c r="C79" s="22"/>
      <c r="D79" s="22"/>
      <c r="E79" s="22"/>
      <c r="F79" s="24"/>
      <c r="G79" s="63" t="s">
        <v>52</v>
      </c>
      <c r="H79" s="759">
        <f>M79</f>
        <v>14800</v>
      </c>
      <c r="I79" s="759">
        <v>16800</v>
      </c>
      <c r="J79" s="476">
        <f>H79-I79</f>
        <v>-2000</v>
      </c>
      <c r="K79" s="690" t="s">
        <v>631</v>
      </c>
      <c r="L79" s="714"/>
      <c r="M79" s="691">
        <f>M80+M81</f>
        <v>14800</v>
      </c>
      <c r="N79" s="84"/>
      <c r="O79" s="4"/>
      <c r="P79" s="39"/>
      <c r="Q79" s="6"/>
      <c r="R79" s="6"/>
      <c r="S79" s="6"/>
      <c r="T79" s="14">
        <f>SUM(T80:T81)</f>
        <v>14800000</v>
      </c>
      <c r="U79" s="5"/>
    </row>
    <row r="80" spans="1:24" s="2" customFormat="1" ht="18" customHeight="1">
      <c r="A80" s="64"/>
      <c r="B80" s="22"/>
      <c r="C80" s="22"/>
      <c r="D80" s="22"/>
      <c r="E80" s="22"/>
      <c r="F80" s="24"/>
      <c r="G80" s="22"/>
      <c r="H80" s="760"/>
      <c r="I80" s="760"/>
      <c r="J80" s="474"/>
      <c r="K80" s="806" t="s">
        <v>874</v>
      </c>
      <c r="L80" s="804" t="s">
        <v>6</v>
      </c>
      <c r="M80" s="802">
        <f>T80/1000</f>
        <v>10000</v>
      </c>
      <c r="N80" s="4"/>
      <c r="O80" s="4"/>
      <c r="P80" s="39">
        <v>5000000</v>
      </c>
      <c r="Q80" s="6"/>
      <c r="R80" s="6">
        <v>2</v>
      </c>
      <c r="S80" s="6"/>
      <c r="T80" s="45">
        <f>P80*R80</f>
        <v>10000000</v>
      </c>
      <c r="U80" s="5"/>
      <c r="V80" s="59"/>
      <c r="W80" s="59"/>
    </row>
    <row r="81" spans="1:24" s="2" customFormat="1" ht="18" customHeight="1">
      <c r="A81" s="64"/>
      <c r="B81" s="22"/>
      <c r="C81" s="22"/>
      <c r="D81" s="22"/>
      <c r="E81" s="22"/>
      <c r="F81" s="24"/>
      <c r="G81" s="22"/>
      <c r="H81" s="760"/>
      <c r="I81" s="760"/>
      <c r="J81" s="474"/>
      <c r="K81" s="806" t="s">
        <v>2360</v>
      </c>
      <c r="L81" s="804" t="s">
        <v>6</v>
      </c>
      <c r="M81" s="802">
        <v>4800</v>
      </c>
      <c r="N81" s="4"/>
      <c r="O81" s="4"/>
      <c r="P81" s="39">
        <v>4800000</v>
      </c>
      <c r="Q81" s="6"/>
      <c r="R81" s="6">
        <v>1</v>
      </c>
      <c r="S81" s="6"/>
      <c r="T81" s="45">
        <f>P81*R81</f>
        <v>4800000</v>
      </c>
      <c r="U81" s="5"/>
      <c r="V81" s="59"/>
      <c r="W81" s="59"/>
    </row>
    <row r="82" spans="1:24" s="2" customFormat="1" ht="18" customHeight="1">
      <c r="A82" s="64"/>
      <c r="B82" s="22"/>
      <c r="C82" s="22"/>
      <c r="D82" s="22"/>
      <c r="E82" s="22"/>
      <c r="F82" s="22"/>
      <c r="G82" s="25" t="s">
        <v>31</v>
      </c>
      <c r="H82" s="759">
        <f>M82</f>
        <v>132356</v>
      </c>
      <c r="I82" s="759">
        <v>212622</v>
      </c>
      <c r="J82" s="476">
        <f>H82-I82</f>
        <v>-80266</v>
      </c>
      <c r="K82" s="715" t="s">
        <v>78</v>
      </c>
      <c r="L82" s="714"/>
      <c r="M82" s="691">
        <f>M83+M84+M85+M86+M89+M90+M94+M95+M96</f>
        <v>132356</v>
      </c>
      <c r="N82" s="86"/>
      <c r="O82" s="7"/>
      <c r="P82" s="40" t="s">
        <v>87</v>
      </c>
      <c r="Q82" s="41" t="s">
        <v>85</v>
      </c>
      <c r="R82" s="41" t="s">
        <v>16</v>
      </c>
      <c r="S82" s="41" t="s">
        <v>1</v>
      </c>
      <c r="T82" s="42" t="s">
        <v>91</v>
      </c>
      <c r="U82" s="5"/>
    </row>
    <row r="83" spans="1:24" s="2" customFormat="1" ht="18" customHeight="1">
      <c r="A83" s="64"/>
      <c r="B83" s="22"/>
      <c r="C83" s="22"/>
      <c r="D83" s="22"/>
      <c r="E83" s="22"/>
      <c r="F83" s="22"/>
      <c r="G83" s="22"/>
      <c r="H83" s="760"/>
      <c r="I83" s="760"/>
      <c r="J83" s="474"/>
      <c r="K83" s="806" t="s">
        <v>1512</v>
      </c>
      <c r="L83" s="804" t="s">
        <v>6</v>
      </c>
      <c r="M83" s="874">
        <v>66000</v>
      </c>
      <c r="N83" s="9"/>
      <c r="O83" s="966"/>
      <c r="P83" s="39">
        <v>22000000</v>
      </c>
      <c r="Q83" s="6">
        <v>1</v>
      </c>
      <c r="R83" s="6">
        <v>3</v>
      </c>
      <c r="S83" s="6">
        <v>1</v>
      </c>
      <c r="T83" s="45">
        <v>66000000</v>
      </c>
      <c r="U83" s="5"/>
      <c r="V83" s="59"/>
      <c r="W83" s="59"/>
      <c r="X83" s="59"/>
    </row>
    <row r="84" spans="1:24" s="2" customFormat="1" ht="18" customHeight="1">
      <c r="A84" s="64"/>
      <c r="B84" s="22"/>
      <c r="C84" s="22"/>
      <c r="D84" s="22"/>
      <c r="E84" s="22"/>
      <c r="F84" s="22"/>
      <c r="G84" s="22"/>
      <c r="H84" s="760"/>
      <c r="I84" s="760"/>
      <c r="J84" s="474"/>
      <c r="K84" s="870" t="s">
        <v>1121</v>
      </c>
      <c r="L84" s="853" t="s">
        <v>6</v>
      </c>
      <c r="M84" s="874">
        <v>9600</v>
      </c>
      <c r="N84" s="9"/>
      <c r="O84" s="966"/>
      <c r="P84" s="39">
        <v>400000</v>
      </c>
      <c r="Q84" s="6">
        <v>2</v>
      </c>
      <c r="R84" s="6">
        <v>1</v>
      </c>
      <c r="S84" s="6">
        <v>12</v>
      </c>
      <c r="T84" s="45">
        <v>9600000</v>
      </c>
      <c r="U84" s="5"/>
      <c r="V84" s="59"/>
      <c r="W84" s="59"/>
      <c r="X84" s="59"/>
    </row>
    <row r="85" spans="1:24" s="2" customFormat="1" ht="18" customHeight="1">
      <c r="A85" s="64"/>
      <c r="B85" s="22"/>
      <c r="C85" s="22"/>
      <c r="D85" s="22"/>
      <c r="E85" s="22"/>
      <c r="F85" s="22"/>
      <c r="G85" s="22"/>
      <c r="H85" s="760"/>
      <c r="I85" s="760"/>
      <c r="J85" s="474"/>
      <c r="K85" s="870" t="s">
        <v>1122</v>
      </c>
      <c r="L85" s="853" t="s">
        <v>6</v>
      </c>
      <c r="M85" s="874">
        <v>4800</v>
      </c>
      <c r="N85" s="9"/>
      <c r="O85" s="966"/>
      <c r="P85" s="39">
        <v>400000</v>
      </c>
      <c r="Q85" s="6">
        <v>1</v>
      </c>
      <c r="R85" s="6">
        <v>1</v>
      </c>
      <c r="S85" s="6">
        <v>12</v>
      </c>
      <c r="T85" s="45">
        <v>4800000</v>
      </c>
      <c r="U85" s="5"/>
      <c r="V85" s="59"/>
      <c r="W85" s="59"/>
      <c r="X85" s="59"/>
    </row>
    <row r="86" spans="1:24" s="1098" customFormat="1" ht="18" customHeight="1">
      <c r="A86" s="64"/>
      <c r="B86" s="22"/>
      <c r="C86" s="22"/>
      <c r="D86" s="22"/>
      <c r="E86" s="22"/>
      <c r="F86" s="22"/>
      <c r="G86" s="22"/>
      <c r="H86" s="760"/>
      <c r="I86" s="760"/>
      <c r="J86" s="474"/>
      <c r="K86" s="870" t="s">
        <v>100</v>
      </c>
      <c r="L86" s="853"/>
      <c r="M86" s="874">
        <f>M87+M88</f>
        <v>26400</v>
      </c>
      <c r="N86" s="4"/>
      <c r="O86" s="966"/>
      <c r="P86" s="60"/>
      <c r="Q86" s="1099"/>
      <c r="R86" s="1099"/>
      <c r="S86" s="1099"/>
      <c r="T86" s="1100">
        <v>1978999400</v>
      </c>
      <c r="U86" s="1096"/>
      <c r="V86" s="1097"/>
      <c r="W86" s="1097"/>
      <c r="X86" s="1097"/>
    </row>
    <row r="87" spans="1:24" s="2" customFormat="1" ht="18" customHeight="1">
      <c r="A87" s="64"/>
      <c r="B87" s="22"/>
      <c r="C87" s="22"/>
      <c r="D87" s="22"/>
      <c r="E87" s="22"/>
      <c r="F87" s="22"/>
      <c r="G87" s="22"/>
      <c r="H87" s="760"/>
      <c r="I87" s="760"/>
      <c r="J87" s="474"/>
      <c r="K87" s="870" t="s">
        <v>1516</v>
      </c>
      <c r="L87" s="853" t="s">
        <v>6</v>
      </c>
      <c r="M87" s="1769">
        <v>9900</v>
      </c>
      <c r="N87" s="4"/>
      <c r="O87" s="966"/>
      <c r="P87" s="39">
        <v>3300000</v>
      </c>
      <c r="Q87" s="6">
        <v>1</v>
      </c>
      <c r="R87" s="6">
        <v>3</v>
      </c>
      <c r="S87" s="6">
        <v>1</v>
      </c>
      <c r="T87" s="45">
        <v>9900000</v>
      </c>
      <c r="U87" s="5"/>
      <c r="V87" s="59"/>
      <c r="W87" s="59"/>
      <c r="X87" s="59"/>
    </row>
    <row r="88" spans="1:24" s="2" customFormat="1" ht="18" customHeight="1">
      <c r="A88" s="64"/>
      <c r="B88" s="22"/>
      <c r="C88" s="22"/>
      <c r="D88" s="22"/>
      <c r="E88" s="22"/>
      <c r="F88" s="22"/>
      <c r="G88" s="22"/>
      <c r="H88" s="760"/>
      <c r="I88" s="760"/>
      <c r="J88" s="474"/>
      <c r="K88" s="870" t="s">
        <v>1517</v>
      </c>
      <c r="L88" s="853" t="s">
        <v>6</v>
      </c>
      <c r="M88" s="1769">
        <v>16500</v>
      </c>
      <c r="N88" s="4"/>
      <c r="O88" s="966"/>
      <c r="P88" s="39">
        <v>5500000</v>
      </c>
      <c r="Q88" s="6">
        <v>1</v>
      </c>
      <c r="R88" s="6">
        <v>3</v>
      </c>
      <c r="S88" s="6">
        <v>1</v>
      </c>
      <c r="T88" s="45">
        <v>16500000</v>
      </c>
      <c r="U88" s="5"/>
      <c r="V88" s="59"/>
      <c r="W88" s="59"/>
      <c r="X88" s="59"/>
    </row>
    <row r="89" spans="1:24" s="2" customFormat="1" ht="18" customHeight="1">
      <c r="A89" s="64"/>
      <c r="B89" s="22"/>
      <c r="C89" s="22"/>
      <c r="D89" s="22"/>
      <c r="E89" s="22"/>
      <c r="F89" s="22"/>
      <c r="G89" s="22"/>
      <c r="H89" s="760"/>
      <c r="I89" s="760"/>
      <c r="J89" s="474"/>
      <c r="K89" s="806" t="s">
        <v>1123</v>
      </c>
      <c r="L89" s="804" t="s">
        <v>6</v>
      </c>
      <c r="M89" s="1770">
        <v>12000</v>
      </c>
      <c r="N89" s="4"/>
      <c r="O89" s="966"/>
      <c r="P89" s="39">
        <v>12000000</v>
      </c>
      <c r="Q89" s="6">
        <v>1</v>
      </c>
      <c r="R89" s="6">
        <v>1</v>
      </c>
      <c r="S89" s="6">
        <v>1</v>
      </c>
      <c r="T89" s="45">
        <v>12000000</v>
      </c>
      <c r="U89" s="5"/>
      <c r="V89" s="59"/>
      <c r="W89" s="59"/>
      <c r="X89" s="59"/>
    </row>
    <row r="90" spans="1:24" s="2" customFormat="1" ht="18" customHeight="1">
      <c r="A90" s="64"/>
      <c r="B90" s="22"/>
      <c r="C90" s="22"/>
      <c r="D90" s="22"/>
      <c r="E90" s="22"/>
      <c r="F90" s="22"/>
      <c r="G90" s="22"/>
      <c r="H90" s="760"/>
      <c r="I90" s="760"/>
      <c r="J90" s="474"/>
      <c r="K90" s="806" t="s">
        <v>1124</v>
      </c>
      <c r="L90" s="804"/>
      <c r="M90" s="1770">
        <f>M91+M92+M93</f>
        <v>2856</v>
      </c>
      <c r="N90" s="4"/>
      <c r="O90" s="966"/>
      <c r="P90" s="39"/>
      <c r="Q90" s="6"/>
      <c r="R90" s="6"/>
      <c r="S90" s="6"/>
      <c r="T90" s="45"/>
      <c r="U90" s="5"/>
      <c r="V90" s="59"/>
      <c r="W90" s="59"/>
      <c r="X90" s="59"/>
    </row>
    <row r="91" spans="1:24" s="2" customFormat="1" ht="18" customHeight="1">
      <c r="A91" s="64"/>
      <c r="B91" s="22"/>
      <c r="C91" s="22"/>
      <c r="D91" s="22"/>
      <c r="E91" s="22"/>
      <c r="F91" s="22"/>
      <c r="G91" s="22"/>
      <c r="H91" s="760"/>
      <c r="I91" s="760"/>
      <c r="J91" s="474"/>
      <c r="K91" s="806" t="s">
        <v>1515</v>
      </c>
      <c r="L91" s="804" t="s">
        <v>6</v>
      </c>
      <c r="M91" s="1769">
        <v>1056</v>
      </c>
      <c r="N91" s="4"/>
      <c r="O91" s="966"/>
      <c r="P91" s="812">
        <v>88000</v>
      </c>
      <c r="Q91" s="813">
        <v>1</v>
      </c>
      <c r="R91" s="813">
        <v>1</v>
      </c>
      <c r="S91" s="813">
        <v>12</v>
      </c>
      <c r="T91" s="871">
        <v>1056000</v>
      </c>
      <c r="U91" s="5"/>
      <c r="V91" s="59"/>
      <c r="W91" s="59"/>
      <c r="X91" s="59"/>
    </row>
    <row r="92" spans="1:24" s="2" customFormat="1" ht="18" customHeight="1">
      <c r="A92" s="64"/>
      <c r="B92" s="22"/>
      <c r="C92" s="22"/>
      <c r="D92" s="22"/>
      <c r="E92" s="22"/>
      <c r="F92" s="22"/>
      <c r="G92" s="22"/>
      <c r="H92" s="760"/>
      <c r="I92" s="760"/>
      <c r="J92" s="474"/>
      <c r="K92" s="806" t="s">
        <v>1513</v>
      </c>
      <c r="L92" s="804" t="s">
        <v>6</v>
      </c>
      <c r="M92" s="1769">
        <v>1200</v>
      </c>
      <c r="N92" s="4"/>
      <c r="O92" s="966"/>
      <c r="P92" s="812">
        <v>300000</v>
      </c>
      <c r="Q92" s="813">
        <v>1</v>
      </c>
      <c r="R92" s="813">
        <v>1</v>
      </c>
      <c r="S92" s="813">
        <v>4</v>
      </c>
      <c r="T92" s="871">
        <v>1200000</v>
      </c>
      <c r="U92" s="5"/>
      <c r="V92" s="59"/>
      <c r="W92" s="59"/>
      <c r="X92" s="59"/>
    </row>
    <row r="93" spans="1:24" s="2" customFormat="1" ht="18" customHeight="1">
      <c r="A93" s="64"/>
      <c r="B93" s="22"/>
      <c r="C93" s="22"/>
      <c r="D93" s="22"/>
      <c r="E93" s="22"/>
      <c r="F93" s="22"/>
      <c r="G93" s="22"/>
      <c r="H93" s="760"/>
      <c r="I93" s="760"/>
      <c r="J93" s="474"/>
      <c r="K93" s="806" t="s">
        <v>1514</v>
      </c>
      <c r="L93" s="804" t="s">
        <v>6</v>
      </c>
      <c r="M93" s="1769">
        <v>600</v>
      </c>
      <c r="N93" s="4"/>
      <c r="O93" s="966"/>
      <c r="P93" s="812">
        <v>100000</v>
      </c>
      <c r="Q93" s="813">
        <v>1</v>
      </c>
      <c r="R93" s="813">
        <v>1</v>
      </c>
      <c r="S93" s="813">
        <v>6</v>
      </c>
      <c r="T93" s="871">
        <v>600000</v>
      </c>
      <c r="U93" s="5"/>
      <c r="V93" s="59"/>
      <c r="W93" s="59"/>
      <c r="X93" s="59"/>
    </row>
    <row r="94" spans="1:24" s="2" customFormat="1" ht="18" customHeight="1">
      <c r="A94" s="64"/>
      <c r="B94" s="22"/>
      <c r="C94" s="22"/>
      <c r="D94" s="22"/>
      <c r="E94" s="22"/>
      <c r="F94" s="22"/>
      <c r="G94" s="22"/>
      <c r="H94" s="760"/>
      <c r="I94" s="760"/>
      <c r="J94" s="474"/>
      <c r="K94" s="806" t="s">
        <v>1127</v>
      </c>
      <c r="L94" s="804" t="s">
        <v>6</v>
      </c>
      <c r="M94" s="874">
        <v>500</v>
      </c>
      <c r="N94" s="4"/>
      <c r="O94" s="966"/>
      <c r="P94" s="39">
        <v>500000</v>
      </c>
      <c r="Q94" s="6"/>
      <c r="R94" s="6">
        <v>1</v>
      </c>
      <c r="S94" s="6"/>
      <c r="T94" s="45">
        <v>500000</v>
      </c>
      <c r="U94" s="5"/>
      <c r="V94" s="59"/>
      <c r="W94" s="59"/>
      <c r="X94" s="59"/>
    </row>
    <row r="95" spans="1:24" s="2" customFormat="1" ht="18" customHeight="1">
      <c r="A95" s="64"/>
      <c r="B95" s="22"/>
      <c r="C95" s="22"/>
      <c r="D95" s="22"/>
      <c r="E95" s="22"/>
      <c r="F95" s="22"/>
      <c r="G95" s="22"/>
      <c r="H95" s="760"/>
      <c r="I95" s="760"/>
      <c r="J95" s="474"/>
      <c r="K95" s="806" t="s">
        <v>1128</v>
      </c>
      <c r="L95" s="804" t="s">
        <v>6</v>
      </c>
      <c r="M95" s="874">
        <v>6600</v>
      </c>
      <c r="N95" s="4"/>
      <c r="O95" s="966"/>
      <c r="P95" s="39"/>
      <c r="Q95" s="6"/>
      <c r="R95" s="6"/>
      <c r="S95" s="6"/>
      <c r="T95" s="45"/>
      <c r="U95" s="5"/>
      <c r="V95" s="59"/>
      <c r="W95" s="59"/>
      <c r="X95" s="59"/>
    </row>
    <row r="96" spans="1:24" s="2" customFormat="1" ht="18" customHeight="1">
      <c r="A96" s="64"/>
      <c r="B96" s="22"/>
      <c r="C96" s="22"/>
      <c r="D96" s="22"/>
      <c r="E96" s="22"/>
      <c r="F96" s="1623"/>
      <c r="G96" s="22"/>
      <c r="H96" s="756"/>
      <c r="I96" s="756"/>
      <c r="J96" s="474"/>
      <c r="K96" s="806" t="s">
        <v>1129</v>
      </c>
      <c r="L96" s="804" t="s">
        <v>6</v>
      </c>
      <c r="M96" s="874">
        <v>3600</v>
      </c>
      <c r="N96" s="10"/>
      <c r="O96" s="966"/>
      <c r="P96" s="39"/>
      <c r="Q96" s="6"/>
      <c r="R96" s="6"/>
      <c r="S96" s="6"/>
      <c r="T96" s="45"/>
      <c r="U96" s="5"/>
      <c r="V96" s="59"/>
      <c r="W96" s="59"/>
      <c r="X96" s="59"/>
    </row>
    <row r="97" spans="1:21" s="2" customFormat="1" ht="18" customHeight="1">
      <c r="A97" s="64"/>
      <c r="B97" s="22"/>
      <c r="C97" s="22"/>
      <c r="D97" s="22"/>
      <c r="E97" s="22"/>
      <c r="F97" s="24"/>
      <c r="G97" s="25" t="s">
        <v>40</v>
      </c>
      <c r="H97" s="759">
        <f>M97</f>
        <v>43050</v>
      </c>
      <c r="I97" s="759">
        <v>44080</v>
      </c>
      <c r="J97" s="476">
        <f>H97-I97</f>
        <v>-1030</v>
      </c>
      <c r="K97" s="715" t="s">
        <v>29</v>
      </c>
      <c r="L97" s="717"/>
      <c r="M97" s="691">
        <f>M98+M99+M100+M101+M102+M118+M119+M120+M121+M122+M123+M128+M129</f>
        <v>43050</v>
      </c>
      <c r="N97" s="86"/>
      <c r="O97" s="7"/>
      <c r="P97" s="40" t="s">
        <v>87</v>
      </c>
      <c r="Q97" s="41" t="s">
        <v>5</v>
      </c>
      <c r="R97" s="41" t="s">
        <v>16</v>
      </c>
      <c r="S97" s="41" t="s">
        <v>1</v>
      </c>
      <c r="T97" s="42" t="s">
        <v>91</v>
      </c>
      <c r="U97" s="5"/>
    </row>
    <row r="98" spans="1:21" s="2" customFormat="1" ht="18" customHeight="1">
      <c r="A98" s="64"/>
      <c r="B98" s="22"/>
      <c r="C98" s="22"/>
      <c r="D98" s="22"/>
      <c r="E98" s="22"/>
      <c r="F98" s="22"/>
      <c r="G98" s="22"/>
      <c r="H98" s="760"/>
      <c r="I98" s="760"/>
      <c r="J98" s="474"/>
      <c r="K98" s="684" t="s">
        <v>2335</v>
      </c>
      <c r="L98" s="686" t="s">
        <v>6</v>
      </c>
      <c r="M98" s="708">
        <f>T98/1000</f>
        <v>4000</v>
      </c>
      <c r="N98" s="80" t="s">
        <v>61</v>
      </c>
      <c r="O98" s="3"/>
      <c r="P98" s="68">
        <v>400000</v>
      </c>
      <c r="Q98" s="69">
        <v>10</v>
      </c>
      <c r="R98" s="69">
        <v>1</v>
      </c>
      <c r="S98" s="69"/>
      <c r="T98" s="74">
        <f>P98*Q98*R98</f>
        <v>4000000</v>
      </c>
      <c r="U98" s="5"/>
    </row>
    <row r="99" spans="1:21" s="2" customFormat="1" ht="18" customHeight="1">
      <c r="A99" s="64"/>
      <c r="B99" s="22"/>
      <c r="C99" s="22"/>
      <c r="D99" s="22"/>
      <c r="E99" s="22"/>
      <c r="F99" s="24"/>
      <c r="G99" s="27"/>
      <c r="H99" s="760"/>
      <c r="I99" s="760"/>
      <c r="J99" s="474"/>
      <c r="K99" s="684" t="s">
        <v>1130</v>
      </c>
      <c r="L99" s="686" t="s">
        <v>6</v>
      </c>
      <c r="M99" s="708">
        <f>T99/1000</f>
        <v>1000</v>
      </c>
      <c r="N99" s="80" t="s">
        <v>106</v>
      </c>
      <c r="O99" s="3"/>
      <c r="P99" s="68">
        <v>500000</v>
      </c>
      <c r="Q99" s="69">
        <v>2</v>
      </c>
      <c r="R99" s="69">
        <v>1</v>
      </c>
      <c r="S99" s="69"/>
      <c r="T99" s="74">
        <f>P99*Q99*R99</f>
        <v>1000000</v>
      </c>
      <c r="U99" s="5"/>
    </row>
    <row r="100" spans="1:21" s="2" customFormat="1" ht="18" customHeight="1">
      <c r="A100" s="64"/>
      <c r="B100" s="22"/>
      <c r="C100" s="22"/>
      <c r="D100" s="22"/>
      <c r="E100" s="22"/>
      <c r="F100" s="24"/>
      <c r="G100" s="27"/>
      <c r="H100" s="760"/>
      <c r="I100" s="760"/>
      <c r="J100" s="21"/>
      <c r="K100" s="684" t="s">
        <v>2336</v>
      </c>
      <c r="L100" s="686" t="s">
        <v>6</v>
      </c>
      <c r="M100" s="708">
        <f>T100/1000</f>
        <v>2000</v>
      </c>
      <c r="N100" s="80" t="s">
        <v>1131</v>
      </c>
      <c r="O100" s="3"/>
      <c r="P100" s="68">
        <v>400000</v>
      </c>
      <c r="Q100" s="69">
        <v>5</v>
      </c>
      <c r="R100" s="69">
        <v>1</v>
      </c>
      <c r="S100" s="69"/>
      <c r="T100" s="74">
        <f>P100*Q100*R100</f>
        <v>2000000</v>
      </c>
      <c r="U100" s="5"/>
    </row>
    <row r="101" spans="1:21" s="2" customFormat="1" ht="18" customHeight="1">
      <c r="A101" s="64"/>
      <c r="B101" s="22"/>
      <c r="C101" s="22"/>
      <c r="D101" s="22"/>
      <c r="E101" s="22"/>
      <c r="F101" s="22"/>
      <c r="G101" s="22"/>
      <c r="H101" s="760"/>
      <c r="I101" s="760"/>
      <c r="J101" s="21"/>
      <c r="K101" s="684" t="s">
        <v>2337</v>
      </c>
      <c r="L101" s="686" t="s">
        <v>6</v>
      </c>
      <c r="M101" s="708">
        <f>T101/1000</f>
        <v>10500</v>
      </c>
      <c r="N101" s="80" t="s">
        <v>107</v>
      </c>
      <c r="O101" s="3"/>
      <c r="P101" s="68">
        <v>300000</v>
      </c>
      <c r="Q101" s="69">
        <v>35</v>
      </c>
      <c r="R101" s="69">
        <v>1</v>
      </c>
      <c r="S101" s="69"/>
      <c r="T101" s="74">
        <f>P101*Q101*R101</f>
        <v>10500000</v>
      </c>
      <c r="U101" s="5"/>
    </row>
    <row r="102" spans="1:21" s="2" customFormat="1" ht="18" customHeight="1">
      <c r="A102" s="64"/>
      <c r="B102" s="22"/>
      <c r="C102" s="22"/>
      <c r="D102" s="22"/>
      <c r="E102" s="22"/>
      <c r="F102" s="22"/>
      <c r="G102" s="22"/>
      <c r="H102" s="760"/>
      <c r="I102" s="760"/>
      <c r="J102" s="21"/>
      <c r="K102" s="684" t="s">
        <v>1132</v>
      </c>
      <c r="L102" s="686"/>
      <c r="M102" s="1771">
        <f>SUM(M103:M117)</f>
        <v>12540</v>
      </c>
      <c r="N102" s="68"/>
      <c r="O102" s="68"/>
      <c r="P102" s="68"/>
      <c r="Q102" s="69"/>
      <c r="R102" s="69"/>
      <c r="S102" s="69"/>
      <c r="T102" s="74"/>
      <c r="U102" s="5"/>
    </row>
    <row r="103" spans="1:21" s="2" customFormat="1" ht="18" customHeight="1">
      <c r="A103" s="64"/>
      <c r="B103" s="22"/>
      <c r="C103" s="22"/>
      <c r="D103" s="22"/>
      <c r="E103" s="22"/>
      <c r="F103" s="22"/>
      <c r="G103" s="22"/>
      <c r="H103" s="760"/>
      <c r="I103" s="760"/>
      <c r="J103" s="21"/>
      <c r="K103" s="684" t="s">
        <v>1133</v>
      </c>
      <c r="L103" s="686" t="s">
        <v>6</v>
      </c>
      <c r="M103" s="1772">
        <v>1200</v>
      </c>
      <c r="N103" s="68"/>
      <c r="O103" s="68"/>
      <c r="P103" s="68"/>
      <c r="Q103" s="69"/>
      <c r="R103" s="69"/>
      <c r="S103" s="69"/>
      <c r="T103" s="74" t="s">
        <v>1126</v>
      </c>
      <c r="U103" s="5"/>
    </row>
    <row r="104" spans="1:21" s="2" customFormat="1" ht="18" customHeight="1">
      <c r="A104" s="64"/>
      <c r="B104" s="22"/>
      <c r="C104" s="22"/>
      <c r="D104" s="22"/>
      <c r="E104" s="22"/>
      <c r="F104" s="22"/>
      <c r="G104" s="22"/>
      <c r="H104" s="760"/>
      <c r="I104" s="760"/>
      <c r="J104" s="21"/>
      <c r="K104" s="687" t="s">
        <v>1134</v>
      </c>
      <c r="L104" s="686" t="s">
        <v>6</v>
      </c>
      <c r="M104" s="1772">
        <v>300</v>
      </c>
      <c r="N104" s="68"/>
      <c r="O104" s="68"/>
      <c r="P104" s="68"/>
      <c r="Q104" s="69"/>
      <c r="R104" s="69"/>
      <c r="S104" s="69"/>
      <c r="T104" s="74" t="s">
        <v>1126</v>
      </c>
      <c r="U104" s="5"/>
    </row>
    <row r="105" spans="1:21" s="2" customFormat="1" ht="18" customHeight="1">
      <c r="A105" s="64"/>
      <c r="B105" s="22"/>
      <c r="C105" s="22"/>
      <c r="D105" s="22"/>
      <c r="E105" s="22"/>
      <c r="F105" s="22"/>
      <c r="G105" s="22"/>
      <c r="H105" s="760"/>
      <c r="I105" s="760"/>
      <c r="J105" s="21"/>
      <c r="K105" s="1104" t="s">
        <v>1135</v>
      </c>
      <c r="L105" s="686" t="s">
        <v>6</v>
      </c>
      <c r="M105" s="1772">
        <v>100</v>
      </c>
      <c r="N105" s="68"/>
      <c r="O105" s="68"/>
      <c r="P105" s="68"/>
      <c r="Q105" s="90"/>
      <c r="R105" s="69"/>
      <c r="S105" s="69"/>
      <c r="T105" s="74" t="s">
        <v>1126</v>
      </c>
      <c r="U105" s="5"/>
    </row>
    <row r="106" spans="1:21" s="2" customFormat="1" ht="18" customHeight="1">
      <c r="A106" s="64"/>
      <c r="B106" s="22"/>
      <c r="C106" s="22"/>
      <c r="D106" s="22"/>
      <c r="E106" s="22"/>
      <c r="F106" s="22"/>
      <c r="G106" s="22"/>
      <c r="H106" s="760"/>
      <c r="I106" s="760"/>
      <c r="J106" s="21"/>
      <c r="K106" s="1104" t="s">
        <v>1136</v>
      </c>
      <c r="L106" s="686" t="s">
        <v>6</v>
      </c>
      <c r="M106" s="1772">
        <v>60</v>
      </c>
      <c r="N106" s="68"/>
      <c r="O106" s="68"/>
      <c r="P106" s="68"/>
      <c r="Q106" s="90"/>
      <c r="R106" s="69"/>
      <c r="S106" s="69"/>
      <c r="T106" s="74" t="s">
        <v>1126</v>
      </c>
      <c r="U106" s="5"/>
    </row>
    <row r="107" spans="1:21" s="2" customFormat="1" ht="18" customHeight="1">
      <c r="A107" s="64"/>
      <c r="B107" s="22"/>
      <c r="C107" s="22"/>
      <c r="D107" s="22"/>
      <c r="E107" s="22"/>
      <c r="F107" s="22"/>
      <c r="G107" s="22"/>
      <c r="H107" s="760"/>
      <c r="I107" s="760"/>
      <c r="J107" s="21"/>
      <c r="K107" s="1104" t="s">
        <v>1137</v>
      </c>
      <c r="L107" s="686" t="s">
        <v>6</v>
      </c>
      <c r="M107" s="965">
        <v>300</v>
      </c>
      <c r="N107" s="68"/>
      <c r="O107" s="68"/>
      <c r="P107" s="858"/>
      <c r="Q107" s="859"/>
      <c r="R107" s="860"/>
      <c r="S107" s="69"/>
      <c r="T107" s="74" t="s">
        <v>1126</v>
      </c>
      <c r="U107" s="5"/>
    </row>
    <row r="108" spans="1:21" s="2" customFormat="1" ht="18" customHeight="1">
      <c r="A108" s="64"/>
      <c r="B108" s="22"/>
      <c r="C108" s="22"/>
      <c r="D108" s="22"/>
      <c r="E108" s="22"/>
      <c r="F108" s="22"/>
      <c r="G108" s="22"/>
      <c r="H108" s="760"/>
      <c r="I108" s="760"/>
      <c r="J108" s="21"/>
      <c r="K108" s="1104" t="s">
        <v>1138</v>
      </c>
      <c r="L108" s="686" t="s">
        <v>6</v>
      </c>
      <c r="M108" s="965">
        <v>1100</v>
      </c>
      <c r="N108" s="68"/>
      <c r="O108" s="68"/>
      <c r="P108" s="858"/>
      <c r="Q108" s="859"/>
      <c r="R108" s="860"/>
      <c r="S108" s="69"/>
      <c r="T108" s="74" t="s">
        <v>1126</v>
      </c>
      <c r="U108" s="5"/>
    </row>
    <row r="109" spans="1:21" s="2" customFormat="1" ht="18" customHeight="1">
      <c r="A109" s="64"/>
      <c r="B109" s="22"/>
      <c r="C109" s="22"/>
      <c r="D109" s="22"/>
      <c r="E109" s="22"/>
      <c r="F109" s="22"/>
      <c r="G109" s="22"/>
      <c r="H109" s="760"/>
      <c r="I109" s="760"/>
      <c r="J109" s="21"/>
      <c r="K109" s="1104" t="s">
        <v>1139</v>
      </c>
      <c r="L109" s="686" t="s">
        <v>6</v>
      </c>
      <c r="M109" s="965">
        <v>100</v>
      </c>
      <c r="N109" s="68"/>
      <c r="O109" s="68"/>
      <c r="P109" s="858"/>
      <c r="Q109" s="859"/>
      <c r="R109" s="860"/>
      <c r="S109" s="69"/>
      <c r="T109" s="74" t="s">
        <v>1126</v>
      </c>
      <c r="U109" s="5"/>
    </row>
    <row r="110" spans="1:21" s="2" customFormat="1" ht="18" customHeight="1">
      <c r="A110" s="64"/>
      <c r="B110" s="22"/>
      <c r="C110" s="22"/>
      <c r="D110" s="22"/>
      <c r="E110" s="22"/>
      <c r="F110" s="22"/>
      <c r="G110" s="22"/>
      <c r="H110" s="760"/>
      <c r="I110" s="760"/>
      <c r="J110" s="21"/>
      <c r="K110" s="1104" t="s">
        <v>1140</v>
      </c>
      <c r="L110" s="686" t="s">
        <v>6</v>
      </c>
      <c r="M110" s="965">
        <v>200</v>
      </c>
      <c r="N110" s="68"/>
      <c r="O110" s="68"/>
      <c r="P110" s="858"/>
      <c r="Q110" s="859"/>
      <c r="R110" s="860"/>
      <c r="S110" s="69"/>
      <c r="T110" s="74"/>
      <c r="U110" s="5"/>
    </row>
    <row r="111" spans="1:21" s="2" customFormat="1" ht="18" customHeight="1">
      <c r="A111" s="64"/>
      <c r="B111" s="22"/>
      <c r="C111" s="22"/>
      <c r="D111" s="22"/>
      <c r="E111" s="22"/>
      <c r="F111" s="22"/>
      <c r="G111" s="22"/>
      <c r="H111" s="760"/>
      <c r="I111" s="760"/>
      <c r="J111" s="21"/>
      <c r="K111" s="1104" t="s">
        <v>1141</v>
      </c>
      <c r="L111" s="686" t="s">
        <v>6</v>
      </c>
      <c r="M111" s="965">
        <v>300</v>
      </c>
      <c r="N111" s="68"/>
      <c r="O111" s="68"/>
      <c r="P111" s="858"/>
      <c r="Q111" s="859"/>
      <c r="R111" s="860"/>
      <c r="S111" s="69"/>
      <c r="T111" s="74"/>
      <c r="U111" s="5"/>
    </row>
    <row r="112" spans="1:21" s="2" customFormat="1" ht="18" customHeight="1">
      <c r="A112" s="64"/>
      <c r="B112" s="22"/>
      <c r="C112" s="22"/>
      <c r="D112" s="22"/>
      <c r="E112" s="22"/>
      <c r="F112" s="22"/>
      <c r="G112" s="22"/>
      <c r="H112" s="760"/>
      <c r="I112" s="760"/>
      <c r="J112" s="21"/>
      <c r="K112" s="1104" t="s">
        <v>1142</v>
      </c>
      <c r="L112" s="686" t="s">
        <v>6</v>
      </c>
      <c r="M112" s="965">
        <v>210</v>
      </c>
      <c r="N112" s="68"/>
      <c r="O112" s="68"/>
      <c r="P112" s="858"/>
      <c r="Q112" s="859"/>
      <c r="R112" s="860"/>
      <c r="S112" s="69"/>
      <c r="T112" s="74" t="s">
        <v>1126</v>
      </c>
      <c r="U112" s="5"/>
    </row>
    <row r="113" spans="1:22" s="2" customFormat="1" ht="18" customHeight="1">
      <c r="A113" s="64"/>
      <c r="B113" s="22"/>
      <c r="C113" s="22"/>
      <c r="D113" s="22"/>
      <c r="E113" s="22"/>
      <c r="F113" s="22"/>
      <c r="G113" s="22"/>
      <c r="H113" s="760"/>
      <c r="I113" s="760"/>
      <c r="J113" s="21"/>
      <c r="K113" s="1104" t="s">
        <v>1143</v>
      </c>
      <c r="L113" s="686" t="s">
        <v>6</v>
      </c>
      <c r="M113" s="965">
        <v>200</v>
      </c>
      <c r="N113" s="68"/>
      <c r="O113" s="68"/>
      <c r="P113" s="858"/>
      <c r="Q113" s="859"/>
      <c r="R113" s="860"/>
      <c r="S113" s="69"/>
      <c r="T113" s="74"/>
      <c r="U113" s="5"/>
    </row>
    <row r="114" spans="1:22" s="2" customFormat="1" ht="18" customHeight="1">
      <c r="A114" s="64"/>
      <c r="B114" s="22"/>
      <c r="C114" s="22"/>
      <c r="D114" s="22"/>
      <c r="E114" s="22"/>
      <c r="F114" s="22"/>
      <c r="G114" s="22"/>
      <c r="H114" s="760"/>
      <c r="I114" s="760"/>
      <c r="J114" s="21"/>
      <c r="K114" s="1104" t="s">
        <v>2338</v>
      </c>
      <c r="L114" s="686" t="s">
        <v>6</v>
      </c>
      <c r="M114" s="965">
        <v>5200</v>
      </c>
      <c r="N114" s="68"/>
      <c r="O114" s="68"/>
      <c r="P114" s="858"/>
      <c r="Q114" s="859"/>
      <c r="R114" s="860"/>
      <c r="S114" s="69"/>
      <c r="T114" s="74"/>
      <c r="U114" s="5"/>
    </row>
    <row r="115" spans="1:22" s="2" customFormat="1" ht="18" customHeight="1">
      <c r="A115" s="64"/>
      <c r="B115" s="22"/>
      <c r="C115" s="22"/>
      <c r="D115" s="22"/>
      <c r="E115" s="22"/>
      <c r="F115" s="22"/>
      <c r="G115" s="22"/>
      <c r="H115" s="760"/>
      <c r="I115" s="760"/>
      <c r="J115" s="21"/>
      <c r="K115" s="1104" t="s">
        <v>1144</v>
      </c>
      <c r="L115" s="686" t="s">
        <v>6</v>
      </c>
      <c r="M115" s="965">
        <v>70</v>
      </c>
      <c r="N115" s="68"/>
      <c r="O115" s="68"/>
      <c r="P115" s="858"/>
      <c r="Q115" s="859"/>
      <c r="R115" s="860"/>
      <c r="S115" s="69"/>
      <c r="T115" s="74"/>
      <c r="U115" s="5"/>
    </row>
    <row r="116" spans="1:22" s="2" customFormat="1" ht="18" customHeight="1">
      <c r="A116" s="64"/>
      <c r="B116" s="22"/>
      <c r="C116" s="22"/>
      <c r="D116" s="22"/>
      <c r="E116" s="22"/>
      <c r="F116" s="22"/>
      <c r="G116" s="22"/>
      <c r="H116" s="760"/>
      <c r="I116" s="760"/>
      <c r="J116" s="21"/>
      <c r="K116" s="1104" t="s">
        <v>1145</v>
      </c>
      <c r="L116" s="686" t="s">
        <v>6</v>
      </c>
      <c r="M116" s="965">
        <v>2000</v>
      </c>
      <c r="N116" s="68"/>
      <c r="O116" s="68"/>
      <c r="P116" s="858"/>
      <c r="Q116" s="859"/>
      <c r="R116" s="860"/>
      <c r="S116" s="69"/>
      <c r="T116" s="74"/>
      <c r="U116" s="5"/>
    </row>
    <row r="117" spans="1:22" s="2" customFormat="1" ht="18" customHeight="1">
      <c r="A117" s="64"/>
      <c r="B117" s="22"/>
      <c r="C117" s="22"/>
      <c r="D117" s="22"/>
      <c r="E117" s="22"/>
      <c r="F117" s="22"/>
      <c r="G117" s="22"/>
      <c r="H117" s="760"/>
      <c r="I117" s="760"/>
      <c r="J117" s="21"/>
      <c r="K117" s="698" t="s">
        <v>1146</v>
      </c>
      <c r="L117" s="704" t="s">
        <v>6</v>
      </c>
      <c r="M117" s="1772">
        <v>1200</v>
      </c>
      <c r="N117" s="68"/>
      <c r="O117" s="68"/>
      <c r="P117" s="858"/>
      <c r="Q117" s="49"/>
      <c r="R117" s="49"/>
      <c r="S117" s="6"/>
      <c r="T117" s="14"/>
      <c r="U117" s="5"/>
    </row>
    <row r="118" spans="1:22" s="2" customFormat="1" ht="18" customHeight="1">
      <c r="A118" s="64"/>
      <c r="B118" s="22"/>
      <c r="C118" s="22"/>
      <c r="D118" s="22"/>
      <c r="E118" s="22"/>
      <c r="F118" s="22"/>
      <c r="G118" s="22"/>
      <c r="H118" s="760"/>
      <c r="I118" s="760"/>
      <c r="J118" s="21"/>
      <c r="K118" s="698" t="s">
        <v>1147</v>
      </c>
      <c r="L118" s="704" t="s">
        <v>6</v>
      </c>
      <c r="M118" s="1771">
        <v>900</v>
      </c>
      <c r="N118" s="84"/>
      <c r="O118" s="11"/>
      <c r="P118" s="858"/>
      <c r="Q118" s="49"/>
      <c r="R118" s="49"/>
      <c r="S118" s="6"/>
      <c r="T118" s="14"/>
      <c r="U118" s="5"/>
    </row>
    <row r="119" spans="1:22" s="2" customFormat="1" ht="18" customHeight="1">
      <c r="A119" s="64"/>
      <c r="B119" s="22"/>
      <c r="C119" s="22"/>
      <c r="D119" s="22"/>
      <c r="E119" s="22"/>
      <c r="F119" s="22"/>
      <c r="G119" s="22"/>
      <c r="H119" s="760"/>
      <c r="I119" s="760"/>
      <c r="J119" s="21"/>
      <c r="K119" s="1105" t="s">
        <v>1523</v>
      </c>
      <c r="L119" s="699" t="s">
        <v>6</v>
      </c>
      <c r="M119" s="1771">
        <v>1600</v>
      </c>
      <c r="N119" s="84"/>
      <c r="O119" s="11"/>
      <c r="P119" s="858"/>
      <c r="Q119" s="49"/>
      <c r="R119" s="49"/>
      <c r="S119" s="6"/>
      <c r="T119" s="14"/>
      <c r="U119" s="5"/>
    </row>
    <row r="120" spans="1:22" s="2" customFormat="1" ht="18" customHeight="1">
      <c r="A120" s="64"/>
      <c r="B120" s="22"/>
      <c r="C120" s="22"/>
      <c r="D120" s="22"/>
      <c r="E120" s="22"/>
      <c r="F120" s="22"/>
      <c r="G120" s="22"/>
      <c r="H120" s="760"/>
      <c r="I120" s="760"/>
      <c r="J120" s="21"/>
      <c r="K120" s="1105" t="s">
        <v>1148</v>
      </c>
      <c r="L120" s="699" t="s">
        <v>6</v>
      </c>
      <c r="M120" s="708">
        <v>880</v>
      </c>
      <c r="N120" s="84"/>
      <c r="O120" s="11"/>
      <c r="P120" s="858"/>
      <c r="Q120" s="49"/>
      <c r="R120" s="49"/>
      <c r="S120" s="6"/>
      <c r="T120" s="14"/>
      <c r="U120" s="5"/>
    </row>
    <row r="121" spans="1:22" s="2" customFormat="1" ht="18" customHeight="1">
      <c r="A121" s="64"/>
      <c r="B121" s="22"/>
      <c r="C121" s="22"/>
      <c r="D121" s="22"/>
      <c r="E121" s="22"/>
      <c r="F121" s="22"/>
      <c r="G121" s="22"/>
      <c r="H121" s="760"/>
      <c r="I121" s="760"/>
      <c r="J121" s="21"/>
      <c r="K121" s="1105" t="s">
        <v>1157</v>
      </c>
      <c r="L121" s="699" t="s">
        <v>6</v>
      </c>
      <c r="M121" s="708">
        <v>880</v>
      </c>
      <c r="N121" s="84"/>
      <c r="O121" s="11"/>
      <c r="P121" s="39"/>
      <c r="Q121" s="6"/>
      <c r="R121" s="6"/>
      <c r="S121" s="6"/>
      <c r="T121" s="14"/>
      <c r="U121" s="5"/>
    </row>
    <row r="122" spans="1:22" s="2" customFormat="1" ht="18" customHeight="1">
      <c r="A122" s="64"/>
      <c r="B122" s="22"/>
      <c r="C122" s="22"/>
      <c r="D122" s="22"/>
      <c r="E122" s="22"/>
      <c r="F122" s="22"/>
      <c r="G122" s="22"/>
      <c r="H122" s="760"/>
      <c r="I122" s="760"/>
      <c r="J122" s="21"/>
      <c r="K122" s="718" t="s">
        <v>1158</v>
      </c>
      <c r="L122" s="686" t="s">
        <v>6</v>
      </c>
      <c r="M122" s="708">
        <v>3200</v>
      </c>
      <c r="N122" s="84"/>
      <c r="O122" s="11"/>
      <c r="P122" s="39"/>
      <c r="Q122" s="6"/>
      <c r="R122" s="6"/>
      <c r="S122" s="6"/>
      <c r="T122" s="14"/>
      <c r="U122" s="5"/>
    </row>
    <row r="123" spans="1:22" ht="18" customHeight="1">
      <c r="A123" s="64"/>
      <c r="B123" s="22"/>
      <c r="C123" s="22"/>
      <c r="D123" s="22"/>
      <c r="E123" s="22"/>
      <c r="F123" s="22"/>
      <c r="G123" s="22"/>
      <c r="H123" s="760"/>
      <c r="I123" s="760"/>
      <c r="J123" s="21"/>
      <c r="K123" s="698" t="s">
        <v>1149</v>
      </c>
      <c r="L123" s="704"/>
      <c r="M123" s="719">
        <f>M124+M125+M126+M127</f>
        <v>4400</v>
      </c>
      <c r="O123" s="11"/>
      <c r="P123" s="61"/>
      <c r="R123" s="11"/>
      <c r="S123" s="11"/>
      <c r="V123" s="2"/>
    </row>
    <row r="124" spans="1:22" ht="18" customHeight="1">
      <c r="A124" s="64"/>
      <c r="B124" s="22"/>
      <c r="C124" s="22"/>
      <c r="D124" s="22"/>
      <c r="E124" s="22"/>
      <c r="F124" s="22"/>
      <c r="G124" s="22"/>
      <c r="H124" s="760"/>
      <c r="I124" s="760"/>
      <c r="J124" s="21"/>
      <c r="K124" s="698" t="s">
        <v>1150</v>
      </c>
      <c r="L124" s="704" t="s">
        <v>6</v>
      </c>
      <c r="M124" s="720" t="s">
        <v>1125</v>
      </c>
      <c r="P124" s="61">
        <v>600000</v>
      </c>
      <c r="Q124" s="6">
        <v>1</v>
      </c>
      <c r="R124" s="11">
        <v>2</v>
      </c>
      <c r="S124" s="11"/>
      <c r="T124" s="1106">
        <v>1200000</v>
      </c>
      <c r="V124" s="2"/>
    </row>
    <row r="125" spans="1:22" ht="18" customHeight="1">
      <c r="A125" s="64"/>
      <c r="B125" s="22"/>
      <c r="C125" s="22"/>
      <c r="D125" s="22"/>
      <c r="E125" s="22"/>
      <c r="F125" s="22"/>
      <c r="G125" s="22"/>
      <c r="H125" s="760"/>
      <c r="I125" s="760"/>
      <c r="J125" s="21"/>
      <c r="K125" s="698" t="s">
        <v>1151</v>
      </c>
      <c r="L125" s="704" t="s">
        <v>6</v>
      </c>
      <c r="M125" s="720" t="s">
        <v>1108</v>
      </c>
      <c r="P125" s="61">
        <v>350000</v>
      </c>
      <c r="Q125" s="6">
        <v>3</v>
      </c>
      <c r="R125" s="11">
        <v>2</v>
      </c>
      <c r="S125" s="11"/>
      <c r="T125" s="1106">
        <v>2100000</v>
      </c>
      <c r="V125" s="2"/>
    </row>
    <row r="126" spans="1:22" s="1098" customFormat="1" ht="18" customHeight="1">
      <c r="A126" s="64"/>
      <c r="B126" s="22"/>
      <c r="C126" s="22"/>
      <c r="D126" s="22"/>
      <c r="E126" s="22"/>
      <c r="F126" s="22"/>
      <c r="G126" s="22"/>
      <c r="H126" s="760"/>
      <c r="I126" s="760"/>
      <c r="J126" s="21"/>
      <c r="K126" s="698" t="s">
        <v>1152</v>
      </c>
      <c r="L126" s="704" t="s">
        <v>6</v>
      </c>
      <c r="M126" s="720" t="s">
        <v>557</v>
      </c>
      <c r="N126" s="84" t="s">
        <v>1153</v>
      </c>
      <c r="O126" s="4"/>
      <c r="P126" s="60">
        <v>250000</v>
      </c>
      <c r="Q126" s="1099">
        <v>1</v>
      </c>
      <c r="R126" s="1099">
        <v>2</v>
      </c>
      <c r="S126" s="1099"/>
      <c r="T126" s="1106">
        <v>500000</v>
      </c>
      <c r="U126" s="1096"/>
    </row>
    <row r="127" spans="1:22" s="1098" customFormat="1" ht="18" customHeight="1">
      <c r="A127" s="64"/>
      <c r="B127" s="22"/>
      <c r="C127" s="22"/>
      <c r="D127" s="22"/>
      <c r="E127" s="22"/>
      <c r="F127" s="22"/>
      <c r="G127" s="22"/>
      <c r="H127" s="760"/>
      <c r="I127" s="760"/>
      <c r="J127" s="21"/>
      <c r="K127" s="698" t="s">
        <v>1154</v>
      </c>
      <c r="L127" s="704" t="s">
        <v>6</v>
      </c>
      <c r="M127" s="720" t="s">
        <v>1058</v>
      </c>
      <c r="N127" s="84"/>
      <c r="O127" s="4"/>
      <c r="P127" s="60">
        <v>600000</v>
      </c>
      <c r="Q127" s="1099">
        <v>1</v>
      </c>
      <c r="R127" s="1099">
        <v>1</v>
      </c>
      <c r="S127" s="1099"/>
      <c r="T127" s="1106">
        <v>600000</v>
      </c>
      <c r="U127" s="1096"/>
    </row>
    <row r="128" spans="1:22" s="2" customFormat="1" ht="18" customHeight="1">
      <c r="A128" s="64"/>
      <c r="B128" s="22"/>
      <c r="C128" s="22"/>
      <c r="D128" s="22"/>
      <c r="E128" s="22"/>
      <c r="F128" s="22"/>
      <c r="G128" s="22"/>
      <c r="H128" s="760"/>
      <c r="I128" s="760"/>
      <c r="J128" s="21"/>
      <c r="K128" s="857" t="s">
        <v>1155</v>
      </c>
      <c r="L128" s="704" t="s">
        <v>6</v>
      </c>
      <c r="M128" s="719">
        <v>750</v>
      </c>
      <c r="N128" s="84"/>
      <c r="O128" s="11"/>
      <c r="P128" s="39">
        <v>750000</v>
      </c>
      <c r="Q128" s="6">
        <v>1</v>
      </c>
      <c r="R128" s="6">
        <v>1</v>
      </c>
      <c r="S128" s="6"/>
      <c r="T128" s="1106">
        <v>750000</v>
      </c>
      <c r="U128" s="5"/>
    </row>
    <row r="129" spans="1:24" ht="18" customHeight="1">
      <c r="A129" s="64"/>
      <c r="B129" s="22"/>
      <c r="C129" s="22"/>
      <c r="D129" s="22"/>
      <c r="E129" s="22"/>
      <c r="F129" s="22"/>
      <c r="G129" s="22"/>
      <c r="H129" s="760"/>
      <c r="I129" s="760"/>
      <c r="J129" s="21"/>
      <c r="K129" s="857" t="s">
        <v>1156</v>
      </c>
      <c r="L129" s="704" t="s">
        <v>6</v>
      </c>
      <c r="M129" s="719">
        <v>400</v>
      </c>
      <c r="O129" s="11"/>
      <c r="P129" s="61">
        <v>400000</v>
      </c>
      <c r="Q129" s="6">
        <v>1</v>
      </c>
      <c r="R129" s="11">
        <v>1</v>
      </c>
      <c r="S129" s="11"/>
      <c r="T129" s="1106">
        <v>400000</v>
      </c>
      <c r="V129" s="2"/>
    </row>
    <row r="130" spans="1:24" s="2" customFormat="1" ht="18" customHeight="1">
      <c r="A130" s="64"/>
      <c r="B130" s="22"/>
      <c r="C130" s="22"/>
      <c r="D130" s="22"/>
      <c r="E130" s="22"/>
      <c r="F130" s="22"/>
      <c r="G130" s="53" t="s">
        <v>76</v>
      </c>
      <c r="H130" s="757">
        <f>M130</f>
        <v>99031</v>
      </c>
      <c r="I130" s="757">
        <v>99445</v>
      </c>
      <c r="J130" s="26">
        <f>H130-I130</f>
        <v>-414</v>
      </c>
      <c r="K130" s="715" t="s">
        <v>82</v>
      </c>
      <c r="L130" s="717"/>
      <c r="M130" s="691">
        <f>M131+M133+M136+M141+M144+M145+M139+M140+M132</f>
        <v>99031</v>
      </c>
      <c r="N130" s="86"/>
      <c r="O130" s="7"/>
      <c r="P130" s="40" t="s">
        <v>87</v>
      </c>
      <c r="Q130" s="41" t="s">
        <v>89</v>
      </c>
      <c r="R130" s="41" t="s">
        <v>16</v>
      </c>
      <c r="S130" s="41" t="s">
        <v>1</v>
      </c>
      <c r="T130" s="42" t="s">
        <v>91</v>
      </c>
      <c r="U130" s="5"/>
    </row>
    <row r="131" spans="1:24" s="2" customFormat="1" ht="18" customHeight="1">
      <c r="A131" s="64"/>
      <c r="B131" s="22"/>
      <c r="C131" s="22"/>
      <c r="D131" s="22"/>
      <c r="E131" s="22"/>
      <c r="F131" s="24"/>
      <c r="G131" s="27"/>
      <c r="H131" s="756"/>
      <c r="I131" s="756"/>
      <c r="J131" s="21"/>
      <c r="K131" s="806" t="s">
        <v>875</v>
      </c>
      <c r="L131" s="804" t="s">
        <v>6</v>
      </c>
      <c r="M131" s="788">
        <f t="shared" ref="M131:M132" si="1">T131/1000</f>
        <v>12000</v>
      </c>
      <c r="N131" s="4"/>
      <c r="O131" s="4"/>
      <c r="P131" s="39">
        <v>1000000</v>
      </c>
      <c r="Q131" s="6">
        <v>1</v>
      </c>
      <c r="R131" s="6"/>
      <c r="S131" s="6">
        <v>12</v>
      </c>
      <c r="T131" s="45">
        <f>P131*Q131*S131</f>
        <v>12000000</v>
      </c>
      <c r="U131" s="5"/>
      <c r="V131" s="59"/>
      <c r="W131" s="59"/>
      <c r="X131" s="59"/>
    </row>
    <row r="132" spans="1:24" s="2" customFormat="1" ht="18" customHeight="1">
      <c r="A132" s="64"/>
      <c r="B132" s="22"/>
      <c r="C132" s="22"/>
      <c r="D132" s="22"/>
      <c r="E132" s="22"/>
      <c r="F132" s="24"/>
      <c r="G132" s="27"/>
      <c r="H132" s="756"/>
      <c r="I132" s="756"/>
      <c r="J132" s="21"/>
      <c r="K132" s="806" t="s">
        <v>1159</v>
      </c>
      <c r="L132" s="804" t="s">
        <v>6</v>
      </c>
      <c r="M132" s="788">
        <f t="shared" si="1"/>
        <v>6840</v>
      </c>
      <c r="N132" s="4"/>
      <c r="O132" s="4"/>
      <c r="P132" s="39">
        <v>570000</v>
      </c>
      <c r="Q132" s="6">
        <v>1</v>
      </c>
      <c r="R132" s="6"/>
      <c r="S132" s="6">
        <v>12</v>
      </c>
      <c r="T132" s="45">
        <f>P132*Q132*S132</f>
        <v>6840000</v>
      </c>
      <c r="U132" s="5"/>
      <c r="V132" s="59"/>
      <c r="W132" s="59"/>
      <c r="X132" s="59"/>
    </row>
    <row r="133" spans="1:24" s="2" customFormat="1" ht="18" customHeight="1" thickBot="1">
      <c r="A133" s="64"/>
      <c r="B133" s="22"/>
      <c r="C133" s="22"/>
      <c r="D133" s="22"/>
      <c r="E133" s="22"/>
      <c r="F133" s="22"/>
      <c r="G133" s="22"/>
      <c r="H133" s="756"/>
      <c r="I133" s="756"/>
      <c r="J133" s="21"/>
      <c r="K133" s="806" t="s">
        <v>633</v>
      </c>
      <c r="L133" s="805"/>
      <c r="M133" s="788">
        <f>M134+M135</f>
        <v>1222</v>
      </c>
      <c r="N133" s="4">
        <f>19200+1222+575+1380+72000+816+1740</f>
        <v>96933</v>
      </c>
      <c r="O133" s="4"/>
      <c r="P133" s="39"/>
      <c r="Q133" s="6"/>
      <c r="R133" s="6"/>
      <c r="S133" s="6"/>
      <c r="T133" s="45">
        <f>SUM(T134:T135)</f>
        <v>1221600</v>
      </c>
      <c r="U133" s="5"/>
      <c r="V133" s="59"/>
      <c r="W133" s="59"/>
      <c r="X133" s="59"/>
    </row>
    <row r="134" spans="1:24" s="2" customFormat="1" ht="18" customHeight="1" thickBot="1">
      <c r="A134" s="64"/>
      <c r="B134" s="22"/>
      <c r="C134" s="22"/>
      <c r="D134" s="22"/>
      <c r="E134" s="22"/>
      <c r="F134" s="22"/>
      <c r="G134" s="22"/>
      <c r="H134" s="756"/>
      <c r="I134" s="756"/>
      <c r="J134" s="21"/>
      <c r="K134" s="870" t="s">
        <v>634</v>
      </c>
      <c r="L134" s="853" t="s">
        <v>6</v>
      </c>
      <c r="M134" s="802">
        <v>575</v>
      </c>
      <c r="N134" s="4"/>
      <c r="O134" s="4"/>
      <c r="P134" s="1768">
        <v>47900</v>
      </c>
      <c r="Q134" s="1767">
        <v>1</v>
      </c>
      <c r="R134" s="1766"/>
      <c r="S134" s="1767">
        <v>12</v>
      </c>
      <c r="T134" s="1768">
        <v>574800</v>
      </c>
      <c r="U134" s="5"/>
      <c r="V134" s="59"/>
      <c r="W134" s="59"/>
      <c r="X134" s="59"/>
    </row>
    <row r="135" spans="1:24" s="2" customFormat="1" ht="18" customHeight="1" thickBot="1">
      <c r="A135" s="64"/>
      <c r="B135" s="22"/>
      <c r="C135" s="22"/>
      <c r="D135" s="22"/>
      <c r="E135" s="22"/>
      <c r="F135" s="22"/>
      <c r="G135" s="22"/>
      <c r="H135" s="756"/>
      <c r="I135" s="756"/>
      <c r="J135" s="21"/>
      <c r="K135" s="870" t="s">
        <v>635</v>
      </c>
      <c r="L135" s="886" t="s">
        <v>6</v>
      </c>
      <c r="M135" s="802">
        <v>647</v>
      </c>
      <c r="N135" s="4"/>
      <c r="O135" s="4"/>
      <c r="P135" s="1768">
        <v>53900</v>
      </c>
      <c r="Q135" s="1767">
        <v>1</v>
      </c>
      <c r="R135" s="1766"/>
      <c r="S135" s="1767">
        <v>12</v>
      </c>
      <c r="T135" s="1768">
        <v>646800</v>
      </c>
      <c r="U135" s="5"/>
      <c r="V135" s="59"/>
      <c r="W135" s="59"/>
      <c r="X135" s="59"/>
    </row>
    <row r="136" spans="1:24" s="2" customFormat="1" ht="18" customHeight="1" thickBot="1">
      <c r="A136" s="64"/>
      <c r="B136" s="22"/>
      <c r="C136" s="22"/>
      <c r="D136" s="22"/>
      <c r="E136" s="22"/>
      <c r="F136" s="22"/>
      <c r="G136" s="22"/>
      <c r="H136" s="756"/>
      <c r="I136" s="756"/>
      <c r="J136" s="21"/>
      <c r="K136" s="806" t="s">
        <v>636</v>
      </c>
      <c r="L136" s="805"/>
      <c r="M136" s="788">
        <f>M137+M138</f>
        <v>574</v>
      </c>
      <c r="N136" s="4"/>
      <c r="O136" s="4"/>
      <c r="P136" s="39"/>
      <c r="Q136" s="6"/>
      <c r="R136" s="6"/>
      <c r="S136" s="6"/>
      <c r="T136" s="45">
        <f>SUM(T137:T138)</f>
        <v>573600</v>
      </c>
      <c r="U136" s="5"/>
      <c r="V136" s="59"/>
      <c r="W136" s="59"/>
      <c r="X136" s="59"/>
    </row>
    <row r="137" spans="1:24" s="2" customFormat="1" ht="18" customHeight="1" thickBot="1">
      <c r="A137" s="64"/>
      <c r="B137" s="22"/>
      <c r="C137" s="22"/>
      <c r="D137" s="22"/>
      <c r="E137" s="22"/>
      <c r="F137" s="22"/>
      <c r="G137" s="22"/>
      <c r="H137" s="756"/>
      <c r="I137" s="756"/>
      <c r="J137" s="21"/>
      <c r="K137" s="806" t="s">
        <v>1161</v>
      </c>
      <c r="L137" s="805" t="s">
        <v>6</v>
      </c>
      <c r="M137" s="802">
        <v>287</v>
      </c>
      <c r="N137" s="4"/>
      <c r="O137" s="4"/>
      <c r="P137" s="1768">
        <v>23900</v>
      </c>
      <c r="Q137" s="1767">
        <v>1</v>
      </c>
      <c r="R137" s="1766"/>
      <c r="S137" s="1767">
        <v>12</v>
      </c>
      <c r="T137" s="1768">
        <v>286800</v>
      </c>
      <c r="U137" s="5"/>
      <c r="V137" s="59"/>
      <c r="W137" s="59"/>
      <c r="X137" s="59"/>
    </row>
    <row r="138" spans="1:24" s="2" customFormat="1" ht="18" customHeight="1" thickBot="1">
      <c r="A138" s="64"/>
      <c r="B138" s="22"/>
      <c r="C138" s="22"/>
      <c r="D138" s="22"/>
      <c r="E138" s="22"/>
      <c r="F138" s="22"/>
      <c r="G138" s="22"/>
      <c r="H138" s="756"/>
      <c r="I138" s="756"/>
      <c r="J138" s="21"/>
      <c r="K138" s="806" t="s">
        <v>1162</v>
      </c>
      <c r="L138" s="805" t="s">
        <v>6</v>
      </c>
      <c r="M138" s="802">
        <v>287</v>
      </c>
      <c r="N138" s="4"/>
      <c r="O138" s="4"/>
      <c r="P138" s="1768">
        <v>23900</v>
      </c>
      <c r="Q138" s="1767">
        <v>1</v>
      </c>
      <c r="R138" s="1766"/>
      <c r="S138" s="1767">
        <v>12</v>
      </c>
      <c r="T138" s="1768">
        <v>286800</v>
      </c>
      <c r="U138" s="5"/>
      <c r="V138" s="59"/>
      <c r="W138" s="59"/>
      <c r="X138" s="59"/>
    </row>
    <row r="139" spans="1:24" s="2" customFormat="1" ht="18" customHeight="1">
      <c r="A139" s="64"/>
      <c r="B139" s="22"/>
      <c r="C139" s="22"/>
      <c r="D139" s="22"/>
      <c r="E139" s="22"/>
      <c r="F139" s="22"/>
      <c r="G139" s="22"/>
      <c r="H139" s="760"/>
      <c r="I139" s="760"/>
      <c r="J139" s="21"/>
      <c r="K139" s="801" t="str">
        <f>N139&amp;TEXT(P139," #,###원")&amp;" * "&amp;TEXT(S139,"#분기")</f>
        <v>○ 컬러복합기 렌탈료 : 613,000원 * 4분기</v>
      </c>
      <c r="L139" s="804" t="s">
        <v>6</v>
      </c>
      <c r="M139" s="788">
        <f>T139/1000</f>
        <v>2452</v>
      </c>
      <c r="N139" s="848" t="s">
        <v>876</v>
      </c>
      <c r="O139" s="3"/>
      <c r="P139" s="68">
        <v>613000</v>
      </c>
      <c r="Q139" s="69">
        <v>1</v>
      </c>
      <c r="R139" s="69"/>
      <c r="S139" s="69">
        <v>4</v>
      </c>
      <c r="T139" s="849">
        <f>P139*S139*Q139</f>
        <v>2452000</v>
      </c>
      <c r="U139" s="5"/>
      <c r="V139" s="847"/>
      <c r="W139" s="59"/>
      <c r="X139" s="59"/>
    </row>
    <row r="140" spans="1:24" s="2" customFormat="1" ht="18" customHeight="1">
      <c r="A140" s="64"/>
      <c r="B140" s="22"/>
      <c r="C140" s="22"/>
      <c r="D140" s="22"/>
      <c r="E140" s="22"/>
      <c r="F140" s="22"/>
      <c r="G140" s="22"/>
      <c r="H140" s="760"/>
      <c r="I140" s="760"/>
      <c r="J140" s="21"/>
      <c r="K140" s="801" t="str">
        <f>N140&amp;TEXT(P140," #,###원")&amp;" * "&amp;TEXT(S140,"#분기")</f>
        <v>○ 흑백복합기 렌탈료 : 450,000원 * 4분기</v>
      </c>
      <c r="L140" s="804" t="s">
        <v>6</v>
      </c>
      <c r="M140" s="788">
        <f>T140/1000</f>
        <v>1800</v>
      </c>
      <c r="N140" s="848" t="s">
        <v>784</v>
      </c>
      <c r="O140" s="3"/>
      <c r="P140" s="68">
        <v>450000</v>
      </c>
      <c r="Q140" s="69"/>
      <c r="R140" s="69"/>
      <c r="S140" s="69">
        <v>4</v>
      </c>
      <c r="T140" s="849">
        <f>P140*S140</f>
        <v>1800000</v>
      </c>
      <c r="U140" s="5"/>
      <c r="V140" s="59"/>
      <c r="W140" s="59"/>
      <c r="X140" s="59"/>
    </row>
    <row r="141" spans="1:24" s="2" customFormat="1" ht="18" customHeight="1">
      <c r="A141" s="64"/>
      <c r="B141" s="22"/>
      <c r="C141" s="22"/>
      <c r="D141" s="22"/>
      <c r="E141" s="22"/>
      <c r="F141" s="22"/>
      <c r="G141" s="22"/>
      <c r="H141" s="756"/>
      <c r="I141" s="756"/>
      <c r="J141" s="21"/>
      <c r="K141" s="806" t="s">
        <v>1467</v>
      </c>
      <c r="L141" s="805"/>
      <c r="M141" s="788">
        <f>SUM(M142:M143)</f>
        <v>1380</v>
      </c>
      <c r="N141" s="4"/>
      <c r="O141" s="4"/>
      <c r="P141" s="39"/>
      <c r="Q141" s="6"/>
      <c r="R141" s="6"/>
      <c r="S141" s="6"/>
      <c r="T141" s="45"/>
      <c r="U141" s="5"/>
    </row>
    <row r="142" spans="1:24" s="2" customFormat="1" ht="18" customHeight="1">
      <c r="A142" s="64"/>
      <c r="B142" s="22"/>
      <c r="C142" s="22"/>
      <c r="D142" s="22"/>
      <c r="E142" s="22"/>
      <c r="F142" s="22"/>
      <c r="G142" s="22"/>
      <c r="H142" s="756"/>
      <c r="I142" s="756"/>
      <c r="J142" s="21"/>
      <c r="K142" s="870" t="s">
        <v>1468</v>
      </c>
      <c r="L142" s="805" t="s">
        <v>6</v>
      </c>
      <c r="M142" s="802">
        <v>480</v>
      </c>
      <c r="N142" s="4"/>
      <c r="O142" s="4"/>
      <c r="P142" s="39">
        <v>40000</v>
      </c>
      <c r="Q142" s="6">
        <v>1</v>
      </c>
      <c r="R142" s="6"/>
      <c r="S142" s="6">
        <v>12</v>
      </c>
      <c r="T142" s="45">
        <f>P142*S142</f>
        <v>480000</v>
      </c>
      <c r="U142" s="5"/>
    </row>
    <row r="143" spans="1:24" s="2" customFormat="1" ht="18" customHeight="1">
      <c r="A143" s="64"/>
      <c r="B143" s="22"/>
      <c r="C143" s="22"/>
      <c r="D143" s="22"/>
      <c r="E143" s="22"/>
      <c r="F143" s="22"/>
      <c r="G143" s="22"/>
      <c r="H143" s="756"/>
      <c r="I143" s="756"/>
      <c r="J143" s="21"/>
      <c r="K143" s="870" t="s">
        <v>1469</v>
      </c>
      <c r="L143" s="805" t="s">
        <v>6</v>
      </c>
      <c r="M143" s="802">
        <v>900</v>
      </c>
      <c r="N143" s="4"/>
      <c r="O143" s="4"/>
      <c r="P143" s="39">
        <v>25000</v>
      </c>
      <c r="Q143" s="6">
        <v>3</v>
      </c>
      <c r="R143" s="6"/>
      <c r="S143" s="6">
        <v>12</v>
      </c>
      <c r="T143" s="45">
        <f>P143*Q143*S143</f>
        <v>900000</v>
      </c>
      <c r="U143" s="5"/>
    </row>
    <row r="144" spans="1:24" s="2" customFormat="1" ht="18" customHeight="1">
      <c r="A144" s="64"/>
      <c r="B144" s="22"/>
      <c r="C144" s="22"/>
      <c r="D144" s="22"/>
      <c r="E144" s="22"/>
      <c r="F144" s="22"/>
      <c r="G144" s="22"/>
      <c r="H144" s="756"/>
      <c r="I144" s="756"/>
      <c r="J144" s="21"/>
      <c r="K144" s="806" t="s">
        <v>1160</v>
      </c>
      <c r="L144" s="805" t="s">
        <v>6</v>
      </c>
      <c r="M144" s="788">
        <v>763</v>
      </c>
      <c r="N144" s="4"/>
      <c r="O144" s="4"/>
      <c r="P144" s="39">
        <v>15900</v>
      </c>
      <c r="Q144" s="6">
        <v>4</v>
      </c>
      <c r="R144" s="6"/>
      <c r="S144" s="6">
        <v>12</v>
      </c>
      <c r="T144" s="45">
        <f>P144*Q144*S144</f>
        <v>763200</v>
      </c>
      <c r="U144" s="5"/>
      <c r="V144" s="59"/>
      <c r="W144" s="59"/>
      <c r="X144" s="59"/>
    </row>
    <row r="145" spans="1:24" s="2" customFormat="1" ht="18" customHeight="1">
      <c r="A145" s="64"/>
      <c r="B145" s="22"/>
      <c r="C145" s="22"/>
      <c r="D145" s="22"/>
      <c r="E145" s="22"/>
      <c r="F145" s="22"/>
      <c r="G145" s="22"/>
      <c r="H145" s="756"/>
      <c r="I145" s="756"/>
      <c r="J145" s="21"/>
      <c r="K145" s="688" t="s">
        <v>877</v>
      </c>
      <c r="L145" s="804" t="s">
        <v>6</v>
      </c>
      <c r="M145" s="788">
        <v>72000</v>
      </c>
      <c r="N145" s="4"/>
      <c r="O145" s="4"/>
      <c r="P145" s="39">
        <v>600000</v>
      </c>
      <c r="Q145" s="6">
        <v>1</v>
      </c>
      <c r="R145" s="6"/>
      <c r="S145" s="6">
        <v>12</v>
      </c>
      <c r="T145" s="45">
        <f>P145*Q145*S145</f>
        <v>7200000</v>
      </c>
      <c r="U145" s="5"/>
      <c r="V145" s="59"/>
      <c r="W145" s="59"/>
      <c r="X145" s="59"/>
    </row>
    <row r="146" spans="1:24" s="2" customFormat="1" ht="18" customHeight="1">
      <c r="A146" s="64"/>
      <c r="B146" s="22"/>
      <c r="C146" s="22"/>
      <c r="D146" s="22"/>
      <c r="E146" s="22"/>
      <c r="F146" s="24"/>
      <c r="G146" s="53" t="s">
        <v>95</v>
      </c>
      <c r="H146" s="757">
        <f>M146</f>
        <v>4500</v>
      </c>
      <c r="I146" s="757">
        <v>4650</v>
      </c>
      <c r="J146" s="26">
        <f>H146-I146</f>
        <v>-150</v>
      </c>
      <c r="K146" s="715" t="s">
        <v>79</v>
      </c>
      <c r="L146" s="714"/>
      <c r="M146" s="691">
        <f>M147+M148+M149+M150+M151+M152+M153+M154+M157</f>
        <v>4500</v>
      </c>
      <c r="N146" s="86"/>
      <c r="O146" s="7"/>
      <c r="P146" s="40" t="s">
        <v>87</v>
      </c>
      <c r="Q146" s="41" t="s">
        <v>5</v>
      </c>
      <c r="R146" s="41" t="s">
        <v>16</v>
      </c>
      <c r="S146" s="41" t="s">
        <v>1</v>
      </c>
      <c r="T146" s="42" t="s">
        <v>91</v>
      </c>
      <c r="U146" s="5"/>
    </row>
    <row r="147" spans="1:24" s="2" customFormat="1" ht="18" customHeight="1">
      <c r="A147" s="64"/>
      <c r="B147" s="22"/>
      <c r="C147" s="22"/>
      <c r="D147" s="22"/>
      <c r="E147" s="22"/>
      <c r="F147" s="24"/>
      <c r="G147" s="27"/>
      <c r="H147" s="756"/>
      <c r="I147" s="756"/>
      <c r="J147" s="21"/>
      <c r="K147" s="688" t="s">
        <v>2343</v>
      </c>
      <c r="L147" s="699" t="s">
        <v>6</v>
      </c>
      <c r="M147" s="475">
        <f t="shared" ref="M147:M153" si="2">T147/1000</f>
        <v>525</v>
      </c>
      <c r="N147" s="84"/>
      <c r="O147" s="11"/>
      <c r="P147" s="39">
        <v>25000</v>
      </c>
      <c r="Q147" s="6">
        <v>7</v>
      </c>
      <c r="R147" s="6">
        <v>3</v>
      </c>
      <c r="S147" s="6">
        <v>1</v>
      </c>
      <c r="T147" s="14">
        <f t="shared" ref="T147:T151" si="3">P147*Q147*R147*S147</f>
        <v>525000</v>
      </c>
      <c r="U147" s="5"/>
    </row>
    <row r="148" spans="1:24" s="2" customFormat="1" ht="18" customHeight="1">
      <c r="A148" s="64"/>
      <c r="B148" s="22"/>
      <c r="C148" s="22"/>
      <c r="D148" s="22"/>
      <c r="E148" s="22"/>
      <c r="F148" s="22"/>
      <c r="G148" s="22"/>
      <c r="H148" s="756"/>
      <c r="I148" s="756"/>
      <c r="J148" s="21"/>
      <c r="K148" s="688" t="s">
        <v>2342</v>
      </c>
      <c r="L148" s="699" t="s">
        <v>6</v>
      </c>
      <c r="M148" s="475">
        <f t="shared" si="2"/>
        <v>1000</v>
      </c>
      <c r="N148" s="84"/>
      <c r="O148" s="11"/>
      <c r="P148" s="39">
        <v>25000</v>
      </c>
      <c r="Q148" s="6">
        <v>10</v>
      </c>
      <c r="R148" s="6">
        <v>4</v>
      </c>
      <c r="S148" s="6">
        <v>1</v>
      </c>
      <c r="T148" s="14">
        <f t="shared" si="3"/>
        <v>1000000</v>
      </c>
      <c r="U148" s="5"/>
    </row>
    <row r="149" spans="1:24" s="2" customFormat="1" ht="18" customHeight="1">
      <c r="A149" s="64"/>
      <c r="B149" s="22"/>
      <c r="C149" s="22"/>
      <c r="D149" s="22"/>
      <c r="E149" s="22"/>
      <c r="F149" s="22"/>
      <c r="G149" s="22"/>
      <c r="H149" s="756"/>
      <c r="I149" s="756"/>
      <c r="J149" s="21"/>
      <c r="K149" s="688" t="s">
        <v>2344</v>
      </c>
      <c r="L149" s="699" t="s">
        <v>6</v>
      </c>
      <c r="M149" s="475">
        <f t="shared" si="2"/>
        <v>375</v>
      </c>
      <c r="N149" s="84"/>
      <c r="O149" s="11"/>
      <c r="P149" s="39">
        <v>25000</v>
      </c>
      <c r="Q149" s="6">
        <v>5</v>
      </c>
      <c r="R149" s="6">
        <v>3</v>
      </c>
      <c r="S149" s="6">
        <v>1</v>
      </c>
      <c r="T149" s="14">
        <f t="shared" si="3"/>
        <v>375000</v>
      </c>
      <c r="U149" s="5"/>
    </row>
    <row r="150" spans="1:24" s="2" customFormat="1" ht="18" customHeight="1">
      <c r="A150" s="64"/>
      <c r="B150" s="22"/>
      <c r="C150" s="22"/>
      <c r="D150" s="22"/>
      <c r="E150" s="22"/>
      <c r="F150" s="22"/>
      <c r="G150" s="22"/>
      <c r="H150" s="756"/>
      <c r="I150" s="756"/>
      <c r="J150" s="21"/>
      <c r="K150" s="688" t="s">
        <v>2339</v>
      </c>
      <c r="L150" s="699" t="s">
        <v>6</v>
      </c>
      <c r="M150" s="475">
        <f t="shared" si="2"/>
        <v>500</v>
      </c>
      <c r="N150" s="84"/>
      <c r="O150" s="11"/>
      <c r="P150" s="39">
        <v>25000</v>
      </c>
      <c r="Q150" s="6">
        <v>10</v>
      </c>
      <c r="R150" s="6">
        <v>2</v>
      </c>
      <c r="S150" s="6">
        <v>1</v>
      </c>
      <c r="T150" s="14">
        <f t="shared" si="3"/>
        <v>500000</v>
      </c>
      <c r="U150" s="5"/>
    </row>
    <row r="151" spans="1:24" s="2" customFormat="1" ht="18" customHeight="1">
      <c r="A151" s="64"/>
      <c r="B151" s="22"/>
      <c r="C151" s="22"/>
      <c r="D151" s="22"/>
      <c r="E151" s="22"/>
      <c r="F151" s="22"/>
      <c r="G151" s="22"/>
      <c r="H151" s="756"/>
      <c r="I151" s="756"/>
      <c r="J151" s="21"/>
      <c r="K151" s="688" t="s">
        <v>2495</v>
      </c>
      <c r="L151" s="699" t="s">
        <v>6</v>
      </c>
      <c r="M151" s="475">
        <f t="shared" si="2"/>
        <v>250</v>
      </c>
      <c r="N151" s="84"/>
      <c r="O151" s="11"/>
      <c r="P151" s="39">
        <v>25000</v>
      </c>
      <c r="Q151" s="6">
        <v>10</v>
      </c>
      <c r="R151" s="6">
        <v>1</v>
      </c>
      <c r="S151" s="6">
        <v>1</v>
      </c>
      <c r="T151" s="14">
        <f t="shared" si="3"/>
        <v>250000</v>
      </c>
      <c r="U151" s="5"/>
    </row>
    <row r="152" spans="1:24" s="2" customFormat="1" ht="18" customHeight="1">
      <c r="A152" s="64"/>
      <c r="B152" s="22"/>
      <c r="C152" s="22"/>
      <c r="D152" s="22"/>
      <c r="E152" s="22"/>
      <c r="F152" s="22"/>
      <c r="G152" s="22"/>
      <c r="H152" s="756"/>
      <c r="I152" s="756"/>
      <c r="J152" s="21"/>
      <c r="K152" s="709" t="s">
        <v>2493</v>
      </c>
      <c r="L152" s="699" t="s">
        <v>6</v>
      </c>
      <c r="M152" s="475">
        <f t="shared" si="2"/>
        <v>225</v>
      </c>
      <c r="N152" s="84"/>
      <c r="O152" s="11"/>
      <c r="P152" s="39">
        <v>25000</v>
      </c>
      <c r="Q152" s="6">
        <v>1</v>
      </c>
      <c r="R152" s="6">
        <v>9</v>
      </c>
      <c r="S152" s="6"/>
      <c r="T152" s="14">
        <f>P152*Q152*R152</f>
        <v>225000</v>
      </c>
      <c r="U152" s="5"/>
    </row>
    <row r="153" spans="1:24" s="2" customFormat="1" ht="18" customHeight="1">
      <c r="A153" s="64"/>
      <c r="B153" s="22"/>
      <c r="C153" s="22"/>
      <c r="D153" s="22"/>
      <c r="E153" s="22"/>
      <c r="F153" s="22"/>
      <c r="G153" s="22"/>
      <c r="H153" s="756"/>
      <c r="I153" s="756"/>
      <c r="J153" s="21"/>
      <c r="K153" s="709" t="s">
        <v>2494</v>
      </c>
      <c r="L153" s="699" t="s">
        <v>6</v>
      </c>
      <c r="M153" s="475">
        <f t="shared" si="2"/>
        <v>1050</v>
      </c>
      <c r="N153" s="84"/>
      <c r="O153" s="11"/>
      <c r="P153" s="39">
        <v>25000</v>
      </c>
      <c r="Q153" s="6">
        <v>14</v>
      </c>
      <c r="R153" s="6">
        <v>3</v>
      </c>
      <c r="S153" s="6"/>
      <c r="T153" s="14">
        <f>P153*Q153*R153</f>
        <v>1050000</v>
      </c>
      <c r="U153" s="5"/>
    </row>
    <row r="154" spans="1:24" s="2" customFormat="1" ht="18" customHeight="1">
      <c r="A154" s="64"/>
      <c r="B154" s="22"/>
      <c r="C154" s="22"/>
      <c r="D154" s="22"/>
      <c r="E154" s="22"/>
      <c r="F154" s="22"/>
      <c r="G154" s="22"/>
      <c r="H154" s="756"/>
      <c r="I154" s="756"/>
      <c r="J154" s="21"/>
      <c r="K154" s="698" t="s">
        <v>637</v>
      </c>
      <c r="L154" s="704"/>
      <c r="M154" s="719">
        <f>SUM(M155:M156)</f>
        <v>475</v>
      </c>
      <c r="N154" s="84"/>
      <c r="O154" s="11"/>
      <c r="P154" s="39"/>
      <c r="Q154" s="6"/>
      <c r="R154" s="6"/>
      <c r="S154" s="6"/>
      <c r="T154" s="14"/>
      <c r="U154" s="5"/>
    </row>
    <row r="155" spans="1:24" s="2" customFormat="1" ht="18" customHeight="1">
      <c r="A155" s="64"/>
      <c r="B155" s="22"/>
      <c r="C155" s="22"/>
      <c r="D155" s="22"/>
      <c r="E155" s="22"/>
      <c r="F155" s="22"/>
      <c r="G155" s="22"/>
      <c r="H155" s="756"/>
      <c r="I155" s="756"/>
      <c r="J155" s="21"/>
      <c r="K155" s="709" t="s">
        <v>2345</v>
      </c>
      <c r="L155" s="699" t="s">
        <v>6</v>
      </c>
      <c r="M155" s="700">
        <f>T155/1000</f>
        <v>175</v>
      </c>
      <c r="N155" s="84"/>
      <c r="O155" s="11"/>
      <c r="P155" s="39">
        <v>25000</v>
      </c>
      <c r="Q155" s="6">
        <v>7</v>
      </c>
      <c r="R155" s="6">
        <v>1</v>
      </c>
      <c r="S155" s="6"/>
      <c r="T155" s="14">
        <f t="shared" ref="T155:T157" si="4">P155*Q155*R155</f>
        <v>175000</v>
      </c>
      <c r="U155" s="5"/>
    </row>
    <row r="156" spans="1:24" s="2" customFormat="1" ht="18" customHeight="1">
      <c r="A156" s="64"/>
      <c r="B156" s="22"/>
      <c r="C156" s="22"/>
      <c r="D156" s="22"/>
      <c r="E156" s="22"/>
      <c r="F156" s="22"/>
      <c r="G156" s="22"/>
      <c r="H156" s="756"/>
      <c r="I156" s="756"/>
      <c r="J156" s="21"/>
      <c r="K156" s="698" t="s">
        <v>2340</v>
      </c>
      <c r="L156" s="704" t="s">
        <v>6</v>
      </c>
      <c r="M156" s="700">
        <f>T156/1000</f>
        <v>300</v>
      </c>
      <c r="N156" s="84"/>
      <c r="O156" s="11"/>
      <c r="P156" s="39">
        <v>25000</v>
      </c>
      <c r="Q156" s="6">
        <v>12</v>
      </c>
      <c r="R156" s="6">
        <v>1</v>
      </c>
      <c r="S156" s="6"/>
      <c r="T156" s="14">
        <f t="shared" si="4"/>
        <v>300000</v>
      </c>
      <c r="U156" s="5"/>
    </row>
    <row r="157" spans="1:24" s="2" customFormat="1" ht="18" customHeight="1">
      <c r="A157" s="64"/>
      <c r="B157" s="22"/>
      <c r="C157" s="22"/>
      <c r="D157" s="22"/>
      <c r="E157" s="22"/>
      <c r="F157" s="22"/>
      <c r="G157" s="22"/>
      <c r="H157" s="756"/>
      <c r="I157" s="756"/>
      <c r="J157" s="21"/>
      <c r="K157" s="698" t="s">
        <v>2341</v>
      </c>
      <c r="L157" s="704" t="s">
        <v>6</v>
      </c>
      <c r="M157" s="475">
        <f t="shared" ref="M157" si="5">T157/1000</f>
        <v>100</v>
      </c>
      <c r="N157" s="84"/>
      <c r="O157" s="11"/>
      <c r="P157" s="39">
        <v>25000</v>
      </c>
      <c r="Q157" s="6">
        <v>4</v>
      </c>
      <c r="R157" s="6">
        <v>1</v>
      </c>
      <c r="S157" s="6"/>
      <c r="T157" s="14">
        <f t="shared" si="4"/>
        <v>100000</v>
      </c>
      <c r="U157" s="5"/>
    </row>
    <row r="158" spans="1:24" s="2" customFormat="1" ht="18" customHeight="1">
      <c r="A158" s="64"/>
      <c r="B158" s="22"/>
      <c r="C158" s="22"/>
      <c r="D158" s="22"/>
      <c r="E158" s="22"/>
      <c r="F158" s="24"/>
      <c r="G158" s="25" t="s">
        <v>37</v>
      </c>
      <c r="H158" s="757">
        <f>M158</f>
        <v>823810</v>
      </c>
      <c r="I158" s="757">
        <v>854370</v>
      </c>
      <c r="J158" s="26">
        <f>H158-I158</f>
        <v>-30560</v>
      </c>
      <c r="K158" s="715" t="s">
        <v>94</v>
      </c>
      <c r="L158" s="714"/>
      <c r="M158" s="691">
        <f>M159+M162+M165+M167+M170+M171+M178+M182</f>
        <v>823810</v>
      </c>
      <c r="N158" s="84"/>
      <c r="O158" s="4"/>
      <c r="P158" s="39"/>
      <c r="Q158" s="6"/>
      <c r="R158" s="6"/>
      <c r="S158" s="6"/>
      <c r="T158" s="14"/>
      <c r="U158" s="5"/>
    </row>
    <row r="159" spans="1:24" s="2" customFormat="1" ht="18" customHeight="1">
      <c r="A159" s="64"/>
      <c r="B159" s="22"/>
      <c r="C159" s="22"/>
      <c r="D159" s="22"/>
      <c r="E159" s="22"/>
      <c r="F159" s="22"/>
      <c r="G159" s="22"/>
      <c r="H159" s="756"/>
      <c r="I159" s="756"/>
      <c r="J159" s="21"/>
      <c r="K159" s="872" t="s">
        <v>103</v>
      </c>
      <c r="L159" s="804"/>
      <c r="M159" s="1773">
        <f t="shared" ref="M159:M169" si="6">T159/1000</f>
        <v>510000</v>
      </c>
      <c r="N159" s="4"/>
      <c r="O159" s="11"/>
      <c r="P159" s="39"/>
      <c r="Q159" s="6"/>
      <c r="R159" s="6"/>
      <c r="S159" s="6"/>
      <c r="T159" s="45">
        <f>SUM(T160:T161)</f>
        <v>510000000</v>
      </c>
      <c r="U159" s="5"/>
      <c r="V159" s="59"/>
      <c r="W159" s="59"/>
      <c r="X159" s="59"/>
    </row>
    <row r="160" spans="1:24" s="2" customFormat="1" ht="18" customHeight="1">
      <c r="A160" s="64"/>
      <c r="B160" s="22"/>
      <c r="C160" s="22"/>
      <c r="D160" s="22"/>
      <c r="E160" s="22"/>
      <c r="F160" s="22"/>
      <c r="G160" s="22"/>
      <c r="H160" s="756"/>
      <c r="I160" s="756"/>
      <c r="J160" s="21"/>
      <c r="K160" s="806" t="s">
        <v>1470</v>
      </c>
      <c r="L160" s="804" t="s">
        <v>6</v>
      </c>
      <c r="M160" s="1774">
        <f t="shared" si="6"/>
        <v>495000</v>
      </c>
      <c r="N160" s="4"/>
      <c r="O160" s="4"/>
      <c r="P160" s="39">
        <v>1100000</v>
      </c>
      <c r="Q160" s="6">
        <v>450</v>
      </c>
      <c r="R160" s="6"/>
      <c r="S160" s="6"/>
      <c r="T160" s="45">
        <f>P160*Q160</f>
        <v>495000000</v>
      </c>
      <c r="U160" s="5"/>
      <c r="V160" s="59"/>
      <c r="W160" s="59"/>
      <c r="X160" s="59"/>
    </row>
    <row r="161" spans="1:24" s="2" customFormat="1" ht="18" customHeight="1">
      <c r="A161" s="64"/>
      <c r="B161" s="22"/>
      <c r="C161" s="22"/>
      <c r="D161" s="22"/>
      <c r="E161" s="22"/>
      <c r="F161" s="22"/>
      <c r="G161" s="22"/>
      <c r="H161" s="756"/>
      <c r="I161" s="756"/>
      <c r="J161" s="21"/>
      <c r="K161" s="806" t="s">
        <v>638</v>
      </c>
      <c r="L161" s="804" t="s">
        <v>6</v>
      </c>
      <c r="M161" s="1774">
        <f t="shared" si="6"/>
        <v>15000</v>
      </c>
      <c r="N161" s="4"/>
      <c r="O161" s="4"/>
      <c r="P161" s="39">
        <v>300000</v>
      </c>
      <c r="Q161" s="6">
        <v>50</v>
      </c>
      <c r="R161" s="6"/>
      <c r="S161" s="6"/>
      <c r="T161" s="45">
        <f>P161*Q161</f>
        <v>15000000</v>
      </c>
      <c r="U161" s="5"/>
      <c r="V161" s="59"/>
      <c r="W161" s="59"/>
      <c r="X161" s="59"/>
    </row>
    <row r="162" spans="1:24" s="2" customFormat="1" ht="18" customHeight="1">
      <c r="A162" s="64"/>
      <c r="B162" s="22"/>
      <c r="C162" s="22"/>
      <c r="D162" s="22"/>
      <c r="E162" s="22"/>
      <c r="F162" s="22"/>
      <c r="G162" s="22"/>
      <c r="H162" s="756"/>
      <c r="I162" s="756"/>
      <c r="J162" s="21"/>
      <c r="K162" s="872" t="s">
        <v>1164</v>
      </c>
      <c r="L162" s="804" t="s">
        <v>292</v>
      </c>
      <c r="M162" s="1773">
        <f>M163+M164</f>
        <v>201800</v>
      </c>
      <c r="N162" s="4"/>
      <c r="O162" s="11"/>
      <c r="P162" s="39"/>
      <c r="Q162" s="6"/>
      <c r="R162" s="6"/>
      <c r="S162" s="6"/>
      <c r="T162" s="45"/>
      <c r="U162" s="5"/>
      <c r="V162" s="59"/>
      <c r="W162" s="59"/>
      <c r="X162" s="59"/>
    </row>
    <row r="163" spans="1:24" s="2" customFormat="1" ht="18" customHeight="1">
      <c r="A163" s="64"/>
      <c r="B163" s="22"/>
      <c r="C163" s="22"/>
      <c r="D163" s="22"/>
      <c r="E163" s="22"/>
      <c r="F163" s="22"/>
      <c r="G163" s="22"/>
      <c r="H163" s="756"/>
      <c r="I163" s="756"/>
      <c r="J163" s="21"/>
      <c r="K163" s="806" t="s">
        <v>1508</v>
      </c>
      <c r="L163" s="804" t="s">
        <v>6</v>
      </c>
      <c r="M163" s="1769">
        <f>300*356</f>
        <v>106800</v>
      </c>
      <c r="N163" s="4"/>
      <c r="O163" s="11"/>
      <c r="P163" s="39"/>
      <c r="Q163" s="6"/>
      <c r="R163" s="6"/>
      <c r="S163" s="6"/>
      <c r="T163" s="45"/>
      <c r="U163" s="5"/>
      <c r="V163" s="59"/>
      <c r="W163" s="59"/>
      <c r="X163" s="59"/>
    </row>
    <row r="164" spans="1:24" s="2" customFormat="1" ht="18" customHeight="1">
      <c r="A164" s="64"/>
      <c r="B164" s="22"/>
      <c r="C164" s="22"/>
      <c r="D164" s="22"/>
      <c r="E164" s="22"/>
      <c r="F164" s="22"/>
      <c r="G164" s="22"/>
      <c r="H164" s="756"/>
      <c r="I164" s="756"/>
      <c r="J164" s="21"/>
      <c r="K164" s="806" t="s">
        <v>1471</v>
      </c>
      <c r="L164" s="804" t="s">
        <v>6</v>
      </c>
      <c r="M164" s="1769">
        <f>1000*95</f>
        <v>95000</v>
      </c>
      <c r="N164" s="4"/>
      <c r="O164" s="11"/>
      <c r="P164" s="39"/>
      <c r="Q164" s="6"/>
      <c r="R164" s="6"/>
      <c r="S164" s="6"/>
      <c r="T164" s="45"/>
      <c r="U164" s="5"/>
      <c r="V164" s="59"/>
      <c r="W164" s="59"/>
      <c r="X164" s="59"/>
    </row>
    <row r="165" spans="1:24" s="2" customFormat="1" ht="18" customHeight="1">
      <c r="A165" s="64"/>
      <c r="B165" s="22"/>
      <c r="C165" s="22"/>
      <c r="D165" s="22"/>
      <c r="E165" s="22"/>
      <c r="F165" s="22"/>
      <c r="G165" s="22"/>
      <c r="H165" s="756"/>
      <c r="I165" s="756"/>
      <c r="J165" s="21"/>
      <c r="K165" s="872" t="s">
        <v>639</v>
      </c>
      <c r="L165" s="804"/>
      <c r="M165" s="1773">
        <f t="shared" si="6"/>
        <v>69000</v>
      </c>
      <c r="N165" s="4"/>
      <c r="O165" s="11"/>
      <c r="P165" s="39"/>
      <c r="Q165" s="6"/>
      <c r="R165" s="6"/>
      <c r="S165" s="6"/>
      <c r="T165" s="45">
        <f>SUM(T166)</f>
        <v>69000000</v>
      </c>
      <c r="U165" s="5"/>
      <c r="V165" s="59"/>
      <c r="W165" s="59"/>
      <c r="X165" s="59"/>
    </row>
    <row r="166" spans="1:24" s="2" customFormat="1" ht="18" customHeight="1">
      <c r="A166" s="64"/>
      <c r="B166" s="22"/>
      <c r="C166" s="22"/>
      <c r="D166" s="22"/>
      <c r="E166" s="22"/>
      <c r="F166" s="22"/>
      <c r="G166" s="22"/>
      <c r="H166" s="756"/>
      <c r="I166" s="756"/>
      <c r="J166" s="21"/>
      <c r="K166" s="806" t="s">
        <v>640</v>
      </c>
      <c r="L166" s="804" t="s">
        <v>6</v>
      </c>
      <c r="M166" s="1774">
        <f t="shared" si="6"/>
        <v>69000</v>
      </c>
      <c r="N166" s="4"/>
      <c r="O166" s="4"/>
      <c r="P166" s="39">
        <v>300000</v>
      </c>
      <c r="Q166" s="6">
        <v>230</v>
      </c>
      <c r="R166" s="6"/>
      <c r="S166" s="6"/>
      <c r="T166" s="45">
        <f>P166*Q166</f>
        <v>69000000</v>
      </c>
      <c r="U166" s="5"/>
      <c r="V166" s="59"/>
      <c r="W166" s="59"/>
      <c r="X166" s="59"/>
    </row>
    <row r="167" spans="1:24" s="2" customFormat="1" ht="18" customHeight="1">
      <c r="A167" s="64"/>
      <c r="B167" s="22"/>
      <c r="C167" s="22"/>
      <c r="D167" s="22"/>
      <c r="E167" s="22"/>
      <c r="F167" s="62"/>
      <c r="G167" s="22"/>
      <c r="H167" s="756"/>
      <c r="I167" s="756"/>
      <c r="J167" s="21"/>
      <c r="K167" s="872" t="s">
        <v>71</v>
      </c>
      <c r="L167" s="804"/>
      <c r="M167" s="1773">
        <f>SUM(M168:M169)</f>
        <v>2100</v>
      </c>
      <c r="N167" s="4"/>
      <c r="O167" s="11"/>
      <c r="P167" s="39"/>
      <c r="Q167" s="6"/>
      <c r="R167" s="6"/>
      <c r="S167" s="6"/>
      <c r="T167" s="45">
        <f>SUM(T168:T169)</f>
        <v>2100000</v>
      </c>
      <c r="U167" s="5"/>
      <c r="V167" s="59"/>
      <c r="W167" s="59"/>
      <c r="X167" s="59"/>
    </row>
    <row r="168" spans="1:24" s="2" customFormat="1" ht="18" customHeight="1">
      <c r="A168" s="64"/>
      <c r="B168" s="22"/>
      <c r="C168" s="22"/>
      <c r="D168" s="22"/>
      <c r="E168" s="22"/>
      <c r="F168" s="62"/>
      <c r="G168" s="22"/>
      <c r="H168" s="756"/>
      <c r="I168" s="756"/>
      <c r="J168" s="21"/>
      <c r="K168" s="806" t="s">
        <v>1520</v>
      </c>
      <c r="L168" s="804" t="s">
        <v>6</v>
      </c>
      <c r="M168" s="1774">
        <f t="shared" si="6"/>
        <v>1920</v>
      </c>
      <c r="N168" s="4"/>
      <c r="O168" s="4"/>
      <c r="P168" s="39">
        <v>40000</v>
      </c>
      <c r="Q168" s="6">
        <v>48</v>
      </c>
      <c r="R168" s="6"/>
      <c r="S168" s="6"/>
      <c r="T168" s="45">
        <f>P168*Q168</f>
        <v>1920000</v>
      </c>
      <c r="U168" s="5"/>
      <c r="V168" s="59"/>
      <c r="W168" s="59"/>
      <c r="X168" s="59"/>
    </row>
    <row r="169" spans="1:24" s="2" customFormat="1" ht="18" customHeight="1">
      <c r="A169" s="64"/>
      <c r="B169" s="22"/>
      <c r="C169" s="22"/>
      <c r="D169" s="22"/>
      <c r="E169" s="22"/>
      <c r="F169" s="62"/>
      <c r="G169" s="22"/>
      <c r="H169" s="756"/>
      <c r="I169" s="756"/>
      <c r="J169" s="21"/>
      <c r="K169" s="806" t="s">
        <v>1521</v>
      </c>
      <c r="L169" s="804" t="s">
        <v>6</v>
      </c>
      <c r="M169" s="1774">
        <f t="shared" si="6"/>
        <v>180</v>
      </c>
      <c r="N169" s="4"/>
      <c r="O169" s="4"/>
      <c r="P169" s="39">
        <v>45000</v>
      </c>
      <c r="Q169" s="6">
        <v>4</v>
      </c>
      <c r="R169" s="6"/>
      <c r="S169" s="6"/>
      <c r="T169" s="45">
        <f>P169*Q169</f>
        <v>180000</v>
      </c>
      <c r="U169" s="5"/>
      <c r="V169" s="59"/>
      <c r="W169" s="59"/>
      <c r="X169" s="59"/>
    </row>
    <row r="170" spans="1:24" s="2" customFormat="1" ht="18" customHeight="1">
      <c r="A170" s="64"/>
      <c r="B170" s="22"/>
      <c r="C170" s="22"/>
      <c r="D170" s="22"/>
      <c r="E170" s="22"/>
      <c r="F170" s="62"/>
      <c r="G170" s="22"/>
      <c r="H170" s="756"/>
      <c r="I170" s="756"/>
      <c r="J170" s="21"/>
      <c r="K170" s="701" t="s">
        <v>2328</v>
      </c>
      <c r="L170" s="804" t="s">
        <v>6</v>
      </c>
      <c r="M170" s="1773">
        <f>T170/1000</f>
        <v>18000</v>
      </c>
      <c r="N170" s="4"/>
      <c r="O170" s="11"/>
      <c r="P170" s="39">
        <v>9000</v>
      </c>
      <c r="Q170" s="6">
        <v>20</v>
      </c>
      <c r="R170" s="6">
        <v>10</v>
      </c>
      <c r="S170" s="6">
        <v>10</v>
      </c>
      <c r="T170" s="45">
        <f>P170*Q170*R170*S170</f>
        <v>18000000</v>
      </c>
      <c r="U170" s="5"/>
      <c r="V170" s="59"/>
      <c r="W170" s="59"/>
      <c r="X170" s="59"/>
    </row>
    <row r="171" spans="1:24" s="2" customFormat="1" ht="18" customHeight="1">
      <c r="A171" s="64"/>
      <c r="B171" s="22"/>
      <c r="C171" s="22"/>
      <c r="D171" s="22"/>
      <c r="E171" s="22"/>
      <c r="F171" s="62"/>
      <c r="G171" s="22"/>
      <c r="H171" s="756"/>
      <c r="I171" s="756"/>
      <c r="J171" s="21"/>
      <c r="K171" s="722" t="s">
        <v>624</v>
      </c>
      <c r="L171" s="723"/>
      <c r="M171" s="1775">
        <f>SUM(M172:M177)</f>
        <v>12145</v>
      </c>
      <c r="N171" s="84"/>
      <c r="O171" s="11"/>
      <c r="P171" s="39"/>
      <c r="Q171" s="6"/>
      <c r="R171" s="6"/>
      <c r="S171" s="6"/>
      <c r="T171" s="14"/>
      <c r="U171" s="5"/>
    </row>
    <row r="172" spans="1:24" s="2" customFormat="1" ht="18" customHeight="1">
      <c r="A172" s="64"/>
      <c r="B172" s="22"/>
      <c r="C172" s="22"/>
      <c r="D172" s="22"/>
      <c r="E172" s="22"/>
      <c r="F172" s="62"/>
      <c r="G172" s="22"/>
      <c r="H172" s="756"/>
      <c r="I172" s="756"/>
      <c r="J172" s="21"/>
      <c r="K172" s="716" t="s">
        <v>1524</v>
      </c>
      <c r="L172" s="699" t="s">
        <v>6</v>
      </c>
      <c r="M172" s="1776">
        <v>1575</v>
      </c>
      <c r="N172" s="84"/>
      <c r="O172" s="4"/>
      <c r="P172" s="39">
        <v>45000</v>
      </c>
      <c r="Q172" s="6">
        <v>35</v>
      </c>
      <c r="R172" s="6">
        <v>1</v>
      </c>
      <c r="S172" s="6">
        <v>1</v>
      </c>
      <c r="T172" s="14">
        <f t="shared" ref="T172:T177" si="7">P172*Q172*R172*S172</f>
        <v>1575000</v>
      </c>
      <c r="U172" s="5"/>
    </row>
    <row r="173" spans="1:24" s="2" customFormat="1" ht="18" customHeight="1">
      <c r="A173" s="64"/>
      <c r="B173" s="22"/>
      <c r="C173" s="22"/>
      <c r="D173" s="22"/>
      <c r="E173" s="22"/>
      <c r="F173" s="62"/>
      <c r="G173" s="22"/>
      <c r="H173" s="756"/>
      <c r="I173" s="756"/>
      <c r="J173" s="21"/>
      <c r="K173" s="716" t="s">
        <v>74</v>
      </c>
      <c r="L173" s="699" t="s">
        <v>6</v>
      </c>
      <c r="M173" s="1776">
        <v>700</v>
      </c>
      <c r="N173" s="84"/>
      <c r="O173" s="4"/>
      <c r="P173" s="39">
        <v>140000</v>
      </c>
      <c r="Q173" s="6">
        <v>5</v>
      </c>
      <c r="R173" s="6">
        <v>1</v>
      </c>
      <c r="S173" s="6">
        <v>1</v>
      </c>
      <c r="T173" s="14">
        <f t="shared" si="7"/>
        <v>700000</v>
      </c>
      <c r="U173" s="5"/>
    </row>
    <row r="174" spans="1:24" s="2" customFormat="1" ht="18" customHeight="1">
      <c r="A174" s="64"/>
      <c r="B174" s="22"/>
      <c r="C174" s="22"/>
      <c r="D174" s="22"/>
      <c r="E174" s="22"/>
      <c r="F174" s="62"/>
      <c r="G174" s="22"/>
      <c r="H174" s="756"/>
      <c r="I174" s="756"/>
      <c r="J174" s="21"/>
      <c r="K174" s="716" t="s">
        <v>625</v>
      </c>
      <c r="L174" s="699" t="s">
        <v>6</v>
      </c>
      <c r="M174" s="1776">
        <v>90</v>
      </c>
      <c r="N174" s="84"/>
      <c r="O174" s="4"/>
      <c r="P174" s="39">
        <v>45000</v>
      </c>
      <c r="Q174" s="6">
        <v>2</v>
      </c>
      <c r="R174" s="6">
        <v>1</v>
      </c>
      <c r="S174" s="6">
        <v>1</v>
      </c>
      <c r="T174" s="14">
        <f t="shared" si="7"/>
        <v>90000</v>
      </c>
      <c r="U174" s="5"/>
    </row>
    <row r="175" spans="1:24" s="2" customFormat="1" ht="18" customHeight="1">
      <c r="A175" s="64"/>
      <c r="B175" s="22"/>
      <c r="C175" s="22"/>
      <c r="D175" s="22"/>
      <c r="E175" s="22"/>
      <c r="F175" s="62"/>
      <c r="G175" s="22"/>
      <c r="H175" s="756"/>
      <c r="I175" s="756"/>
      <c r="J175" s="21"/>
      <c r="K175" s="716" t="s">
        <v>75</v>
      </c>
      <c r="L175" s="699" t="s">
        <v>6</v>
      </c>
      <c r="M175" s="1776">
        <v>270</v>
      </c>
      <c r="N175" s="84"/>
      <c r="O175" s="4"/>
      <c r="P175" s="39">
        <v>90000</v>
      </c>
      <c r="Q175" s="6">
        <v>3</v>
      </c>
      <c r="R175" s="6">
        <v>1</v>
      </c>
      <c r="S175" s="6">
        <v>1</v>
      </c>
      <c r="T175" s="14">
        <f t="shared" si="7"/>
        <v>270000</v>
      </c>
      <c r="U175" s="5"/>
    </row>
    <row r="176" spans="1:24" s="2" customFormat="1" ht="18" customHeight="1">
      <c r="A176" s="64"/>
      <c r="B176" s="22"/>
      <c r="C176" s="22"/>
      <c r="D176" s="22"/>
      <c r="E176" s="22"/>
      <c r="F176" s="62"/>
      <c r="G176" s="22"/>
      <c r="H176" s="756"/>
      <c r="I176" s="756"/>
      <c r="J176" s="21"/>
      <c r="K176" s="716" t="s">
        <v>626</v>
      </c>
      <c r="L176" s="699" t="s">
        <v>6</v>
      </c>
      <c r="M176" s="1776">
        <v>1500</v>
      </c>
      <c r="N176" s="84"/>
      <c r="O176" s="4"/>
      <c r="P176" s="39">
        <v>150000</v>
      </c>
      <c r="Q176" s="6">
        <v>10</v>
      </c>
      <c r="R176" s="6">
        <v>1</v>
      </c>
      <c r="S176" s="6">
        <v>1</v>
      </c>
      <c r="T176" s="14">
        <f t="shared" si="7"/>
        <v>1500000</v>
      </c>
      <c r="U176" s="5"/>
    </row>
    <row r="177" spans="1:24" s="2" customFormat="1" ht="18" customHeight="1">
      <c r="A177" s="64"/>
      <c r="B177" s="22"/>
      <c r="C177" s="22"/>
      <c r="D177" s="22"/>
      <c r="E177" s="22"/>
      <c r="F177" s="62"/>
      <c r="G177" s="22"/>
      <c r="H177" s="756"/>
      <c r="I177" s="756"/>
      <c r="J177" s="21"/>
      <c r="K177" s="716" t="s">
        <v>627</v>
      </c>
      <c r="L177" s="699" t="s">
        <v>6</v>
      </c>
      <c r="M177" s="1776">
        <v>8010</v>
      </c>
      <c r="N177" s="84"/>
      <c r="O177" s="4"/>
      <c r="P177" s="39">
        <v>178000</v>
      </c>
      <c r="Q177" s="6">
        <v>45</v>
      </c>
      <c r="R177" s="6">
        <v>1</v>
      </c>
      <c r="S177" s="6">
        <v>1</v>
      </c>
      <c r="T177" s="14">
        <f t="shared" si="7"/>
        <v>8010000</v>
      </c>
      <c r="U177" s="5"/>
    </row>
    <row r="178" spans="1:24" s="2" customFormat="1" ht="18" customHeight="1">
      <c r="A178" s="64"/>
      <c r="B178" s="22"/>
      <c r="C178" s="22"/>
      <c r="D178" s="22"/>
      <c r="E178" s="22"/>
      <c r="F178" s="62"/>
      <c r="G178" s="22"/>
      <c r="H178" s="756"/>
      <c r="I178" s="756"/>
      <c r="J178" s="21"/>
      <c r="K178" s="1818" t="s">
        <v>1163</v>
      </c>
      <c r="M178" s="1771">
        <f>M179+M180+M181</f>
        <v>10555</v>
      </c>
      <c r="N178" s="84"/>
      <c r="O178" s="11"/>
      <c r="P178" s="39"/>
      <c r="Q178" s="6"/>
      <c r="R178" s="6"/>
      <c r="S178" s="6"/>
      <c r="T178" s="14">
        <v>19305000</v>
      </c>
      <c r="U178" s="5"/>
    </row>
    <row r="179" spans="1:24" s="2" customFormat="1" ht="18" customHeight="1">
      <c r="A179" s="64"/>
      <c r="B179" s="22"/>
      <c r="C179" s="22"/>
      <c r="D179" s="22"/>
      <c r="E179" s="22"/>
      <c r="F179" s="62"/>
      <c r="G179" s="22"/>
      <c r="H179" s="756"/>
      <c r="I179" s="756"/>
      <c r="J179" s="21"/>
      <c r="K179" s="716" t="s">
        <v>1504</v>
      </c>
      <c r="L179" s="699" t="s">
        <v>6</v>
      </c>
      <c r="M179" s="1772">
        <v>500</v>
      </c>
      <c r="N179" s="84"/>
      <c r="O179" s="4"/>
      <c r="P179" s="39">
        <v>100000</v>
      </c>
      <c r="Q179" s="6">
        <v>55</v>
      </c>
      <c r="R179" s="6">
        <v>1</v>
      </c>
      <c r="S179" s="6">
        <v>1</v>
      </c>
      <c r="T179" s="14">
        <v>5500000</v>
      </c>
      <c r="U179" s="5"/>
    </row>
    <row r="180" spans="1:24" s="2" customFormat="1" ht="18" customHeight="1">
      <c r="A180" s="64"/>
      <c r="B180" s="22"/>
      <c r="C180" s="22"/>
      <c r="D180" s="22"/>
      <c r="E180" s="22"/>
      <c r="F180" s="62"/>
      <c r="G180" s="22"/>
      <c r="H180" s="756"/>
      <c r="I180" s="756"/>
      <c r="J180" s="21"/>
      <c r="K180" s="716" t="s">
        <v>1505</v>
      </c>
      <c r="L180" s="699" t="s">
        <v>6</v>
      </c>
      <c r="M180" s="1772">
        <v>9555</v>
      </c>
      <c r="N180" s="84"/>
      <c r="O180" s="4"/>
      <c r="P180" s="39">
        <v>35000</v>
      </c>
      <c r="Q180" s="6">
        <v>273</v>
      </c>
      <c r="R180" s="6">
        <v>1</v>
      </c>
      <c r="S180" s="6">
        <v>1</v>
      </c>
      <c r="T180" s="14">
        <v>9555000</v>
      </c>
      <c r="U180" s="5"/>
    </row>
    <row r="181" spans="1:24" s="2" customFormat="1" ht="18" customHeight="1">
      <c r="A181" s="64"/>
      <c r="B181" s="22"/>
      <c r="C181" s="22"/>
      <c r="D181" s="22"/>
      <c r="E181" s="22"/>
      <c r="F181" s="62"/>
      <c r="G181" s="22"/>
      <c r="H181" s="756"/>
      <c r="I181" s="756"/>
      <c r="J181" s="21"/>
      <c r="K181" s="716" t="s">
        <v>1506</v>
      </c>
      <c r="L181" s="699" t="s">
        <v>6</v>
      </c>
      <c r="M181" s="1772">
        <v>500</v>
      </c>
      <c r="N181" s="84"/>
      <c r="O181" s="861"/>
      <c r="P181" s="39">
        <v>25000</v>
      </c>
      <c r="Q181" s="6">
        <v>170</v>
      </c>
      <c r="R181" s="6">
        <v>1</v>
      </c>
      <c r="S181" s="6">
        <v>1</v>
      </c>
      <c r="T181" s="14">
        <v>4250000</v>
      </c>
      <c r="U181" s="5"/>
    </row>
    <row r="182" spans="1:24" s="2" customFormat="1" ht="18" customHeight="1">
      <c r="A182" s="64"/>
      <c r="B182" s="22"/>
      <c r="C182" s="22"/>
      <c r="D182" s="22"/>
      <c r="E182" s="22"/>
      <c r="F182" s="62"/>
      <c r="G182" s="22"/>
      <c r="H182" s="756"/>
      <c r="I182" s="756"/>
      <c r="J182" s="21"/>
      <c r="K182" s="722" t="s">
        <v>1503</v>
      </c>
      <c r="L182" s="699"/>
      <c r="M182" s="1771">
        <f>M183</f>
        <v>210</v>
      </c>
      <c r="N182" s="84"/>
      <c r="O182" s="861"/>
      <c r="P182" s="39"/>
      <c r="Q182" s="6"/>
      <c r="R182" s="6"/>
      <c r="S182" s="6"/>
      <c r="T182" s="14"/>
      <c r="U182" s="5"/>
    </row>
    <row r="183" spans="1:24" s="2" customFormat="1" ht="18" customHeight="1">
      <c r="A183" s="64"/>
      <c r="B183" s="22"/>
      <c r="C183" s="22"/>
      <c r="D183" s="22"/>
      <c r="E183" s="22"/>
      <c r="F183" s="62"/>
      <c r="G183" s="22"/>
      <c r="H183" s="756"/>
      <c r="I183" s="756"/>
      <c r="J183" s="21"/>
      <c r="K183" s="716" t="s">
        <v>1507</v>
      </c>
      <c r="L183" s="699" t="s">
        <v>6</v>
      </c>
      <c r="M183" s="1772">
        <f>30*7</f>
        <v>210</v>
      </c>
      <c r="N183" s="84"/>
      <c r="O183" s="861"/>
      <c r="P183" s="39">
        <v>25000</v>
      </c>
      <c r="Q183" s="6">
        <v>170</v>
      </c>
      <c r="R183" s="6">
        <v>1</v>
      </c>
      <c r="S183" s="6">
        <v>1</v>
      </c>
      <c r="T183" s="14">
        <v>4250000</v>
      </c>
      <c r="U183" s="5"/>
    </row>
    <row r="184" spans="1:24" s="2" customFormat="1" ht="18" customHeight="1">
      <c r="A184" s="64"/>
      <c r="B184" s="22"/>
      <c r="C184" s="22"/>
      <c r="D184" s="22"/>
      <c r="E184" s="22"/>
      <c r="F184" s="24"/>
      <c r="G184" s="25" t="s">
        <v>45</v>
      </c>
      <c r="H184" s="757">
        <f>M184</f>
        <v>59403</v>
      </c>
      <c r="I184" s="757">
        <v>61750</v>
      </c>
      <c r="J184" s="26">
        <f>H184-I184</f>
        <v>-2347</v>
      </c>
      <c r="K184" s="715" t="s">
        <v>25</v>
      </c>
      <c r="L184" s="717"/>
      <c r="M184" s="691">
        <f>SUM(M185:M193)</f>
        <v>59403</v>
      </c>
      <c r="N184" s="84"/>
      <c r="O184" s="4"/>
      <c r="P184" s="39"/>
      <c r="Q184" s="6"/>
      <c r="R184" s="6"/>
      <c r="S184" s="6"/>
      <c r="T184" s="14">
        <f>SUM(T185:T193)</f>
        <v>59403000</v>
      </c>
      <c r="U184" s="5"/>
    </row>
    <row r="185" spans="1:24" s="2" customFormat="1" ht="18" customHeight="1">
      <c r="A185" s="64"/>
      <c r="B185" s="22"/>
      <c r="C185" s="22"/>
      <c r="D185" s="22"/>
      <c r="E185" s="22"/>
      <c r="F185" s="24"/>
      <c r="G185" s="27"/>
      <c r="H185" s="756"/>
      <c r="I185" s="756"/>
      <c r="J185" s="21"/>
      <c r="K185" s="688" t="s">
        <v>878</v>
      </c>
      <c r="L185" s="804" t="s">
        <v>6</v>
      </c>
      <c r="M185" s="802">
        <f t="shared" ref="M185:M193" si="8">T185/1000</f>
        <v>12000</v>
      </c>
      <c r="N185" s="9"/>
      <c r="O185" s="9"/>
      <c r="P185" s="39">
        <v>1000000</v>
      </c>
      <c r="Q185" s="6"/>
      <c r="R185" s="6">
        <v>1</v>
      </c>
      <c r="S185" s="6">
        <v>12</v>
      </c>
      <c r="T185" s="45">
        <f>P185*R185*S185</f>
        <v>12000000</v>
      </c>
      <c r="U185" s="5"/>
      <c r="V185" s="59"/>
      <c r="W185" s="59"/>
      <c r="X185" s="59"/>
    </row>
    <row r="186" spans="1:24" s="2" customFormat="1" ht="18" customHeight="1">
      <c r="A186" s="64"/>
      <c r="B186" s="22"/>
      <c r="C186" s="22"/>
      <c r="D186" s="22"/>
      <c r="E186" s="22"/>
      <c r="F186" s="24"/>
      <c r="G186" s="27"/>
      <c r="H186" s="756"/>
      <c r="I186" s="756"/>
      <c r="J186" s="21"/>
      <c r="K186" s="688" t="s">
        <v>641</v>
      </c>
      <c r="L186" s="804" t="s">
        <v>6</v>
      </c>
      <c r="M186" s="802">
        <f t="shared" si="8"/>
        <v>1800</v>
      </c>
      <c r="N186" s="9"/>
      <c r="O186" s="9"/>
      <c r="P186" s="39">
        <v>15000</v>
      </c>
      <c r="Q186" s="6"/>
      <c r="R186" s="6">
        <v>10</v>
      </c>
      <c r="S186" s="6">
        <v>12</v>
      </c>
      <c r="T186" s="45">
        <f>P186*R186*S186</f>
        <v>1800000</v>
      </c>
      <c r="U186" s="5"/>
      <c r="V186" s="59"/>
      <c r="W186" s="59"/>
      <c r="X186" s="59"/>
    </row>
    <row r="187" spans="1:24" s="2" customFormat="1" ht="18" customHeight="1">
      <c r="A187" s="64"/>
      <c r="B187" s="22"/>
      <c r="C187" s="22"/>
      <c r="D187" s="22"/>
      <c r="E187" s="22"/>
      <c r="F187" s="24"/>
      <c r="G187" s="27"/>
      <c r="H187" s="756"/>
      <c r="I187" s="756"/>
      <c r="J187" s="21"/>
      <c r="K187" s="688" t="s">
        <v>642</v>
      </c>
      <c r="L187" s="804" t="s">
        <v>6</v>
      </c>
      <c r="M187" s="802">
        <f t="shared" si="8"/>
        <v>12540</v>
      </c>
      <c r="N187" s="9"/>
      <c r="O187" s="9"/>
      <c r="P187" s="39">
        <v>1045000</v>
      </c>
      <c r="Q187" s="6"/>
      <c r="R187" s="6">
        <v>1</v>
      </c>
      <c r="S187" s="6">
        <v>12</v>
      </c>
      <c r="T187" s="45">
        <f>P187*R187*S187</f>
        <v>12540000</v>
      </c>
      <c r="U187" s="5"/>
      <c r="V187" s="59"/>
      <c r="W187" s="59"/>
      <c r="X187" s="59"/>
    </row>
    <row r="188" spans="1:24" s="2" customFormat="1" ht="18" customHeight="1">
      <c r="A188" s="64"/>
      <c r="B188" s="22"/>
      <c r="C188" s="22"/>
      <c r="D188" s="22"/>
      <c r="E188" s="22"/>
      <c r="F188" s="24"/>
      <c r="G188" s="27"/>
      <c r="H188" s="756"/>
      <c r="I188" s="756"/>
      <c r="J188" s="21"/>
      <c r="K188" s="688" t="s">
        <v>643</v>
      </c>
      <c r="L188" s="804" t="s">
        <v>6</v>
      </c>
      <c r="M188" s="802">
        <f t="shared" si="8"/>
        <v>1800</v>
      </c>
      <c r="N188" s="4"/>
      <c r="O188" s="4"/>
      <c r="P188" s="39">
        <v>20000</v>
      </c>
      <c r="Q188" s="6"/>
      <c r="R188" s="6">
        <v>90</v>
      </c>
      <c r="S188" s="6"/>
      <c r="T188" s="45">
        <f>P188*R188</f>
        <v>1800000</v>
      </c>
      <c r="U188" s="5"/>
      <c r="V188" s="59"/>
      <c r="W188" s="59"/>
      <c r="X188" s="59"/>
    </row>
    <row r="189" spans="1:24" s="2" customFormat="1" ht="18" customHeight="1">
      <c r="A189" s="64"/>
      <c r="B189" s="22"/>
      <c r="C189" s="22"/>
      <c r="D189" s="22"/>
      <c r="E189" s="22"/>
      <c r="F189" s="24"/>
      <c r="G189" s="27"/>
      <c r="H189" s="756"/>
      <c r="I189" s="756"/>
      <c r="J189" s="21"/>
      <c r="K189" s="688" t="s">
        <v>879</v>
      </c>
      <c r="L189" s="804" t="s">
        <v>6</v>
      </c>
      <c r="M189" s="802">
        <f t="shared" si="8"/>
        <v>28968</v>
      </c>
      <c r="N189" s="4"/>
      <c r="O189" s="4"/>
      <c r="P189" s="39">
        <v>1207000</v>
      </c>
      <c r="Q189" s="6">
        <v>2</v>
      </c>
      <c r="R189" s="6">
        <v>1</v>
      </c>
      <c r="S189" s="6">
        <v>12</v>
      </c>
      <c r="T189" s="45">
        <f>P189*Q189*R189*S189</f>
        <v>28968000</v>
      </c>
      <c r="U189" s="5"/>
      <c r="V189" s="59"/>
      <c r="W189" s="59"/>
      <c r="X189" s="59"/>
    </row>
    <row r="190" spans="1:24" s="2" customFormat="1" ht="18" customHeight="1">
      <c r="A190" s="64"/>
      <c r="B190" s="22"/>
      <c r="C190" s="22"/>
      <c r="D190" s="22"/>
      <c r="E190" s="22"/>
      <c r="F190" s="23"/>
      <c r="G190" s="22"/>
      <c r="H190" s="756"/>
      <c r="I190" s="756"/>
      <c r="J190" s="21"/>
      <c r="K190" s="688" t="s">
        <v>644</v>
      </c>
      <c r="L190" s="804" t="s">
        <v>6</v>
      </c>
      <c r="M190" s="802">
        <f t="shared" si="8"/>
        <v>250</v>
      </c>
      <c r="N190" s="4"/>
      <c r="O190" s="4"/>
      <c r="P190" s="39">
        <v>250000</v>
      </c>
      <c r="Q190" s="6"/>
      <c r="R190" s="6">
        <v>1</v>
      </c>
      <c r="S190" s="6"/>
      <c r="T190" s="45">
        <f>P190*R190</f>
        <v>250000</v>
      </c>
      <c r="U190" s="5"/>
      <c r="V190" s="59"/>
      <c r="W190" s="59"/>
      <c r="X190" s="59"/>
    </row>
    <row r="191" spans="1:24" s="2" customFormat="1" ht="18" customHeight="1">
      <c r="A191" s="64"/>
      <c r="B191" s="22"/>
      <c r="C191" s="22"/>
      <c r="D191" s="22"/>
      <c r="E191" s="22"/>
      <c r="F191" s="24"/>
      <c r="G191" s="27"/>
      <c r="H191" s="756"/>
      <c r="I191" s="756"/>
      <c r="J191" s="21"/>
      <c r="K191" s="688" t="s">
        <v>645</v>
      </c>
      <c r="L191" s="804" t="s">
        <v>6</v>
      </c>
      <c r="M191" s="802">
        <f t="shared" si="8"/>
        <v>600</v>
      </c>
      <c r="N191" s="4"/>
      <c r="O191" s="4"/>
      <c r="P191" s="39">
        <v>50000</v>
      </c>
      <c r="Q191" s="6"/>
      <c r="R191" s="6"/>
      <c r="S191" s="6">
        <v>12</v>
      </c>
      <c r="T191" s="45">
        <f>P191*S191</f>
        <v>600000</v>
      </c>
      <c r="U191" s="5"/>
      <c r="V191" s="59"/>
      <c r="W191" s="59"/>
      <c r="X191" s="59"/>
    </row>
    <row r="192" spans="1:24" s="2" customFormat="1" ht="18" customHeight="1">
      <c r="A192" s="64"/>
      <c r="B192" s="22"/>
      <c r="C192" s="22"/>
      <c r="D192" s="22"/>
      <c r="E192" s="22"/>
      <c r="F192" s="23"/>
      <c r="G192" s="22"/>
      <c r="H192" s="756"/>
      <c r="I192" s="756"/>
      <c r="J192" s="21"/>
      <c r="K192" s="688" t="s">
        <v>2329</v>
      </c>
      <c r="L192" s="804" t="s">
        <v>6</v>
      </c>
      <c r="M192" s="802">
        <f t="shared" si="8"/>
        <v>1265</v>
      </c>
      <c r="N192" s="4"/>
      <c r="O192" s="4"/>
      <c r="P192" s="39">
        <v>55000</v>
      </c>
      <c r="Q192" s="6">
        <v>23</v>
      </c>
      <c r="R192" s="6"/>
      <c r="S192" s="6"/>
      <c r="T192" s="45">
        <f>P192*Q192</f>
        <v>1265000</v>
      </c>
      <c r="U192" s="5"/>
      <c r="V192" s="59"/>
      <c r="W192" s="59"/>
      <c r="X192" s="59"/>
    </row>
    <row r="193" spans="1:16147" s="2" customFormat="1" ht="18" customHeight="1">
      <c r="A193" s="64"/>
      <c r="B193" s="22"/>
      <c r="C193" s="22"/>
      <c r="D193" s="22"/>
      <c r="E193" s="22"/>
      <c r="F193" s="22"/>
      <c r="G193" s="22"/>
      <c r="H193" s="756"/>
      <c r="I193" s="756"/>
      <c r="J193" s="21"/>
      <c r="K193" s="806" t="s">
        <v>1165</v>
      </c>
      <c r="L193" s="804" t="s">
        <v>6</v>
      </c>
      <c r="M193" s="802">
        <f t="shared" si="8"/>
        <v>180</v>
      </c>
      <c r="N193" s="4"/>
      <c r="O193" s="4"/>
      <c r="P193" s="39">
        <v>7500</v>
      </c>
      <c r="Q193" s="6"/>
      <c r="R193" s="6">
        <v>2</v>
      </c>
      <c r="S193" s="6">
        <v>12</v>
      </c>
      <c r="T193" s="45">
        <f>P193*R193*S193</f>
        <v>180000</v>
      </c>
      <c r="U193" s="5"/>
      <c r="V193" s="59"/>
      <c r="W193" s="59"/>
      <c r="X193" s="59"/>
    </row>
    <row r="194" spans="1:16147" s="2" customFormat="1" ht="18" customHeight="1">
      <c r="A194" s="64"/>
      <c r="B194" s="22"/>
      <c r="C194" s="22"/>
      <c r="D194" s="22"/>
      <c r="E194" s="22"/>
      <c r="F194" s="24"/>
      <c r="G194" s="53" t="s">
        <v>27</v>
      </c>
      <c r="H194" s="757">
        <f>M194</f>
        <v>4880</v>
      </c>
      <c r="I194" s="757">
        <v>5280</v>
      </c>
      <c r="J194" s="26">
        <f>H194-I194</f>
        <v>-400</v>
      </c>
      <c r="K194" s="715" t="s">
        <v>90</v>
      </c>
      <c r="L194" s="717"/>
      <c r="M194" s="691">
        <f>SUM(M195:M196)</f>
        <v>4880</v>
      </c>
      <c r="N194" s="84"/>
      <c r="O194" s="4"/>
      <c r="P194" s="39"/>
      <c r="Q194" s="6"/>
      <c r="R194" s="6"/>
      <c r="S194" s="6"/>
      <c r="T194" s="14">
        <f>SUM(T195:T196)</f>
        <v>4880000</v>
      </c>
      <c r="U194" s="5"/>
    </row>
    <row r="195" spans="1:16147" s="2" customFormat="1" ht="18" customHeight="1">
      <c r="A195" s="64"/>
      <c r="B195" s="22"/>
      <c r="C195" s="22"/>
      <c r="D195" s="22"/>
      <c r="E195" s="22"/>
      <c r="F195" s="24"/>
      <c r="G195" s="27"/>
      <c r="H195" s="756"/>
      <c r="I195" s="756"/>
      <c r="J195" s="21"/>
      <c r="K195" s="688" t="s">
        <v>2330</v>
      </c>
      <c r="L195" s="699" t="s">
        <v>6</v>
      </c>
      <c r="M195" s="685">
        <f>T195/1000</f>
        <v>2000</v>
      </c>
      <c r="N195" s="84"/>
      <c r="O195" s="4"/>
      <c r="P195" s="39">
        <v>100000</v>
      </c>
      <c r="Q195" s="6">
        <v>2</v>
      </c>
      <c r="R195" s="6"/>
      <c r="S195" s="6">
        <v>10</v>
      </c>
      <c r="T195" s="14">
        <f>P195*Q195*S195</f>
        <v>2000000</v>
      </c>
      <c r="U195" s="5"/>
    </row>
    <row r="196" spans="1:16147" s="2" customFormat="1" ht="18" customHeight="1">
      <c r="A196" s="64"/>
      <c r="B196" s="22"/>
      <c r="C196" s="22"/>
      <c r="D196" s="22"/>
      <c r="E196" s="22"/>
      <c r="F196" s="22"/>
      <c r="G196" s="22"/>
      <c r="H196" s="756"/>
      <c r="I196" s="756"/>
      <c r="J196" s="21"/>
      <c r="K196" s="688" t="s">
        <v>651</v>
      </c>
      <c r="L196" s="699" t="s">
        <v>6</v>
      </c>
      <c r="M196" s="685">
        <f>T196/1000</f>
        <v>2880</v>
      </c>
      <c r="N196" s="84"/>
      <c r="O196" s="4"/>
      <c r="P196" s="39">
        <v>120000</v>
      </c>
      <c r="Q196" s="6">
        <v>2</v>
      </c>
      <c r="R196" s="6"/>
      <c r="S196" s="6">
        <v>12</v>
      </c>
      <c r="T196" s="14">
        <f>P196*Q196*S196</f>
        <v>2880000</v>
      </c>
      <c r="U196" s="5"/>
    </row>
    <row r="197" spans="1:16147" s="2" customFormat="1" ht="18" customHeight="1">
      <c r="A197" s="64"/>
      <c r="B197" s="22"/>
      <c r="C197" s="22"/>
      <c r="D197" s="22"/>
      <c r="E197" s="22"/>
      <c r="F197" s="2929" t="s">
        <v>88</v>
      </c>
      <c r="G197" s="2929"/>
      <c r="H197" s="755">
        <f>H198+H201</f>
        <v>39600</v>
      </c>
      <c r="I197" s="755">
        <v>43200</v>
      </c>
      <c r="J197" s="50">
        <f>H197-I197</f>
        <v>-3600</v>
      </c>
      <c r="K197" s="724"/>
      <c r="L197" s="725"/>
      <c r="M197" s="694">
        <f>M198+M201</f>
        <v>39600</v>
      </c>
      <c r="N197" s="84"/>
      <c r="O197" s="4"/>
      <c r="P197" s="39"/>
      <c r="Q197" s="6"/>
      <c r="R197" s="6"/>
      <c r="S197" s="6"/>
      <c r="T197" s="14"/>
      <c r="U197" s="5"/>
    </row>
    <row r="198" spans="1:16147" s="2" customFormat="1" ht="18" customHeight="1">
      <c r="A198" s="64"/>
      <c r="B198" s="22"/>
      <c r="C198" s="22"/>
      <c r="D198" s="22"/>
      <c r="E198" s="22"/>
      <c r="F198" s="23"/>
      <c r="G198" s="22" t="s">
        <v>77</v>
      </c>
      <c r="H198" s="756">
        <f>M198</f>
        <v>24600</v>
      </c>
      <c r="I198" s="756">
        <v>28200</v>
      </c>
      <c r="J198" s="21">
        <f>H198-I198</f>
        <v>-3600</v>
      </c>
      <c r="K198" s="726" t="s">
        <v>489</v>
      </c>
      <c r="L198" s="727"/>
      <c r="M198" s="475">
        <f>SUM(M199:M200)</f>
        <v>24600</v>
      </c>
      <c r="N198" s="84"/>
      <c r="O198" s="4"/>
      <c r="P198" s="39"/>
      <c r="Q198" s="6"/>
      <c r="R198" s="6"/>
      <c r="S198" s="6"/>
      <c r="T198" s="14">
        <f>SUM(T199:T200)</f>
        <v>24600000</v>
      </c>
      <c r="U198" s="5"/>
    </row>
    <row r="199" spans="1:16147" s="2" customFormat="1" ht="18" customHeight="1">
      <c r="A199" s="64"/>
      <c r="B199" s="22"/>
      <c r="C199" s="22"/>
      <c r="D199" s="22"/>
      <c r="E199" s="22"/>
      <c r="F199" s="22"/>
      <c r="G199" s="22"/>
      <c r="H199" s="756"/>
      <c r="I199" s="756"/>
      <c r="J199" s="21"/>
      <c r="K199" s="688" t="s">
        <v>2331</v>
      </c>
      <c r="L199" s="699" t="s">
        <v>6</v>
      </c>
      <c r="M199" s="685">
        <f>T199/1000</f>
        <v>18000</v>
      </c>
      <c r="N199" s="84"/>
      <c r="O199" s="4"/>
      <c r="P199" s="39">
        <v>20000</v>
      </c>
      <c r="Q199" s="6">
        <v>10</v>
      </c>
      <c r="R199" s="6">
        <v>9</v>
      </c>
      <c r="S199" s="6">
        <v>10</v>
      </c>
      <c r="T199" s="14">
        <f>P199*Q199*R199*S199</f>
        <v>18000000</v>
      </c>
      <c r="U199" s="5"/>
    </row>
    <row r="200" spans="1:16147" s="2" customFormat="1" ht="18" customHeight="1">
      <c r="A200" s="64"/>
      <c r="B200" s="22"/>
      <c r="C200" s="22"/>
      <c r="D200" s="22"/>
      <c r="E200" s="22"/>
      <c r="F200" s="22"/>
      <c r="G200" s="22"/>
      <c r="H200" s="756"/>
      <c r="I200" s="756"/>
      <c r="J200" s="21"/>
      <c r="K200" s="688" t="s">
        <v>880</v>
      </c>
      <c r="L200" s="699" t="s">
        <v>6</v>
      </c>
      <c r="M200" s="685">
        <f>T200/1000</f>
        <v>6600</v>
      </c>
      <c r="N200" s="84"/>
      <c r="O200" s="4"/>
      <c r="P200" s="39">
        <v>110000</v>
      </c>
      <c r="Q200" s="6">
        <v>10</v>
      </c>
      <c r="R200" s="6">
        <v>2</v>
      </c>
      <c r="S200" s="6">
        <v>3</v>
      </c>
      <c r="T200" s="14">
        <f>P200*Q200*R200*S200</f>
        <v>6600000</v>
      </c>
      <c r="U200" s="5"/>
    </row>
    <row r="201" spans="1:16147" s="2" customFormat="1" ht="18" customHeight="1">
      <c r="A201" s="64"/>
      <c r="B201" s="22"/>
      <c r="C201" s="22"/>
      <c r="D201" s="22"/>
      <c r="E201" s="22"/>
      <c r="F201" s="22"/>
      <c r="G201" s="52" t="s">
        <v>41</v>
      </c>
      <c r="H201" s="755">
        <f>M201</f>
        <v>15000</v>
      </c>
      <c r="I201" s="755">
        <v>15000</v>
      </c>
      <c r="J201" s="50">
        <f>H201-I201</f>
        <v>0</v>
      </c>
      <c r="K201" s="728"/>
      <c r="L201" s="693"/>
      <c r="M201" s="697">
        <f>M202</f>
        <v>15000</v>
      </c>
      <c r="N201" s="84"/>
      <c r="O201" s="4"/>
      <c r="P201" s="39"/>
      <c r="Q201" s="6"/>
      <c r="R201" s="6"/>
      <c r="S201" s="6"/>
      <c r="T201" s="14"/>
      <c r="U201" s="5"/>
    </row>
    <row r="202" spans="1:16147" s="2" customFormat="1" ht="18" customHeight="1">
      <c r="A202" s="878"/>
      <c r="B202" s="879"/>
      <c r="C202" s="879"/>
      <c r="D202" s="879"/>
      <c r="E202" s="879"/>
      <c r="F202" s="879"/>
      <c r="G202" s="887"/>
      <c r="H202" s="754"/>
      <c r="I202" s="754"/>
      <c r="J202" s="57"/>
      <c r="K202" s="904" t="s">
        <v>881</v>
      </c>
      <c r="L202" s="888" t="s">
        <v>6</v>
      </c>
      <c r="M202" s="889">
        <v>15000</v>
      </c>
      <c r="N202" s="4"/>
      <c r="O202" s="4"/>
      <c r="P202" s="39">
        <v>3000000</v>
      </c>
      <c r="Q202" s="882">
        <v>9</v>
      </c>
      <c r="R202" s="882">
        <v>1</v>
      </c>
      <c r="S202" s="882">
        <v>1</v>
      </c>
      <c r="T202" s="45">
        <f>P202*Q202*R202</f>
        <v>27000000</v>
      </c>
      <c r="U202" s="883"/>
      <c r="V202" s="884"/>
      <c r="W202" s="884"/>
      <c r="X202" s="884"/>
      <c r="Y202" s="885"/>
      <c r="Z202" s="885"/>
      <c r="AA202" s="885"/>
      <c r="AB202" s="885"/>
      <c r="AC202" s="885"/>
      <c r="AD202" s="885"/>
      <c r="AE202" s="885"/>
      <c r="AF202" s="885"/>
      <c r="AG202" s="885"/>
      <c r="AH202" s="885"/>
      <c r="AI202" s="885"/>
      <c r="AJ202" s="885"/>
      <c r="AK202" s="885"/>
      <c r="AL202" s="885"/>
      <c r="AM202" s="885"/>
      <c r="AN202" s="885"/>
      <c r="AO202" s="885"/>
      <c r="AP202" s="885"/>
      <c r="AQ202" s="885"/>
      <c r="AR202" s="885"/>
      <c r="AS202" s="885"/>
      <c r="AT202" s="885"/>
      <c r="AU202" s="885"/>
      <c r="AV202" s="885"/>
      <c r="AW202" s="885"/>
      <c r="AX202" s="885"/>
      <c r="AY202" s="885"/>
      <c r="AZ202" s="885"/>
      <c r="BA202" s="885"/>
      <c r="BB202" s="885"/>
      <c r="BC202" s="885"/>
      <c r="BD202" s="885"/>
      <c r="BE202" s="885"/>
      <c r="BF202" s="885"/>
      <c r="BG202" s="885"/>
      <c r="BH202" s="885"/>
      <c r="BI202" s="885"/>
      <c r="BJ202" s="885"/>
      <c r="BK202" s="885"/>
      <c r="BL202" s="885"/>
      <c r="BM202" s="885"/>
      <c r="BN202" s="885"/>
      <c r="BO202" s="885"/>
      <c r="BP202" s="885"/>
      <c r="BQ202" s="885"/>
      <c r="BR202" s="885"/>
      <c r="BS202" s="885"/>
      <c r="BT202" s="885"/>
      <c r="BU202" s="885"/>
      <c r="BV202" s="885"/>
      <c r="BW202" s="885"/>
      <c r="BX202" s="885"/>
      <c r="BY202" s="885"/>
      <c r="BZ202" s="885"/>
      <c r="CA202" s="885"/>
      <c r="CB202" s="885"/>
      <c r="CC202" s="885"/>
      <c r="CD202" s="885"/>
      <c r="CE202" s="885"/>
      <c r="CF202" s="885"/>
      <c r="CG202" s="885"/>
      <c r="CH202" s="885"/>
      <c r="CI202" s="885"/>
      <c r="CJ202" s="885"/>
      <c r="CK202" s="885"/>
      <c r="CL202" s="885"/>
      <c r="CM202" s="885"/>
      <c r="CN202" s="885"/>
      <c r="CO202" s="885"/>
      <c r="CP202" s="885"/>
      <c r="CQ202" s="885"/>
      <c r="CR202" s="885"/>
      <c r="CS202" s="885"/>
      <c r="CT202" s="885"/>
      <c r="CU202" s="885"/>
      <c r="CV202" s="885"/>
      <c r="CW202" s="885"/>
      <c r="CX202" s="885"/>
      <c r="CY202" s="885"/>
      <c r="CZ202" s="885"/>
      <c r="DA202" s="885"/>
      <c r="DB202" s="885"/>
      <c r="DC202" s="885"/>
      <c r="DD202" s="885"/>
      <c r="DE202" s="885"/>
      <c r="DF202" s="885"/>
      <c r="DG202" s="885"/>
      <c r="DH202" s="885"/>
      <c r="DI202" s="885"/>
      <c r="DJ202" s="885"/>
      <c r="DK202" s="885"/>
      <c r="DL202" s="885"/>
      <c r="DM202" s="885"/>
      <c r="DN202" s="885"/>
      <c r="DO202" s="885"/>
      <c r="DP202" s="885"/>
      <c r="DQ202" s="885"/>
      <c r="DR202" s="885"/>
      <c r="DS202" s="885"/>
      <c r="DT202" s="885"/>
      <c r="DU202" s="885"/>
      <c r="DV202" s="885"/>
      <c r="DW202" s="885"/>
      <c r="DX202" s="885"/>
      <c r="DY202" s="885"/>
      <c r="DZ202" s="885"/>
      <c r="EA202" s="885"/>
      <c r="EB202" s="885"/>
      <c r="EC202" s="885"/>
      <c r="ED202" s="885"/>
      <c r="EE202" s="885"/>
      <c r="EF202" s="885"/>
      <c r="EG202" s="885"/>
      <c r="EH202" s="885"/>
      <c r="EI202" s="885"/>
      <c r="EJ202" s="885"/>
      <c r="EK202" s="885"/>
      <c r="EL202" s="885"/>
      <c r="EM202" s="885"/>
      <c r="EN202" s="885"/>
      <c r="EO202" s="885"/>
      <c r="EP202" s="885"/>
      <c r="EQ202" s="885"/>
      <c r="ER202" s="885"/>
      <c r="ES202" s="885"/>
      <c r="ET202" s="885"/>
      <c r="EU202" s="885"/>
      <c r="EV202" s="885"/>
      <c r="EW202" s="885"/>
      <c r="EX202" s="885"/>
      <c r="EY202" s="885"/>
      <c r="EZ202" s="885"/>
      <c r="FA202" s="885"/>
      <c r="FB202" s="885"/>
      <c r="FC202" s="885"/>
      <c r="FD202" s="885"/>
      <c r="FE202" s="885"/>
      <c r="FF202" s="885"/>
      <c r="FG202" s="885"/>
      <c r="FH202" s="885"/>
      <c r="FI202" s="885"/>
      <c r="FJ202" s="885"/>
      <c r="FK202" s="885"/>
      <c r="FL202" s="885"/>
      <c r="FM202" s="885"/>
      <c r="FN202" s="885"/>
      <c r="FO202" s="885"/>
      <c r="FP202" s="885"/>
      <c r="FQ202" s="885"/>
      <c r="FR202" s="885"/>
      <c r="FS202" s="885"/>
      <c r="FT202" s="885"/>
      <c r="FU202" s="885"/>
      <c r="FV202" s="885"/>
      <c r="FW202" s="885"/>
      <c r="FX202" s="885"/>
      <c r="FY202" s="885"/>
      <c r="FZ202" s="885"/>
      <c r="GA202" s="885"/>
      <c r="GB202" s="885"/>
      <c r="GC202" s="885"/>
      <c r="GD202" s="885"/>
      <c r="GE202" s="885"/>
      <c r="GF202" s="885"/>
      <c r="GG202" s="885"/>
      <c r="GH202" s="885"/>
      <c r="GI202" s="885"/>
      <c r="GJ202" s="885"/>
      <c r="GK202" s="885"/>
      <c r="GL202" s="885"/>
      <c r="GM202" s="885"/>
      <c r="GN202" s="885"/>
      <c r="GO202" s="885"/>
      <c r="GP202" s="885"/>
      <c r="GQ202" s="885"/>
      <c r="GR202" s="885"/>
      <c r="GS202" s="885"/>
      <c r="GT202" s="885"/>
      <c r="GU202" s="885"/>
      <c r="GV202" s="885"/>
      <c r="GW202" s="885"/>
      <c r="GX202" s="885"/>
      <c r="GY202" s="885"/>
      <c r="GZ202" s="885"/>
      <c r="HA202" s="885"/>
      <c r="HB202" s="885"/>
      <c r="HC202" s="885"/>
      <c r="HD202" s="885"/>
      <c r="HE202" s="885"/>
      <c r="HF202" s="885"/>
      <c r="HG202" s="885"/>
      <c r="HH202" s="885"/>
      <c r="HI202" s="885"/>
      <c r="HJ202" s="885"/>
      <c r="HK202" s="885"/>
      <c r="HL202" s="885"/>
      <c r="HM202" s="885"/>
      <c r="HN202" s="885"/>
      <c r="HO202" s="885"/>
      <c r="HP202" s="885"/>
      <c r="HQ202" s="885"/>
      <c r="HR202" s="885"/>
      <c r="HS202" s="885"/>
      <c r="HT202" s="885"/>
      <c r="HU202" s="885"/>
      <c r="HV202" s="885"/>
      <c r="HW202" s="885"/>
      <c r="HX202" s="885"/>
      <c r="HY202" s="885"/>
      <c r="HZ202" s="885"/>
      <c r="IA202" s="885"/>
      <c r="IB202" s="885"/>
      <c r="IC202" s="885"/>
      <c r="ID202" s="885"/>
      <c r="IE202" s="885"/>
      <c r="IF202" s="885"/>
      <c r="IG202" s="885"/>
      <c r="IH202" s="885"/>
      <c r="II202" s="885"/>
      <c r="IJ202" s="885"/>
      <c r="IK202" s="885"/>
      <c r="IL202" s="885"/>
      <c r="IM202" s="885"/>
      <c r="IN202" s="885"/>
      <c r="IO202" s="885"/>
      <c r="IP202" s="885"/>
      <c r="IQ202" s="885"/>
      <c r="IR202" s="885"/>
      <c r="IS202" s="885"/>
      <c r="IT202" s="885"/>
      <c r="IU202" s="885"/>
      <c r="IV202" s="885"/>
      <c r="IW202" s="885"/>
      <c r="IX202" s="885"/>
      <c r="IY202" s="885"/>
      <c r="IZ202" s="885"/>
      <c r="JA202" s="885"/>
      <c r="JB202" s="885"/>
      <c r="JC202" s="885"/>
      <c r="JD202" s="885"/>
      <c r="JE202" s="885"/>
      <c r="JF202" s="885"/>
      <c r="JG202" s="885"/>
      <c r="JH202" s="885"/>
      <c r="JI202" s="885"/>
      <c r="JJ202" s="885"/>
      <c r="JK202" s="885"/>
      <c r="JL202" s="885"/>
      <c r="JM202" s="885"/>
      <c r="JN202" s="885"/>
      <c r="JO202" s="885"/>
      <c r="JP202" s="885"/>
      <c r="JQ202" s="885"/>
      <c r="JR202" s="885"/>
      <c r="JS202" s="885"/>
      <c r="JT202" s="885"/>
      <c r="JU202" s="885"/>
      <c r="JV202" s="885"/>
      <c r="JW202" s="885"/>
      <c r="JX202" s="885"/>
      <c r="JY202" s="885"/>
      <c r="JZ202" s="885"/>
      <c r="KA202" s="885"/>
      <c r="KB202" s="885"/>
      <c r="KC202" s="885"/>
      <c r="KD202" s="885"/>
      <c r="KE202" s="885"/>
      <c r="KF202" s="885"/>
      <c r="KG202" s="885"/>
      <c r="KH202" s="885"/>
      <c r="KI202" s="885"/>
      <c r="KJ202" s="885"/>
      <c r="KK202" s="885"/>
      <c r="KL202" s="885"/>
      <c r="KM202" s="885"/>
      <c r="KN202" s="885"/>
      <c r="KO202" s="885"/>
      <c r="KP202" s="885"/>
      <c r="KQ202" s="885"/>
      <c r="KR202" s="885"/>
      <c r="KS202" s="885"/>
      <c r="KT202" s="885"/>
      <c r="KU202" s="885"/>
      <c r="KV202" s="885"/>
      <c r="KW202" s="885"/>
      <c r="KX202" s="885"/>
      <c r="KY202" s="885"/>
      <c r="KZ202" s="885"/>
      <c r="LA202" s="885"/>
      <c r="LB202" s="885"/>
      <c r="LC202" s="885"/>
      <c r="LD202" s="885"/>
      <c r="LE202" s="885"/>
      <c r="LF202" s="885"/>
      <c r="LG202" s="885"/>
      <c r="LH202" s="885"/>
      <c r="LI202" s="885"/>
      <c r="LJ202" s="885"/>
      <c r="LK202" s="885"/>
      <c r="LL202" s="885"/>
      <c r="LM202" s="885"/>
      <c r="LN202" s="885"/>
      <c r="LO202" s="885"/>
      <c r="LP202" s="885"/>
      <c r="LQ202" s="885"/>
      <c r="LR202" s="885"/>
      <c r="LS202" s="885"/>
      <c r="LT202" s="885"/>
      <c r="LU202" s="885"/>
      <c r="LV202" s="885"/>
      <c r="LW202" s="885"/>
      <c r="LX202" s="885"/>
      <c r="LY202" s="885"/>
      <c r="LZ202" s="885"/>
      <c r="MA202" s="885"/>
      <c r="MB202" s="885"/>
      <c r="MC202" s="885"/>
      <c r="MD202" s="885"/>
      <c r="ME202" s="885"/>
      <c r="MF202" s="885"/>
      <c r="MG202" s="885"/>
      <c r="MH202" s="885"/>
      <c r="MI202" s="885"/>
      <c r="MJ202" s="885"/>
      <c r="MK202" s="885"/>
      <c r="ML202" s="885"/>
      <c r="MM202" s="885"/>
      <c r="MN202" s="885"/>
      <c r="MO202" s="885"/>
      <c r="MP202" s="885"/>
      <c r="MQ202" s="885"/>
      <c r="MR202" s="885"/>
      <c r="MS202" s="885"/>
      <c r="MT202" s="885"/>
      <c r="MU202" s="885"/>
      <c r="MV202" s="885"/>
      <c r="MW202" s="885"/>
      <c r="MX202" s="885"/>
      <c r="MY202" s="885"/>
      <c r="MZ202" s="885"/>
      <c r="NA202" s="885"/>
      <c r="NB202" s="885"/>
      <c r="NC202" s="885"/>
      <c r="ND202" s="885"/>
      <c r="NE202" s="885"/>
      <c r="NF202" s="885"/>
      <c r="NG202" s="885"/>
      <c r="NH202" s="885"/>
      <c r="NI202" s="885"/>
      <c r="NJ202" s="885"/>
      <c r="NK202" s="885"/>
      <c r="NL202" s="885"/>
      <c r="NM202" s="885"/>
      <c r="NN202" s="885"/>
      <c r="NO202" s="885"/>
      <c r="NP202" s="885"/>
      <c r="NQ202" s="885"/>
      <c r="NR202" s="885"/>
      <c r="NS202" s="885"/>
      <c r="NT202" s="885"/>
      <c r="NU202" s="885"/>
      <c r="NV202" s="885"/>
      <c r="NW202" s="885"/>
      <c r="NX202" s="885"/>
      <c r="NY202" s="885"/>
      <c r="NZ202" s="885"/>
      <c r="OA202" s="885"/>
      <c r="OB202" s="885"/>
      <c r="OC202" s="885"/>
      <c r="OD202" s="885"/>
      <c r="OE202" s="885"/>
      <c r="OF202" s="885"/>
      <c r="OG202" s="885"/>
      <c r="OH202" s="885"/>
      <c r="OI202" s="885"/>
      <c r="OJ202" s="885"/>
      <c r="OK202" s="885"/>
      <c r="OL202" s="885"/>
      <c r="OM202" s="885"/>
      <c r="ON202" s="885"/>
      <c r="OO202" s="885"/>
      <c r="OP202" s="885"/>
      <c r="OQ202" s="885"/>
      <c r="OR202" s="885"/>
      <c r="OS202" s="885"/>
      <c r="OT202" s="885"/>
      <c r="OU202" s="885"/>
      <c r="OV202" s="885"/>
      <c r="OW202" s="885"/>
      <c r="OX202" s="885"/>
      <c r="OY202" s="885"/>
      <c r="OZ202" s="885"/>
      <c r="PA202" s="885"/>
      <c r="PB202" s="885"/>
      <c r="PC202" s="885"/>
      <c r="PD202" s="885"/>
      <c r="PE202" s="885"/>
      <c r="PF202" s="885"/>
      <c r="PG202" s="885"/>
      <c r="PH202" s="885"/>
      <c r="PI202" s="885"/>
      <c r="PJ202" s="885"/>
      <c r="PK202" s="885"/>
      <c r="PL202" s="885"/>
      <c r="PM202" s="885"/>
      <c r="PN202" s="885"/>
      <c r="PO202" s="885"/>
      <c r="PP202" s="885"/>
      <c r="PQ202" s="885"/>
      <c r="PR202" s="885"/>
      <c r="PS202" s="885"/>
      <c r="PT202" s="885"/>
      <c r="PU202" s="885"/>
      <c r="PV202" s="885"/>
      <c r="PW202" s="885"/>
      <c r="PX202" s="885"/>
      <c r="PY202" s="885"/>
      <c r="PZ202" s="885"/>
      <c r="QA202" s="885"/>
      <c r="QB202" s="885"/>
      <c r="QC202" s="885"/>
      <c r="QD202" s="885"/>
      <c r="QE202" s="885"/>
      <c r="QF202" s="885"/>
      <c r="QG202" s="885"/>
      <c r="QH202" s="885"/>
      <c r="QI202" s="885"/>
      <c r="QJ202" s="885"/>
      <c r="QK202" s="885"/>
      <c r="QL202" s="885"/>
      <c r="QM202" s="885"/>
      <c r="QN202" s="885"/>
      <c r="QO202" s="885"/>
      <c r="QP202" s="885"/>
      <c r="QQ202" s="885"/>
      <c r="QR202" s="885"/>
      <c r="QS202" s="885"/>
      <c r="QT202" s="885"/>
      <c r="QU202" s="885"/>
      <c r="QV202" s="885"/>
      <c r="QW202" s="885"/>
      <c r="QX202" s="885"/>
      <c r="QY202" s="885"/>
      <c r="QZ202" s="885"/>
      <c r="RA202" s="885"/>
      <c r="RB202" s="885"/>
      <c r="RC202" s="885"/>
      <c r="RD202" s="885"/>
      <c r="RE202" s="885"/>
      <c r="RF202" s="885"/>
      <c r="RG202" s="885"/>
      <c r="RH202" s="885"/>
      <c r="RI202" s="885"/>
      <c r="RJ202" s="885"/>
      <c r="RK202" s="885"/>
      <c r="RL202" s="885"/>
      <c r="RM202" s="885"/>
      <c r="RN202" s="885"/>
      <c r="RO202" s="885"/>
      <c r="RP202" s="885"/>
      <c r="RQ202" s="885"/>
      <c r="RR202" s="885"/>
      <c r="RS202" s="885"/>
      <c r="RT202" s="885"/>
      <c r="RU202" s="885"/>
      <c r="RV202" s="885"/>
      <c r="RW202" s="885"/>
      <c r="RX202" s="885"/>
      <c r="RY202" s="885"/>
      <c r="RZ202" s="885"/>
      <c r="SA202" s="885"/>
      <c r="SB202" s="885"/>
      <c r="SC202" s="885"/>
      <c r="SD202" s="885"/>
      <c r="SE202" s="885"/>
      <c r="SF202" s="885"/>
      <c r="SG202" s="885"/>
      <c r="SH202" s="885"/>
      <c r="SI202" s="885"/>
      <c r="SJ202" s="885"/>
      <c r="SK202" s="885"/>
      <c r="SL202" s="885"/>
      <c r="SM202" s="885"/>
      <c r="SN202" s="885"/>
      <c r="SO202" s="885"/>
      <c r="SP202" s="885"/>
      <c r="SQ202" s="885"/>
      <c r="SR202" s="885"/>
      <c r="SS202" s="885"/>
      <c r="ST202" s="885"/>
      <c r="SU202" s="885"/>
      <c r="SV202" s="885"/>
      <c r="SW202" s="885"/>
      <c r="SX202" s="885"/>
      <c r="SY202" s="885"/>
      <c r="SZ202" s="885"/>
      <c r="TA202" s="885"/>
      <c r="TB202" s="885"/>
      <c r="TC202" s="885"/>
      <c r="TD202" s="885"/>
      <c r="TE202" s="885"/>
      <c r="TF202" s="885"/>
      <c r="TG202" s="885"/>
      <c r="TH202" s="885"/>
      <c r="TI202" s="885"/>
      <c r="TJ202" s="885"/>
      <c r="TK202" s="885"/>
      <c r="TL202" s="885"/>
      <c r="TM202" s="885"/>
      <c r="TN202" s="885"/>
      <c r="TO202" s="885"/>
      <c r="TP202" s="885"/>
      <c r="TQ202" s="885"/>
      <c r="TR202" s="885"/>
      <c r="TS202" s="885"/>
      <c r="TT202" s="885"/>
      <c r="TU202" s="885"/>
      <c r="TV202" s="885"/>
      <c r="TW202" s="885"/>
      <c r="TX202" s="885"/>
      <c r="TY202" s="885"/>
      <c r="TZ202" s="885"/>
      <c r="UA202" s="885"/>
      <c r="UB202" s="885"/>
      <c r="UC202" s="885"/>
      <c r="UD202" s="885"/>
      <c r="UE202" s="885"/>
      <c r="UF202" s="885"/>
      <c r="UG202" s="885"/>
      <c r="UH202" s="885"/>
      <c r="UI202" s="885"/>
      <c r="UJ202" s="885"/>
      <c r="UK202" s="885"/>
      <c r="UL202" s="885"/>
      <c r="UM202" s="885"/>
      <c r="UN202" s="885"/>
      <c r="UO202" s="885"/>
      <c r="UP202" s="885"/>
      <c r="UQ202" s="885"/>
      <c r="UR202" s="885"/>
      <c r="US202" s="885"/>
      <c r="UT202" s="885"/>
      <c r="UU202" s="885"/>
      <c r="UV202" s="885"/>
      <c r="UW202" s="885"/>
      <c r="UX202" s="885"/>
      <c r="UY202" s="885"/>
      <c r="UZ202" s="885"/>
      <c r="VA202" s="885"/>
      <c r="VB202" s="885"/>
      <c r="VC202" s="885"/>
      <c r="VD202" s="885"/>
      <c r="VE202" s="885"/>
      <c r="VF202" s="885"/>
      <c r="VG202" s="885"/>
      <c r="VH202" s="885"/>
      <c r="VI202" s="885"/>
      <c r="VJ202" s="885"/>
      <c r="VK202" s="885"/>
      <c r="VL202" s="885"/>
      <c r="VM202" s="885"/>
      <c r="VN202" s="885"/>
      <c r="VO202" s="885"/>
      <c r="VP202" s="885"/>
      <c r="VQ202" s="885"/>
      <c r="VR202" s="885"/>
      <c r="VS202" s="885"/>
      <c r="VT202" s="885"/>
      <c r="VU202" s="885"/>
      <c r="VV202" s="885"/>
      <c r="VW202" s="885"/>
      <c r="VX202" s="885"/>
      <c r="VY202" s="885"/>
      <c r="VZ202" s="885"/>
      <c r="WA202" s="885"/>
      <c r="WB202" s="885"/>
      <c r="WC202" s="885"/>
      <c r="WD202" s="885"/>
      <c r="WE202" s="885"/>
      <c r="WF202" s="885"/>
      <c r="WG202" s="885"/>
      <c r="WH202" s="885"/>
      <c r="WI202" s="885"/>
      <c r="WJ202" s="885"/>
      <c r="WK202" s="885"/>
      <c r="WL202" s="885"/>
      <c r="WM202" s="885"/>
      <c r="WN202" s="885"/>
      <c r="WO202" s="885"/>
      <c r="WP202" s="885"/>
      <c r="WQ202" s="885"/>
      <c r="WR202" s="885"/>
      <c r="WS202" s="885"/>
      <c r="WT202" s="885"/>
      <c r="WU202" s="885"/>
      <c r="WV202" s="885"/>
      <c r="WW202" s="885"/>
      <c r="WX202" s="885"/>
      <c r="WY202" s="885"/>
      <c r="WZ202" s="885"/>
      <c r="XA202" s="885"/>
      <c r="XB202" s="885"/>
      <c r="XC202" s="885"/>
      <c r="XD202" s="885"/>
      <c r="XE202" s="885"/>
      <c r="XF202" s="885"/>
      <c r="XG202" s="885"/>
      <c r="XH202" s="885"/>
      <c r="XI202" s="885"/>
      <c r="XJ202" s="885"/>
      <c r="XK202" s="885"/>
      <c r="XL202" s="885"/>
      <c r="XM202" s="885"/>
      <c r="XN202" s="885"/>
      <c r="XO202" s="885"/>
      <c r="XP202" s="885"/>
      <c r="XQ202" s="885"/>
      <c r="XR202" s="885"/>
      <c r="XS202" s="885"/>
      <c r="XT202" s="885"/>
      <c r="XU202" s="885"/>
      <c r="XV202" s="885"/>
      <c r="XW202" s="885"/>
      <c r="XX202" s="885"/>
      <c r="XY202" s="885"/>
      <c r="XZ202" s="885"/>
      <c r="YA202" s="885"/>
      <c r="YB202" s="885"/>
      <c r="YC202" s="885"/>
      <c r="YD202" s="885"/>
      <c r="YE202" s="885"/>
      <c r="YF202" s="885"/>
      <c r="YG202" s="885"/>
      <c r="YH202" s="885"/>
      <c r="YI202" s="885"/>
      <c r="YJ202" s="885"/>
      <c r="YK202" s="885"/>
      <c r="YL202" s="885"/>
      <c r="YM202" s="885"/>
      <c r="YN202" s="885"/>
      <c r="YO202" s="885"/>
      <c r="YP202" s="885"/>
      <c r="YQ202" s="885"/>
      <c r="YR202" s="885"/>
      <c r="YS202" s="885"/>
      <c r="YT202" s="885"/>
      <c r="YU202" s="885"/>
      <c r="YV202" s="885"/>
      <c r="YW202" s="885"/>
      <c r="YX202" s="885"/>
      <c r="YY202" s="885"/>
      <c r="YZ202" s="885"/>
      <c r="ZA202" s="885"/>
      <c r="ZB202" s="885"/>
      <c r="ZC202" s="885"/>
      <c r="ZD202" s="885"/>
      <c r="ZE202" s="885"/>
      <c r="ZF202" s="885"/>
      <c r="ZG202" s="885"/>
      <c r="ZH202" s="885"/>
      <c r="ZI202" s="885"/>
      <c r="ZJ202" s="885"/>
      <c r="ZK202" s="885"/>
      <c r="ZL202" s="885"/>
      <c r="ZM202" s="885"/>
      <c r="ZN202" s="885"/>
      <c r="ZO202" s="885"/>
      <c r="ZP202" s="885"/>
      <c r="ZQ202" s="885"/>
      <c r="ZR202" s="885"/>
      <c r="ZS202" s="885"/>
      <c r="ZT202" s="885"/>
      <c r="ZU202" s="885"/>
      <c r="ZV202" s="885"/>
      <c r="ZW202" s="885"/>
      <c r="ZX202" s="885"/>
      <c r="ZY202" s="885"/>
      <c r="ZZ202" s="885"/>
      <c r="AAA202" s="885"/>
      <c r="AAB202" s="885"/>
      <c r="AAC202" s="885"/>
      <c r="AAD202" s="885"/>
      <c r="AAE202" s="885"/>
      <c r="AAF202" s="885"/>
      <c r="AAG202" s="885"/>
      <c r="AAH202" s="885"/>
      <c r="AAI202" s="885"/>
      <c r="AAJ202" s="885"/>
      <c r="AAK202" s="885"/>
      <c r="AAL202" s="885"/>
      <c r="AAM202" s="885"/>
      <c r="AAN202" s="885"/>
      <c r="AAO202" s="885"/>
      <c r="AAP202" s="885"/>
      <c r="AAQ202" s="885"/>
      <c r="AAR202" s="885"/>
      <c r="AAS202" s="885"/>
      <c r="AAT202" s="885"/>
      <c r="AAU202" s="885"/>
      <c r="AAV202" s="885"/>
      <c r="AAW202" s="885"/>
      <c r="AAX202" s="885"/>
      <c r="AAY202" s="885"/>
      <c r="AAZ202" s="885"/>
      <c r="ABA202" s="885"/>
      <c r="ABB202" s="885"/>
      <c r="ABC202" s="885"/>
      <c r="ABD202" s="885"/>
      <c r="ABE202" s="885"/>
      <c r="ABF202" s="885"/>
      <c r="ABG202" s="885"/>
      <c r="ABH202" s="885"/>
      <c r="ABI202" s="885"/>
      <c r="ABJ202" s="885"/>
      <c r="ABK202" s="885"/>
      <c r="ABL202" s="885"/>
      <c r="ABM202" s="885"/>
      <c r="ABN202" s="885"/>
      <c r="ABO202" s="885"/>
      <c r="ABP202" s="885"/>
      <c r="ABQ202" s="885"/>
      <c r="ABR202" s="885"/>
      <c r="ABS202" s="885"/>
      <c r="ABT202" s="885"/>
      <c r="ABU202" s="885"/>
      <c r="ABV202" s="885"/>
      <c r="ABW202" s="885"/>
      <c r="ABX202" s="885"/>
      <c r="ABY202" s="885"/>
      <c r="ABZ202" s="885"/>
      <c r="ACA202" s="885"/>
      <c r="ACB202" s="885"/>
      <c r="ACC202" s="885"/>
      <c r="ACD202" s="885"/>
      <c r="ACE202" s="885"/>
      <c r="ACF202" s="885"/>
      <c r="ACG202" s="885"/>
      <c r="ACH202" s="885"/>
      <c r="ACI202" s="885"/>
      <c r="ACJ202" s="885"/>
      <c r="ACK202" s="885"/>
      <c r="ACL202" s="885"/>
      <c r="ACM202" s="885"/>
      <c r="ACN202" s="885"/>
      <c r="ACO202" s="885"/>
      <c r="ACP202" s="885"/>
      <c r="ACQ202" s="885"/>
      <c r="ACR202" s="885"/>
      <c r="ACS202" s="885"/>
      <c r="ACT202" s="885"/>
      <c r="ACU202" s="885"/>
      <c r="ACV202" s="885"/>
      <c r="ACW202" s="885"/>
      <c r="ACX202" s="885"/>
      <c r="ACY202" s="885"/>
      <c r="ACZ202" s="885"/>
      <c r="ADA202" s="885"/>
      <c r="ADB202" s="885"/>
      <c r="ADC202" s="885"/>
      <c r="ADD202" s="885"/>
      <c r="ADE202" s="885"/>
      <c r="ADF202" s="885"/>
      <c r="ADG202" s="885"/>
      <c r="ADH202" s="885"/>
      <c r="ADI202" s="885"/>
      <c r="ADJ202" s="885"/>
      <c r="ADK202" s="885"/>
      <c r="ADL202" s="885"/>
      <c r="ADM202" s="885"/>
      <c r="ADN202" s="885"/>
      <c r="ADO202" s="885"/>
      <c r="ADP202" s="885"/>
      <c r="ADQ202" s="885"/>
      <c r="ADR202" s="885"/>
      <c r="ADS202" s="885"/>
      <c r="ADT202" s="885"/>
      <c r="ADU202" s="885"/>
      <c r="ADV202" s="885"/>
      <c r="ADW202" s="885"/>
      <c r="ADX202" s="885"/>
      <c r="ADY202" s="885"/>
      <c r="ADZ202" s="885"/>
      <c r="AEA202" s="885"/>
      <c r="AEB202" s="885"/>
      <c r="AEC202" s="885"/>
      <c r="AED202" s="885"/>
      <c r="AEE202" s="885"/>
      <c r="AEF202" s="885"/>
      <c r="AEG202" s="885"/>
      <c r="AEH202" s="885"/>
      <c r="AEI202" s="885"/>
      <c r="AEJ202" s="885"/>
      <c r="AEK202" s="885"/>
      <c r="AEL202" s="885"/>
      <c r="AEM202" s="885"/>
      <c r="AEN202" s="885"/>
      <c r="AEO202" s="885"/>
      <c r="AEP202" s="885"/>
      <c r="AEQ202" s="885"/>
      <c r="AER202" s="885"/>
      <c r="AES202" s="885"/>
      <c r="AET202" s="885"/>
      <c r="AEU202" s="885"/>
      <c r="AEV202" s="885"/>
      <c r="AEW202" s="885"/>
      <c r="AEX202" s="885"/>
      <c r="AEY202" s="885"/>
      <c r="AEZ202" s="885"/>
      <c r="AFA202" s="885"/>
      <c r="AFB202" s="885"/>
      <c r="AFC202" s="885"/>
      <c r="AFD202" s="885"/>
      <c r="AFE202" s="885"/>
      <c r="AFF202" s="885"/>
      <c r="AFG202" s="885"/>
      <c r="AFH202" s="885"/>
      <c r="AFI202" s="885"/>
      <c r="AFJ202" s="885"/>
      <c r="AFK202" s="885"/>
      <c r="AFL202" s="885"/>
      <c r="AFM202" s="885"/>
      <c r="AFN202" s="885"/>
      <c r="AFO202" s="885"/>
      <c r="AFP202" s="885"/>
      <c r="AFQ202" s="885"/>
      <c r="AFR202" s="885"/>
      <c r="AFS202" s="885"/>
      <c r="AFT202" s="885"/>
      <c r="AFU202" s="885"/>
      <c r="AFV202" s="885"/>
      <c r="AFW202" s="885"/>
      <c r="AFX202" s="885"/>
      <c r="AFY202" s="885"/>
      <c r="AFZ202" s="885"/>
      <c r="AGA202" s="885"/>
      <c r="AGB202" s="885"/>
      <c r="AGC202" s="885"/>
      <c r="AGD202" s="885"/>
      <c r="AGE202" s="885"/>
      <c r="AGF202" s="885"/>
      <c r="AGG202" s="885"/>
      <c r="AGH202" s="885"/>
      <c r="AGI202" s="885"/>
      <c r="AGJ202" s="885"/>
      <c r="AGK202" s="885"/>
      <c r="AGL202" s="885"/>
      <c r="AGM202" s="885"/>
      <c r="AGN202" s="885"/>
      <c r="AGO202" s="885"/>
      <c r="AGP202" s="885"/>
      <c r="AGQ202" s="885"/>
      <c r="AGR202" s="885"/>
      <c r="AGS202" s="885"/>
      <c r="AGT202" s="885"/>
      <c r="AGU202" s="885"/>
      <c r="AGV202" s="885"/>
      <c r="AGW202" s="885"/>
      <c r="AGX202" s="885"/>
      <c r="AGY202" s="885"/>
      <c r="AGZ202" s="885"/>
      <c r="AHA202" s="885"/>
      <c r="AHB202" s="885"/>
      <c r="AHC202" s="885"/>
      <c r="AHD202" s="885"/>
      <c r="AHE202" s="885"/>
      <c r="AHF202" s="885"/>
      <c r="AHG202" s="885"/>
      <c r="AHH202" s="885"/>
      <c r="AHI202" s="885"/>
      <c r="AHJ202" s="885"/>
      <c r="AHK202" s="885"/>
      <c r="AHL202" s="885"/>
      <c r="AHM202" s="885"/>
      <c r="AHN202" s="885"/>
      <c r="AHO202" s="885"/>
      <c r="AHP202" s="885"/>
      <c r="AHQ202" s="885"/>
      <c r="AHR202" s="885"/>
      <c r="AHS202" s="885"/>
      <c r="AHT202" s="885"/>
      <c r="AHU202" s="885"/>
      <c r="AHV202" s="885"/>
      <c r="AHW202" s="885"/>
      <c r="AHX202" s="885"/>
      <c r="AHY202" s="885"/>
      <c r="AHZ202" s="885"/>
      <c r="AIA202" s="885"/>
      <c r="AIB202" s="885"/>
      <c r="AIC202" s="885"/>
      <c r="AID202" s="885"/>
      <c r="AIE202" s="885"/>
      <c r="AIF202" s="885"/>
      <c r="AIG202" s="885"/>
      <c r="AIH202" s="885"/>
      <c r="AII202" s="885"/>
      <c r="AIJ202" s="885"/>
      <c r="AIK202" s="885"/>
      <c r="AIL202" s="885"/>
      <c r="AIM202" s="885"/>
      <c r="AIN202" s="885"/>
      <c r="AIO202" s="885"/>
      <c r="AIP202" s="885"/>
      <c r="AIQ202" s="885"/>
      <c r="AIR202" s="885"/>
      <c r="AIS202" s="885"/>
      <c r="AIT202" s="885"/>
      <c r="AIU202" s="885"/>
      <c r="AIV202" s="885"/>
      <c r="AIW202" s="885"/>
      <c r="AIX202" s="885"/>
      <c r="AIY202" s="885"/>
      <c r="AIZ202" s="885"/>
      <c r="AJA202" s="885"/>
      <c r="AJB202" s="885"/>
      <c r="AJC202" s="885"/>
      <c r="AJD202" s="885"/>
      <c r="AJE202" s="885"/>
      <c r="AJF202" s="885"/>
      <c r="AJG202" s="885"/>
      <c r="AJH202" s="885"/>
      <c r="AJI202" s="885"/>
      <c r="AJJ202" s="885"/>
      <c r="AJK202" s="885"/>
      <c r="AJL202" s="885"/>
      <c r="AJM202" s="885"/>
      <c r="AJN202" s="885"/>
      <c r="AJO202" s="885"/>
      <c r="AJP202" s="885"/>
      <c r="AJQ202" s="885"/>
      <c r="AJR202" s="885"/>
      <c r="AJS202" s="885"/>
      <c r="AJT202" s="885"/>
      <c r="AJU202" s="885"/>
      <c r="AJV202" s="885"/>
      <c r="AJW202" s="885"/>
      <c r="AJX202" s="885"/>
      <c r="AJY202" s="885"/>
      <c r="AJZ202" s="885"/>
      <c r="AKA202" s="885"/>
      <c r="AKB202" s="885"/>
      <c r="AKC202" s="885"/>
      <c r="AKD202" s="885"/>
      <c r="AKE202" s="885"/>
      <c r="AKF202" s="885"/>
      <c r="AKG202" s="885"/>
      <c r="AKH202" s="885"/>
      <c r="AKI202" s="885"/>
      <c r="AKJ202" s="885"/>
      <c r="AKK202" s="885"/>
      <c r="AKL202" s="885"/>
      <c r="AKM202" s="885"/>
      <c r="AKN202" s="885"/>
      <c r="AKO202" s="885"/>
      <c r="AKP202" s="885"/>
      <c r="AKQ202" s="885"/>
      <c r="AKR202" s="885"/>
      <c r="AKS202" s="885"/>
      <c r="AKT202" s="885"/>
      <c r="AKU202" s="885"/>
      <c r="AKV202" s="885"/>
      <c r="AKW202" s="885"/>
      <c r="AKX202" s="885"/>
      <c r="AKY202" s="885"/>
      <c r="AKZ202" s="885"/>
      <c r="ALA202" s="885"/>
      <c r="ALB202" s="885"/>
      <c r="ALC202" s="885"/>
      <c r="ALD202" s="885"/>
      <c r="ALE202" s="885"/>
      <c r="ALF202" s="885"/>
      <c r="ALG202" s="885"/>
      <c r="ALH202" s="885"/>
      <c r="ALI202" s="885"/>
      <c r="ALJ202" s="885"/>
      <c r="ALK202" s="885"/>
      <c r="ALL202" s="885"/>
      <c r="ALM202" s="885"/>
      <c r="ALN202" s="885"/>
      <c r="ALO202" s="885"/>
      <c r="ALP202" s="885"/>
      <c r="ALQ202" s="885"/>
      <c r="ALR202" s="885"/>
      <c r="ALS202" s="885"/>
      <c r="ALT202" s="885"/>
      <c r="ALU202" s="885"/>
      <c r="ALV202" s="885"/>
      <c r="ALW202" s="885"/>
      <c r="ALX202" s="885"/>
      <c r="ALY202" s="885"/>
      <c r="ALZ202" s="885"/>
      <c r="AMA202" s="885"/>
      <c r="AMB202" s="885"/>
      <c r="AMC202" s="885"/>
      <c r="AMD202" s="885"/>
      <c r="AME202" s="885"/>
      <c r="AMF202" s="885"/>
      <c r="AMG202" s="885"/>
      <c r="AMH202" s="885"/>
      <c r="AMI202" s="885"/>
      <c r="AMJ202" s="885"/>
      <c r="AMK202" s="885"/>
      <c r="AML202" s="885"/>
      <c r="AMM202" s="885"/>
      <c r="AMN202" s="885"/>
      <c r="AMO202" s="885"/>
      <c r="AMP202" s="885"/>
      <c r="AMQ202" s="885"/>
      <c r="AMR202" s="885"/>
      <c r="AMS202" s="885"/>
      <c r="AMT202" s="885"/>
      <c r="AMU202" s="885"/>
      <c r="AMV202" s="885"/>
      <c r="AMW202" s="885"/>
      <c r="AMX202" s="885"/>
      <c r="AMY202" s="885"/>
      <c r="AMZ202" s="885"/>
      <c r="ANA202" s="885"/>
      <c r="ANB202" s="885"/>
      <c r="ANC202" s="885"/>
      <c r="AND202" s="885"/>
      <c r="ANE202" s="885"/>
      <c r="ANF202" s="885"/>
      <c r="ANG202" s="885"/>
      <c r="ANH202" s="885"/>
      <c r="ANI202" s="885"/>
      <c r="ANJ202" s="885"/>
      <c r="ANK202" s="885"/>
      <c r="ANL202" s="885"/>
      <c r="ANM202" s="885"/>
      <c r="ANN202" s="885"/>
      <c r="ANO202" s="885"/>
      <c r="ANP202" s="885"/>
      <c r="ANQ202" s="885"/>
      <c r="ANR202" s="885"/>
      <c r="ANS202" s="885"/>
      <c r="ANT202" s="885"/>
      <c r="ANU202" s="885"/>
      <c r="ANV202" s="885"/>
      <c r="ANW202" s="885"/>
      <c r="ANX202" s="885"/>
      <c r="ANY202" s="885"/>
      <c r="ANZ202" s="885"/>
      <c r="AOA202" s="885"/>
      <c r="AOB202" s="885"/>
      <c r="AOC202" s="885"/>
      <c r="AOD202" s="885"/>
      <c r="AOE202" s="885"/>
      <c r="AOF202" s="885"/>
      <c r="AOG202" s="885"/>
      <c r="AOH202" s="885"/>
      <c r="AOI202" s="885"/>
      <c r="AOJ202" s="885"/>
      <c r="AOK202" s="885"/>
      <c r="AOL202" s="885"/>
      <c r="AOM202" s="885"/>
      <c r="AON202" s="885"/>
      <c r="AOO202" s="885"/>
      <c r="AOP202" s="885"/>
      <c r="AOQ202" s="885"/>
      <c r="AOR202" s="885"/>
      <c r="AOS202" s="885"/>
      <c r="AOT202" s="885"/>
      <c r="AOU202" s="885"/>
      <c r="AOV202" s="885"/>
      <c r="AOW202" s="885"/>
      <c r="AOX202" s="885"/>
      <c r="AOY202" s="885"/>
      <c r="AOZ202" s="885"/>
      <c r="APA202" s="885"/>
      <c r="APB202" s="885"/>
      <c r="APC202" s="885"/>
      <c r="APD202" s="885"/>
      <c r="APE202" s="885"/>
      <c r="APF202" s="885"/>
      <c r="APG202" s="885"/>
      <c r="APH202" s="885"/>
      <c r="API202" s="885"/>
      <c r="APJ202" s="885"/>
      <c r="APK202" s="885"/>
      <c r="APL202" s="885"/>
      <c r="APM202" s="885"/>
      <c r="APN202" s="885"/>
      <c r="APO202" s="885"/>
      <c r="APP202" s="885"/>
      <c r="APQ202" s="885"/>
      <c r="APR202" s="885"/>
      <c r="APS202" s="885"/>
      <c r="APT202" s="885"/>
      <c r="APU202" s="885"/>
      <c r="APV202" s="885"/>
      <c r="APW202" s="885"/>
      <c r="APX202" s="885"/>
      <c r="APY202" s="885"/>
      <c r="APZ202" s="885"/>
      <c r="AQA202" s="885"/>
      <c r="AQB202" s="885"/>
      <c r="AQC202" s="885"/>
      <c r="AQD202" s="885"/>
      <c r="AQE202" s="885"/>
      <c r="AQF202" s="885"/>
      <c r="AQG202" s="885"/>
      <c r="AQH202" s="885"/>
      <c r="AQI202" s="885"/>
      <c r="AQJ202" s="885"/>
      <c r="AQK202" s="885"/>
      <c r="AQL202" s="885"/>
      <c r="AQM202" s="885"/>
      <c r="AQN202" s="885"/>
      <c r="AQO202" s="885"/>
      <c r="AQP202" s="885"/>
      <c r="AQQ202" s="885"/>
      <c r="AQR202" s="885"/>
      <c r="AQS202" s="885"/>
      <c r="AQT202" s="885"/>
      <c r="AQU202" s="885"/>
      <c r="AQV202" s="885"/>
      <c r="AQW202" s="885"/>
      <c r="AQX202" s="885"/>
      <c r="AQY202" s="885"/>
      <c r="AQZ202" s="885"/>
      <c r="ARA202" s="885"/>
      <c r="ARB202" s="885"/>
      <c r="ARC202" s="885"/>
      <c r="ARD202" s="885"/>
      <c r="ARE202" s="885"/>
      <c r="ARF202" s="885"/>
      <c r="ARG202" s="885"/>
      <c r="ARH202" s="885"/>
      <c r="ARI202" s="885"/>
      <c r="ARJ202" s="885"/>
      <c r="ARK202" s="885"/>
      <c r="ARL202" s="885"/>
      <c r="ARM202" s="885"/>
      <c r="ARN202" s="885"/>
      <c r="ARO202" s="885"/>
      <c r="ARP202" s="885"/>
      <c r="ARQ202" s="885"/>
      <c r="ARR202" s="885"/>
      <c r="ARS202" s="885"/>
      <c r="ART202" s="885"/>
      <c r="ARU202" s="885"/>
      <c r="ARV202" s="885"/>
      <c r="ARW202" s="885"/>
      <c r="ARX202" s="885"/>
      <c r="ARY202" s="885"/>
      <c r="ARZ202" s="885"/>
      <c r="ASA202" s="885"/>
      <c r="ASB202" s="885"/>
      <c r="ASC202" s="885"/>
      <c r="ASD202" s="885"/>
      <c r="ASE202" s="885"/>
      <c r="ASF202" s="885"/>
      <c r="ASG202" s="885"/>
      <c r="ASH202" s="885"/>
      <c r="ASI202" s="885"/>
      <c r="ASJ202" s="885"/>
      <c r="ASK202" s="885"/>
      <c r="ASL202" s="885"/>
      <c r="ASM202" s="885"/>
      <c r="ASN202" s="885"/>
      <c r="ASO202" s="885"/>
      <c r="ASP202" s="885"/>
      <c r="ASQ202" s="885"/>
      <c r="ASR202" s="885"/>
      <c r="ASS202" s="885"/>
      <c r="AST202" s="885"/>
      <c r="ASU202" s="885"/>
      <c r="ASV202" s="885"/>
      <c r="ASW202" s="885"/>
      <c r="ASX202" s="885"/>
      <c r="ASY202" s="885"/>
      <c r="ASZ202" s="885"/>
      <c r="ATA202" s="885"/>
      <c r="ATB202" s="885"/>
      <c r="ATC202" s="885"/>
      <c r="ATD202" s="885"/>
      <c r="ATE202" s="885"/>
      <c r="ATF202" s="885"/>
      <c r="ATG202" s="885"/>
      <c r="ATH202" s="885"/>
      <c r="ATI202" s="885"/>
      <c r="ATJ202" s="885"/>
      <c r="ATK202" s="885"/>
      <c r="ATL202" s="885"/>
      <c r="ATM202" s="885"/>
      <c r="ATN202" s="885"/>
      <c r="ATO202" s="885"/>
      <c r="ATP202" s="885"/>
      <c r="ATQ202" s="885"/>
      <c r="ATR202" s="885"/>
      <c r="ATS202" s="885"/>
      <c r="ATT202" s="885"/>
      <c r="ATU202" s="885"/>
      <c r="ATV202" s="885"/>
      <c r="ATW202" s="885"/>
      <c r="ATX202" s="885"/>
      <c r="ATY202" s="885"/>
      <c r="ATZ202" s="885"/>
      <c r="AUA202" s="885"/>
      <c r="AUB202" s="885"/>
      <c r="AUC202" s="885"/>
      <c r="AUD202" s="885"/>
      <c r="AUE202" s="885"/>
      <c r="AUF202" s="885"/>
      <c r="AUG202" s="885"/>
      <c r="AUH202" s="885"/>
      <c r="AUI202" s="885"/>
      <c r="AUJ202" s="885"/>
      <c r="AUK202" s="885"/>
      <c r="AUL202" s="885"/>
      <c r="AUM202" s="885"/>
      <c r="AUN202" s="885"/>
      <c r="AUO202" s="885"/>
      <c r="AUP202" s="885"/>
      <c r="AUQ202" s="885"/>
      <c r="AUR202" s="885"/>
      <c r="AUS202" s="885"/>
      <c r="AUT202" s="885"/>
      <c r="AUU202" s="885"/>
      <c r="AUV202" s="885"/>
      <c r="AUW202" s="885"/>
      <c r="AUX202" s="885"/>
      <c r="AUY202" s="885"/>
      <c r="AUZ202" s="885"/>
      <c r="AVA202" s="885"/>
      <c r="AVB202" s="885"/>
      <c r="AVC202" s="885"/>
      <c r="AVD202" s="885"/>
      <c r="AVE202" s="885"/>
      <c r="AVF202" s="885"/>
      <c r="AVG202" s="885"/>
      <c r="AVH202" s="885"/>
      <c r="AVI202" s="885"/>
      <c r="AVJ202" s="885"/>
      <c r="AVK202" s="885"/>
      <c r="AVL202" s="885"/>
      <c r="AVM202" s="885"/>
      <c r="AVN202" s="885"/>
      <c r="AVO202" s="885"/>
      <c r="AVP202" s="885"/>
      <c r="AVQ202" s="885"/>
      <c r="AVR202" s="885"/>
      <c r="AVS202" s="885"/>
      <c r="AVT202" s="885"/>
      <c r="AVU202" s="885"/>
      <c r="AVV202" s="885"/>
      <c r="AVW202" s="885"/>
      <c r="AVX202" s="885"/>
      <c r="AVY202" s="885"/>
      <c r="AVZ202" s="885"/>
      <c r="AWA202" s="885"/>
      <c r="AWB202" s="885"/>
      <c r="AWC202" s="885"/>
      <c r="AWD202" s="885"/>
      <c r="AWE202" s="885"/>
      <c r="AWF202" s="885"/>
      <c r="AWG202" s="885"/>
      <c r="AWH202" s="885"/>
      <c r="AWI202" s="885"/>
      <c r="AWJ202" s="885"/>
      <c r="AWK202" s="885"/>
      <c r="AWL202" s="885"/>
      <c r="AWM202" s="885"/>
      <c r="AWN202" s="885"/>
      <c r="AWO202" s="885"/>
      <c r="AWP202" s="885"/>
      <c r="AWQ202" s="885"/>
      <c r="AWR202" s="885"/>
      <c r="AWS202" s="885"/>
      <c r="AWT202" s="885"/>
      <c r="AWU202" s="885"/>
      <c r="AWV202" s="885"/>
      <c r="AWW202" s="885"/>
      <c r="AWX202" s="885"/>
      <c r="AWY202" s="885"/>
      <c r="AWZ202" s="885"/>
      <c r="AXA202" s="885"/>
      <c r="AXB202" s="885"/>
      <c r="AXC202" s="885"/>
      <c r="AXD202" s="885"/>
      <c r="AXE202" s="885"/>
      <c r="AXF202" s="885"/>
      <c r="AXG202" s="885"/>
      <c r="AXH202" s="885"/>
      <c r="AXI202" s="885"/>
      <c r="AXJ202" s="885"/>
      <c r="AXK202" s="885"/>
      <c r="AXL202" s="885"/>
      <c r="AXM202" s="885"/>
      <c r="AXN202" s="885"/>
      <c r="AXO202" s="885"/>
      <c r="AXP202" s="885"/>
      <c r="AXQ202" s="885"/>
      <c r="AXR202" s="885"/>
      <c r="AXS202" s="885"/>
      <c r="AXT202" s="885"/>
      <c r="AXU202" s="885"/>
      <c r="AXV202" s="885"/>
      <c r="AXW202" s="885"/>
      <c r="AXX202" s="885"/>
      <c r="AXY202" s="885"/>
      <c r="AXZ202" s="885"/>
      <c r="AYA202" s="885"/>
      <c r="AYB202" s="885"/>
      <c r="AYC202" s="885"/>
      <c r="AYD202" s="885"/>
      <c r="AYE202" s="885"/>
      <c r="AYF202" s="885"/>
      <c r="AYG202" s="885"/>
      <c r="AYH202" s="885"/>
      <c r="AYI202" s="885"/>
      <c r="AYJ202" s="885"/>
      <c r="AYK202" s="885"/>
      <c r="AYL202" s="885"/>
      <c r="AYM202" s="885"/>
      <c r="AYN202" s="885"/>
      <c r="AYO202" s="885"/>
      <c r="AYP202" s="885"/>
      <c r="AYQ202" s="885"/>
      <c r="AYR202" s="885"/>
      <c r="AYS202" s="885"/>
      <c r="AYT202" s="885"/>
      <c r="AYU202" s="885"/>
      <c r="AYV202" s="885"/>
      <c r="AYW202" s="885"/>
      <c r="AYX202" s="885"/>
      <c r="AYY202" s="885"/>
      <c r="AYZ202" s="885"/>
      <c r="AZA202" s="885"/>
      <c r="AZB202" s="885"/>
      <c r="AZC202" s="885"/>
      <c r="AZD202" s="885"/>
      <c r="AZE202" s="885"/>
      <c r="AZF202" s="885"/>
      <c r="AZG202" s="885"/>
      <c r="AZH202" s="885"/>
      <c r="AZI202" s="885"/>
      <c r="AZJ202" s="885"/>
      <c r="AZK202" s="885"/>
      <c r="AZL202" s="885"/>
      <c r="AZM202" s="885"/>
      <c r="AZN202" s="885"/>
      <c r="AZO202" s="885"/>
      <c r="AZP202" s="885"/>
      <c r="AZQ202" s="885"/>
      <c r="AZR202" s="885"/>
      <c r="AZS202" s="885"/>
      <c r="AZT202" s="885"/>
      <c r="AZU202" s="885"/>
      <c r="AZV202" s="885"/>
      <c r="AZW202" s="885"/>
      <c r="AZX202" s="885"/>
      <c r="AZY202" s="885"/>
      <c r="AZZ202" s="885"/>
      <c r="BAA202" s="885"/>
      <c r="BAB202" s="885"/>
      <c r="BAC202" s="885"/>
      <c r="BAD202" s="885"/>
      <c r="BAE202" s="885"/>
      <c r="BAF202" s="885"/>
      <c r="BAG202" s="885"/>
      <c r="BAH202" s="885"/>
      <c r="BAI202" s="885"/>
      <c r="BAJ202" s="885"/>
      <c r="BAK202" s="885"/>
      <c r="BAL202" s="885"/>
      <c r="BAM202" s="885"/>
      <c r="BAN202" s="885"/>
      <c r="BAO202" s="885"/>
      <c r="BAP202" s="885"/>
      <c r="BAQ202" s="885"/>
      <c r="BAR202" s="885"/>
      <c r="BAS202" s="885"/>
      <c r="BAT202" s="885"/>
      <c r="BAU202" s="885"/>
      <c r="BAV202" s="885"/>
      <c r="BAW202" s="885"/>
      <c r="BAX202" s="885"/>
      <c r="BAY202" s="885"/>
      <c r="BAZ202" s="885"/>
      <c r="BBA202" s="885"/>
      <c r="BBB202" s="885"/>
      <c r="BBC202" s="885"/>
      <c r="BBD202" s="885"/>
      <c r="BBE202" s="885"/>
      <c r="BBF202" s="885"/>
      <c r="BBG202" s="885"/>
      <c r="BBH202" s="885"/>
      <c r="BBI202" s="885"/>
      <c r="BBJ202" s="885"/>
      <c r="BBK202" s="885"/>
      <c r="BBL202" s="885"/>
      <c r="BBM202" s="885"/>
      <c r="BBN202" s="885"/>
      <c r="BBO202" s="885"/>
      <c r="BBP202" s="885"/>
      <c r="BBQ202" s="885"/>
      <c r="BBR202" s="885"/>
      <c r="BBS202" s="885"/>
      <c r="BBT202" s="885"/>
      <c r="BBU202" s="885"/>
      <c r="BBV202" s="885"/>
      <c r="BBW202" s="885"/>
      <c r="BBX202" s="885"/>
      <c r="BBY202" s="885"/>
      <c r="BBZ202" s="885"/>
      <c r="BCA202" s="885"/>
      <c r="BCB202" s="885"/>
      <c r="BCC202" s="885"/>
      <c r="BCD202" s="885"/>
      <c r="BCE202" s="885"/>
      <c r="BCF202" s="885"/>
      <c r="BCG202" s="885"/>
      <c r="BCH202" s="885"/>
      <c r="BCI202" s="885"/>
      <c r="BCJ202" s="885"/>
      <c r="BCK202" s="885"/>
      <c r="BCL202" s="885"/>
      <c r="BCM202" s="885"/>
      <c r="BCN202" s="885"/>
      <c r="BCO202" s="885"/>
      <c r="BCP202" s="885"/>
      <c r="BCQ202" s="885"/>
      <c r="BCR202" s="885"/>
      <c r="BCS202" s="885"/>
      <c r="BCT202" s="885"/>
      <c r="BCU202" s="885"/>
      <c r="BCV202" s="885"/>
      <c r="BCW202" s="885"/>
      <c r="BCX202" s="885"/>
      <c r="BCY202" s="885"/>
      <c r="BCZ202" s="885"/>
      <c r="BDA202" s="885"/>
      <c r="BDB202" s="885"/>
      <c r="BDC202" s="885"/>
      <c r="BDD202" s="885"/>
      <c r="BDE202" s="885"/>
      <c r="BDF202" s="885"/>
      <c r="BDG202" s="885"/>
      <c r="BDH202" s="885"/>
      <c r="BDI202" s="885"/>
      <c r="BDJ202" s="885"/>
      <c r="BDK202" s="885"/>
      <c r="BDL202" s="885"/>
      <c r="BDM202" s="885"/>
      <c r="BDN202" s="885"/>
      <c r="BDO202" s="885"/>
      <c r="BDP202" s="885"/>
      <c r="BDQ202" s="885"/>
      <c r="BDR202" s="885"/>
      <c r="BDS202" s="885"/>
      <c r="BDT202" s="885"/>
      <c r="BDU202" s="885"/>
      <c r="BDV202" s="885"/>
      <c r="BDW202" s="885"/>
      <c r="BDX202" s="885"/>
      <c r="BDY202" s="885"/>
      <c r="BDZ202" s="885"/>
      <c r="BEA202" s="885"/>
      <c r="BEB202" s="885"/>
      <c r="BEC202" s="885"/>
      <c r="BED202" s="885"/>
      <c r="BEE202" s="885"/>
      <c r="BEF202" s="885"/>
      <c r="BEG202" s="885"/>
      <c r="BEH202" s="885"/>
      <c r="BEI202" s="885"/>
      <c r="BEJ202" s="885"/>
      <c r="BEK202" s="885"/>
      <c r="BEL202" s="885"/>
      <c r="BEM202" s="885"/>
      <c r="BEN202" s="885"/>
      <c r="BEO202" s="885"/>
      <c r="BEP202" s="885"/>
      <c r="BEQ202" s="885"/>
      <c r="BER202" s="885"/>
      <c r="BES202" s="885"/>
      <c r="BET202" s="885"/>
      <c r="BEU202" s="885"/>
      <c r="BEV202" s="885"/>
      <c r="BEW202" s="885"/>
      <c r="BEX202" s="885"/>
      <c r="BEY202" s="885"/>
      <c r="BEZ202" s="885"/>
      <c r="BFA202" s="885"/>
      <c r="BFB202" s="885"/>
      <c r="BFC202" s="885"/>
      <c r="BFD202" s="885"/>
      <c r="BFE202" s="885"/>
      <c r="BFF202" s="885"/>
      <c r="BFG202" s="885"/>
      <c r="BFH202" s="885"/>
      <c r="BFI202" s="885"/>
      <c r="BFJ202" s="885"/>
      <c r="BFK202" s="885"/>
      <c r="BFL202" s="885"/>
      <c r="BFM202" s="885"/>
      <c r="BFN202" s="885"/>
      <c r="BFO202" s="885"/>
      <c r="BFP202" s="885"/>
      <c r="BFQ202" s="885"/>
      <c r="BFR202" s="885"/>
      <c r="BFS202" s="885"/>
      <c r="BFT202" s="885"/>
      <c r="BFU202" s="885"/>
      <c r="BFV202" s="885"/>
      <c r="BFW202" s="885"/>
      <c r="BFX202" s="885"/>
      <c r="BFY202" s="885"/>
      <c r="BFZ202" s="885"/>
      <c r="BGA202" s="885"/>
      <c r="BGB202" s="885"/>
      <c r="BGC202" s="885"/>
      <c r="BGD202" s="885"/>
      <c r="BGE202" s="885"/>
      <c r="BGF202" s="885"/>
      <c r="BGG202" s="885"/>
      <c r="BGH202" s="885"/>
      <c r="BGI202" s="885"/>
      <c r="BGJ202" s="885"/>
      <c r="BGK202" s="885"/>
      <c r="BGL202" s="885"/>
      <c r="BGM202" s="885"/>
      <c r="BGN202" s="885"/>
      <c r="BGO202" s="885"/>
      <c r="BGP202" s="885"/>
      <c r="BGQ202" s="885"/>
      <c r="BGR202" s="885"/>
      <c r="BGS202" s="885"/>
      <c r="BGT202" s="885"/>
      <c r="BGU202" s="885"/>
      <c r="BGV202" s="885"/>
      <c r="BGW202" s="885"/>
      <c r="BGX202" s="885"/>
      <c r="BGY202" s="885"/>
      <c r="BGZ202" s="885"/>
      <c r="BHA202" s="885"/>
      <c r="BHB202" s="885"/>
      <c r="BHC202" s="885"/>
      <c r="BHD202" s="885"/>
      <c r="BHE202" s="885"/>
      <c r="BHF202" s="885"/>
      <c r="BHG202" s="885"/>
      <c r="BHH202" s="885"/>
      <c r="BHI202" s="885"/>
      <c r="BHJ202" s="885"/>
      <c r="BHK202" s="885"/>
      <c r="BHL202" s="885"/>
      <c r="BHM202" s="885"/>
      <c r="BHN202" s="885"/>
      <c r="BHO202" s="885"/>
      <c r="BHP202" s="885"/>
      <c r="BHQ202" s="885"/>
      <c r="BHR202" s="885"/>
      <c r="BHS202" s="885"/>
      <c r="BHT202" s="885"/>
      <c r="BHU202" s="885"/>
      <c r="BHV202" s="885"/>
      <c r="BHW202" s="885"/>
      <c r="BHX202" s="885"/>
      <c r="BHY202" s="885"/>
      <c r="BHZ202" s="885"/>
      <c r="BIA202" s="885"/>
      <c r="BIB202" s="885"/>
      <c r="BIC202" s="885"/>
      <c r="BID202" s="885"/>
      <c r="BIE202" s="885"/>
      <c r="BIF202" s="885"/>
      <c r="BIG202" s="885"/>
      <c r="BIH202" s="885"/>
      <c r="BII202" s="885"/>
      <c r="BIJ202" s="885"/>
      <c r="BIK202" s="885"/>
      <c r="BIL202" s="885"/>
      <c r="BIM202" s="885"/>
      <c r="BIN202" s="885"/>
      <c r="BIO202" s="885"/>
      <c r="BIP202" s="885"/>
      <c r="BIQ202" s="885"/>
      <c r="BIR202" s="885"/>
      <c r="BIS202" s="885"/>
      <c r="BIT202" s="885"/>
      <c r="BIU202" s="885"/>
      <c r="BIV202" s="885"/>
      <c r="BIW202" s="885"/>
      <c r="BIX202" s="885"/>
      <c r="BIY202" s="885"/>
      <c r="BIZ202" s="885"/>
      <c r="BJA202" s="885"/>
      <c r="BJB202" s="885"/>
      <c r="BJC202" s="885"/>
      <c r="BJD202" s="885"/>
      <c r="BJE202" s="885"/>
      <c r="BJF202" s="885"/>
      <c r="BJG202" s="885"/>
      <c r="BJH202" s="885"/>
      <c r="BJI202" s="885"/>
      <c r="BJJ202" s="885"/>
      <c r="BJK202" s="885"/>
      <c r="BJL202" s="885"/>
      <c r="BJM202" s="885"/>
      <c r="BJN202" s="885"/>
      <c r="BJO202" s="885"/>
      <c r="BJP202" s="885"/>
      <c r="BJQ202" s="885"/>
      <c r="BJR202" s="885"/>
      <c r="BJS202" s="885"/>
      <c r="BJT202" s="885"/>
      <c r="BJU202" s="885"/>
      <c r="BJV202" s="885"/>
      <c r="BJW202" s="885"/>
      <c r="BJX202" s="885"/>
      <c r="BJY202" s="885"/>
      <c r="BJZ202" s="885"/>
      <c r="BKA202" s="885"/>
      <c r="BKB202" s="885"/>
      <c r="BKC202" s="885"/>
      <c r="BKD202" s="885"/>
      <c r="BKE202" s="885"/>
      <c r="BKF202" s="885"/>
      <c r="BKG202" s="885"/>
      <c r="BKH202" s="885"/>
      <c r="BKI202" s="885"/>
      <c r="BKJ202" s="885"/>
      <c r="BKK202" s="885"/>
      <c r="BKL202" s="885"/>
      <c r="BKM202" s="885"/>
      <c r="BKN202" s="885"/>
      <c r="BKO202" s="885"/>
      <c r="BKP202" s="885"/>
      <c r="BKQ202" s="885"/>
      <c r="BKR202" s="885"/>
      <c r="BKS202" s="885"/>
      <c r="BKT202" s="885"/>
      <c r="BKU202" s="885"/>
      <c r="BKV202" s="885"/>
      <c r="BKW202" s="885"/>
      <c r="BKX202" s="885"/>
      <c r="BKY202" s="885"/>
      <c r="BKZ202" s="885"/>
      <c r="BLA202" s="885"/>
      <c r="BLB202" s="885"/>
      <c r="BLC202" s="885"/>
      <c r="BLD202" s="885"/>
      <c r="BLE202" s="885"/>
      <c r="BLF202" s="885"/>
      <c r="BLG202" s="885"/>
      <c r="BLH202" s="885"/>
      <c r="BLI202" s="885"/>
      <c r="BLJ202" s="885"/>
      <c r="BLK202" s="885"/>
      <c r="BLL202" s="885"/>
      <c r="BLM202" s="885"/>
      <c r="BLN202" s="885"/>
      <c r="BLO202" s="885"/>
      <c r="BLP202" s="885"/>
      <c r="BLQ202" s="885"/>
      <c r="BLR202" s="885"/>
      <c r="BLS202" s="885"/>
      <c r="BLT202" s="885"/>
      <c r="BLU202" s="885"/>
      <c r="BLV202" s="885"/>
      <c r="BLW202" s="885"/>
      <c r="BLX202" s="885"/>
      <c r="BLY202" s="885"/>
      <c r="BLZ202" s="885"/>
      <c r="BMA202" s="885"/>
      <c r="BMB202" s="885"/>
      <c r="BMC202" s="885"/>
      <c r="BMD202" s="885"/>
      <c r="BME202" s="885"/>
      <c r="BMF202" s="885"/>
      <c r="BMG202" s="885"/>
      <c r="BMH202" s="885"/>
      <c r="BMI202" s="885"/>
      <c r="BMJ202" s="885"/>
      <c r="BMK202" s="885"/>
      <c r="BML202" s="885"/>
      <c r="BMM202" s="885"/>
      <c r="BMN202" s="885"/>
      <c r="BMO202" s="885"/>
      <c r="BMP202" s="885"/>
      <c r="BMQ202" s="885"/>
      <c r="BMR202" s="885"/>
      <c r="BMS202" s="885"/>
      <c r="BMT202" s="885"/>
      <c r="BMU202" s="885"/>
      <c r="BMV202" s="885"/>
      <c r="BMW202" s="885"/>
      <c r="BMX202" s="885"/>
      <c r="BMY202" s="885"/>
      <c r="BMZ202" s="885"/>
      <c r="BNA202" s="885"/>
      <c r="BNB202" s="885"/>
      <c r="BNC202" s="885"/>
      <c r="BND202" s="885"/>
      <c r="BNE202" s="885"/>
      <c r="BNF202" s="885"/>
      <c r="BNG202" s="885"/>
      <c r="BNH202" s="885"/>
      <c r="BNI202" s="885"/>
      <c r="BNJ202" s="885"/>
      <c r="BNK202" s="885"/>
      <c r="BNL202" s="885"/>
      <c r="BNM202" s="885"/>
      <c r="BNN202" s="885"/>
      <c r="BNO202" s="885"/>
      <c r="BNP202" s="885"/>
      <c r="BNQ202" s="885"/>
      <c r="BNR202" s="885"/>
      <c r="BNS202" s="885"/>
      <c r="BNT202" s="885"/>
      <c r="BNU202" s="885"/>
      <c r="BNV202" s="885"/>
      <c r="BNW202" s="885"/>
      <c r="BNX202" s="885"/>
      <c r="BNY202" s="885"/>
      <c r="BNZ202" s="885"/>
      <c r="BOA202" s="885"/>
      <c r="BOB202" s="885"/>
      <c r="BOC202" s="885"/>
      <c r="BOD202" s="885"/>
      <c r="BOE202" s="885"/>
      <c r="BOF202" s="885"/>
      <c r="BOG202" s="885"/>
      <c r="BOH202" s="885"/>
      <c r="BOI202" s="885"/>
      <c r="BOJ202" s="885"/>
      <c r="BOK202" s="885"/>
      <c r="BOL202" s="885"/>
      <c r="BOM202" s="885"/>
      <c r="BON202" s="885"/>
      <c r="BOO202" s="885"/>
      <c r="BOP202" s="885"/>
      <c r="BOQ202" s="885"/>
      <c r="BOR202" s="885"/>
      <c r="BOS202" s="885"/>
      <c r="BOT202" s="885"/>
      <c r="BOU202" s="885"/>
      <c r="BOV202" s="885"/>
      <c r="BOW202" s="885"/>
      <c r="BOX202" s="885"/>
      <c r="BOY202" s="885"/>
      <c r="BOZ202" s="885"/>
      <c r="BPA202" s="885"/>
      <c r="BPB202" s="885"/>
      <c r="BPC202" s="885"/>
      <c r="BPD202" s="885"/>
      <c r="BPE202" s="885"/>
      <c r="BPF202" s="885"/>
      <c r="BPG202" s="885"/>
      <c r="BPH202" s="885"/>
      <c r="BPI202" s="885"/>
      <c r="BPJ202" s="885"/>
      <c r="BPK202" s="885"/>
      <c r="BPL202" s="885"/>
      <c r="BPM202" s="885"/>
      <c r="BPN202" s="885"/>
      <c r="BPO202" s="885"/>
      <c r="BPP202" s="885"/>
      <c r="BPQ202" s="885"/>
      <c r="BPR202" s="885"/>
      <c r="BPS202" s="885"/>
      <c r="BPT202" s="885"/>
      <c r="BPU202" s="885"/>
      <c r="BPV202" s="885"/>
      <c r="BPW202" s="885"/>
      <c r="BPX202" s="885"/>
      <c r="BPY202" s="885"/>
      <c r="BPZ202" s="885"/>
      <c r="BQA202" s="885"/>
      <c r="BQB202" s="885"/>
      <c r="BQC202" s="885"/>
      <c r="BQD202" s="885"/>
      <c r="BQE202" s="885"/>
      <c r="BQF202" s="885"/>
      <c r="BQG202" s="885"/>
      <c r="BQH202" s="885"/>
      <c r="BQI202" s="885"/>
      <c r="BQJ202" s="885"/>
      <c r="BQK202" s="885"/>
      <c r="BQL202" s="885"/>
      <c r="BQM202" s="885"/>
      <c r="BQN202" s="885"/>
      <c r="BQO202" s="885"/>
      <c r="BQP202" s="885"/>
      <c r="BQQ202" s="885"/>
      <c r="BQR202" s="885"/>
      <c r="BQS202" s="885"/>
      <c r="BQT202" s="885"/>
      <c r="BQU202" s="885"/>
      <c r="BQV202" s="885"/>
      <c r="BQW202" s="885"/>
      <c r="BQX202" s="885"/>
      <c r="BQY202" s="885"/>
      <c r="BQZ202" s="885"/>
      <c r="BRA202" s="885"/>
      <c r="BRB202" s="885"/>
      <c r="BRC202" s="885"/>
      <c r="BRD202" s="885"/>
      <c r="BRE202" s="885"/>
      <c r="BRF202" s="885"/>
      <c r="BRG202" s="885"/>
      <c r="BRH202" s="885"/>
      <c r="BRI202" s="885"/>
      <c r="BRJ202" s="885"/>
      <c r="BRK202" s="885"/>
      <c r="BRL202" s="885"/>
      <c r="BRM202" s="885"/>
      <c r="BRN202" s="885"/>
      <c r="BRO202" s="885"/>
      <c r="BRP202" s="885"/>
      <c r="BRQ202" s="885"/>
      <c r="BRR202" s="885"/>
      <c r="BRS202" s="885"/>
      <c r="BRT202" s="885"/>
      <c r="BRU202" s="885"/>
      <c r="BRV202" s="885"/>
      <c r="BRW202" s="885"/>
      <c r="BRX202" s="885"/>
      <c r="BRY202" s="885"/>
      <c r="BRZ202" s="885"/>
      <c r="BSA202" s="885"/>
      <c r="BSB202" s="885"/>
      <c r="BSC202" s="885"/>
      <c r="BSD202" s="885"/>
      <c r="BSE202" s="885"/>
      <c r="BSF202" s="885"/>
      <c r="BSG202" s="885"/>
      <c r="BSH202" s="885"/>
      <c r="BSI202" s="885"/>
      <c r="BSJ202" s="885"/>
      <c r="BSK202" s="885"/>
      <c r="BSL202" s="885"/>
      <c r="BSM202" s="885"/>
      <c r="BSN202" s="885"/>
      <c r="BSO202" s="885"/>
      <c r="BSP202" s="885"/>
      <c r="BSQ202" s="885"/>
      <c r="BSR202" s="885"/>
      <c r="BSS202" s="885"/>
      <c r="BST202" s="885"/>
      <c r="BSU202" s="885"/>
      <c r="BSV202" s="885"/>
      <c r="BSW202" s="885"/>
      <c r="BSX202" s="885"/>
      <c r="BSY202" s="885"/>
      <c r="BSZ202" s="885"/>
      <c r="BTA202" s="885"/>
      <c r="BTB202" s="885"/>
      <c r="BTC202" s="885"/>
      <c r="BTD202" s="885"/>
      <c r="BTE202" s="885"/>
      <c r="BTF202" s="885"/>
      <c r="BTG202" s="885"/>
      <c r="BTH202" s="885"/>
      <c r="BTI202" s="885"/>
      <c r="BTJ202" s="885"/>
      <c r="BTK202" s="885"/>
      <c r="BTL202" s="885"/>
      <c r="BTM202" s="885"/>
      <c r="BTN202" s="885"/>
      <c r="BTO202" s="885"/>
      <c r="BTP202" s="885"/>
      <c r="BTQ202" s="885"/>
      <c r="BTR202" s="885"/>
      <c r="BTS202" s="885"/>
      <c r="BTT202" s="885"/>
      <c r="BTU202" s="885"/>
      <c r="BTV202" s="885"/>
      <c r="BTW202" s="885"/>
      <c r="BTX202" s="885"/>
      <c r="BTY202" s="885"/>
      <c r="BTZ202" s="885"/>
      <c r="BUA202" s="885"/>
      <c r="BUB202" s="885"/>
      <c r="BUC202" s="885"/>
      <c r="BUD202" s="885"/>
      <c r="BUE202" s="885"/>
      <c r="BUF202" s="885"/>
      <c r="BUG202" s="885"/>
      <c r="BUH202" s="885"/>
      <c r="BUI202" s="885"/>
      <c r="BUJ202" s="885"/>
      <c r="BUK202" s="885"/>
      <c r="BUL202" s="885"/>
      <c r="BUM202" s="885"/>
      <c r="BUN202" s="885"/>
      <c r="BUO202" s="885"/>
      <c r="BUP202" s="885"/>
      <c r="BUQ202" s="885"/>
      <c r="BUR202" s="885"/>
      <c r="BUS202" s="885"/>
      <c r="BUT202" s="885"/>
      <c r="BUU202" s="885"/>
      <c r="BUV202" s="885"/>
      <c r="BUW202" s="885"/>
      <c r="BUX202" s="885"/>
      <c r="BUY202" s="885"/>
      <c r="BUZ202" s="885"/>
      <c r="BVA202" s="885"/>
      <c r="BVB202" s="885"/>
      <c r="BVC202" s="885"/>
      <c r="BVD202" s="885"/>
      <c r="BVE202" s="885"/>
      <c r="BVF202" s="885"/>
      <c r="BVG202" s="885"/>
      <c r="BVH202" s="885"/>
      <c r="BVI202" s="885"/>
      <c r="BVJ202" s="885"/>
      <c r="BVK202" s="885"/>
      <c r="BVL202" s="885"/>
      <c r="BVM202" s="885"/>
      <c r="BVN202" s="885"/>
      <c r="BVO202" s="885"/>
      <c r="BVP202" s="885"/>
      <c r="BVQ202" s="885"/>
      <c r="BVR202" s="885"/>
      <c r="BVS202" s="885"/>
      <c r="BVT202" s="885"/>
      <c r="BVU202" s="885"/>
      <c r="BVV202" s="885"/>
      <c r="BVW202" s="885"/>
      <c r="BVX202" s="885"/>
      <c r="BVY202" s="885"/>
      <c r="BVZ202" s="885"/>
      <c r="BWA202" s="885"/>
      <c r="BWB202" s="885"/>
      <c r="BWC202" s="885"/>
      <c r="BWD202" s="885"/>
      <c r="BWE202" s="885"/>
      <c r="BWF202" s="885"/>
      <c r="BWG202" s="885"/>
      <c r="BWH202" s="885"/>
      <c r="BWI202" s="885"/>
      <c r="BWJ202" s="885"/>
      <c r="BWK202" s="885"/>
      <c r="BWL202" s="885"/>
      <c r="BWM202" s="885"/>
      <c r="BWN202" s="885"/>
      <c r="BWO202" s="885"/>
      <c r="BWP202" s="885"/>
      <c r="BWQ202" s="885"/>
      <c r="BWR202" s="885"/>
      <c r="BWS202" s="885"/>
      <c r="BWT202" s="885"/>
      <c r="BWU202" s="885"/>
      <c r="BWV202" s="885"/>
      <c r="BWW202" s="885"/>
      <c r="BWX202" s="885"/>
      <c r="BWY202" s="885"/>
      <c r="BWZ202" s="885"/>
      <c r="BXA202" s="885"/>
      <c r="BXB202" s="885"/>
      <c r="BXC202" s="885"/>
      <c r="BXD202" s="885"/>
      <c r="BXE202" s="885"/>
      <c r="BXF202" s="885"/>
      <c r="BXG202" s="885"/>
      <c r="BXH202" s="885"/>
      <c r="BXI202" s="885"/>
      <c r="BXJ202" s="885"/>
      <c r="BXK202" s="885"/>
      <c r="BXL202" s="885"/>
      <c r="BXM202" s="885"/>
      <c r="BXN202" s="885"/>
      <c r="BXO202" s="885"/>
      <c r="BXP202" s="885"/>
      <c r="BXQ202" s="885"/>
      <c r="BXR202" s="885"/>
      <c r="BXS202" s="885"/>
      <c r="BXT202" s="885"/>
      <c r="BXU202" s="885"/>
      <c r="BXV202" s="885"/>
      <c r="BXW202" s="885"/>
      <c r="BXX202" s="885"/>
      <c r="BXY202" s="885"/>
      <c r="BXZ202" s="885"/>
      <c r="BYA202" s="885"/>
      <c r="BYB202" s="885"/>
      <c r="BYC202" s="885"/>
      <c r="BYD202" s="885"/>
      <c r="BYE202" s="885"/>
      <c r="BYF202" s="885"/>
      <c r="BYG202" s="885"/>
      <c r="BYH202" s="885"/>
      <c r="BYI202" s="885"/>
      <c r="BYJ202" s="885"/>
      <c r="BYK202" s="885"/>
      <c r="BYL202" s="885"/>
      <c r="BYM202" s="885"/>
      <c r="BYN202" s="885"/>
      <c r="BYO202" s="885"/>
      <c r="BYP202" s="885"/>
      <c r="BYQ202" s="885"/>
      <c r="BYR202" s="885"/>
      <c r="BYS202" s="885"/>
      <c r="BYT202" s="885"/>
      <c r="BYU202" s="885"/>
      <c r="BYV202" s="885"/>
      <c r="BYW202" s="885"/>
      <c r="BYX202" s="885"/>
      <c r="BYY202" s="885"/>
      <c r="BYZ202" s="885"/>
      <c r="BZA202" s="885"/>
      <c r="BZB202" s="885"/>
      <c r="BZC202" s="885"/>
      <c r="BZD202" s="885"/>
      <c r="BZE202" s="885"/>
      <c r="BZF202" s="885"/>
      <c r="BZG202" s="885"/>
      <c r="BZH202" s="885"/>
      <c r="BZI202" s="885"/>
      <c r="BZJ202" s="885"/>
      <c r="BZK202" s="885"/>
      <c r="BZL202" s="885"/>
      <c r="BZM202" s="885"/>
      <c r="BZN202" s="885"/>
      <c r="BZO202" s="885"/>
      <c r="BZP202" s="885"/>
      <c r="BZQ202" s="885"/>
      <c r="BZR202" s="885"/>
      <c r="BZS202" s="885"/>
      <c r="BZT202" s="885"/>
      <c r="BZU202" s="885"/>
      <c r="BZV202" s="885"/>
      <c r="BZW202" s="885"/>
      <c r="BZX202" s="885"/>
      <c r="BZY202" s="885"/>
      <c r="BZZ202" s="885"/>
      <c r="CAA202" s="885"/>
      <c r="CAB202" s="885"/>
      <c r="CAC202" s="885"/>
      <c r="CAD202" s="885"/>
      <c r="CAE202" s="885"/>
      <c r="CAF202" s="885"/>
      <c r="CAG202" s="885"/>
      <c r="CAH202" s="885"/>
      <c r="CAI202" s="885"/>
      <c r="CAJ202" s="885"/>
      <c r="CAK202" s="885"/>
      <c r="CAL202" s="885"/>
      <c r="CAM202" s="885"/>
      <c r="CAN202" s="885"/>
      <c r="CAO202" s="885"/>
      <c r="CAP202" s="885"/>
      <c r="CAQ202" s="885"/>
      <c r="CAR202" s="885"/>
      <c r="CAS202" s="885"/>
      <c r="CAT202" s="885"/>
      <c r="CAU202" s="885"/>
      <c r="CAV202" s="885"/>
      <c r="CAW202" s="885"/>
      <c r="CAX202" s="885"/>
      <c r="CAY202" s="885"/>
      <c r="CAZ202" s="885"/>
      <c r="CBA202" s="885"/>
      <c r="CBB202" s="885"/>
      <c r="CBC202" s="885"/>
      <c r="CBD202" s="885"/>
      <c r="CBE202" s="885"/>
      <c r="CBF202" s="885"/>
      <c r="CBG202" s="885"/>
      <c r="CBH202" s="885"/>
      <c r="CBI202" s="885"/>
      <c r="CBJ202" s="885"/>
      <c r="CBK202" s="885"/>
      <c r="CBL202" s="885"/>
      <c r="CBM202" s="885"/>
      <c r="CBN202" s="885"/>
      <c r="CBO202" s="885"/>
      <c r="CBP202" s="885"/>
      <c r="CBQ202" s="885"/>
      <c r="CBR202" s="885"/>
      <c r="CBS202" s="885"/>
      <c r="CBT202" s="885"/>
      <c r="CBU202" s="885"/>
      <c r="CBV202" s="885"/>
      <c r="CBW202" s="885"/>
      <c r="CBX202" s="885"/>
      <c r="CBY202" s="885"/>
      <c r="CBZ202" s="885"/>
      <c r="CCA202" s="885"/>
      <c r="CCB202" s="885"/>
      <c r="CCC202" s="885"/>
      <c r="CCD202" s="885"/>
      <c r="CCE202" s="885"/>
      <c r="CCF202" s="885"/>
      <c r="CCG202" s="885"/>
      <c r="CCH202" s="885"/>
      <c r="CCI202" s="885"/>
      <c r="CCJ202" s="885"/>
      <c r="CCK202" s="885"/>
      <c r="CCL202" s="885"/>
      <c r="CCM202" s="885"/>
      <c r="CCN202" s="885"/>
      <c r="CCO202" s="885"/>
      <c r="CCP202" s="885"/>
      <c r="CCQ202" s="885"/>
      <c r="CCR202" s="885"/>
      <c r="CCS202" s="885"/>
      <c r="CCT202" s="885"/>
      <c r="CCU202" s="885"/>
      <c r="CCV202" s="885"/>
      <c r="CCW202" s="885"/>
      <c r="CCX202" s="885"/>
      <c r="CCY202" s="885"/>
      <c r="CCZ202" s="885"/>
      <c r="CDA202" s="885"/>
      <c r="CDB202" s="885"/>
      <c r="CDC202" s="885"/>
      <c r="CDD202" s="885"/>
      <c r="CDE202" s="885"/>
      <c r="CDF202" s="885"/>
      <c r="CDG202" s="885"/>
      <c r="CDH202" s="885"/>
      <c r="CDI202" s="885"/>
      <c r="CDJ202" s="885"/>
      <c r="CDK202" s="885"/>
      <c r="CDL202" s="885"/>
      <c r="CDM202" s="885"/>
      <c r="CDN202" s="885"/>
      <c r="CDO202" s="885"/>
      <c r="CDP202" s="885"/>
      <c r="CDQ202" s="885"/>
      <c r="CDR202" s="885"/>
      <c r="CDS202" s="885"/>
      <c r="CDT202" s="885"/>
      <c r="CDU202" s="885"/>
      <c r="CDV202" s="885"/>
      <c r="CDW202" s="885"/>
      <c r="CDX202" s="885"/>
      <c r="CDY202" s="885"/>
      <c r="CDZ202" s="885"/>
      <c r="CEA202" s="885"/>
      <c r="CEB202" s="885"/>
      <c r="CEC202" s="885"/>
      <c r="CED202" s="885"/>
      <c r="CEE202" s="885"/>
      <c r="CEF202" s="885"/>
      <c r="CEG202" s="885"/>
      <c r="CEH202" s="885"/>
      <c r="CEI202" s="885"/>
      <c r="CEJ202" s="885"/>
      <c r="CEK202" s="885"/>
      <c r="CEL202" s="885"/>
      <c r="CEM202" s="885"/>
      <c r="CEN202" s="885"/>
      <c r="CEO202" s="885"/>
      <c r="CEP202" s="885"/>
      <c r="CEQ202" s="885"/>
      <c r="CER202" s="885"/>
      <c r="CES202" s="885"/>
      <c r="CET202" s="885"/>
      <c r="CEU202" s="885"/>
      <c r="CEV202" s="885"/>
      <c r="CEW202" s="885"/>
      <c r="CEX202" s="885"/>
      <c r="CEY202" s="885"/>
      <c r="CEZ202" s="885"/>
      <c r="CFA202" s="885"/>
      <c r="CFB202" s="885"/>
      <c r="CFC202" s="885"/>
      <c r="CFD202" s="885"/>
      <c r="CFE202" s="885"/>
      <c r="CFF202" s="885"/>
      <c r="CFG202" s="885"/>
      <c r="CFH202" s="885"/>
      <c r="CFI202" s="885"/>
      <c r="CFJ202" s="885"/>
      <c r="CFK202" s="885"/>
      <c r="CFL202" s="885"/>
      <c r="CFM202" s="885"/>
      <c r="CFN202" s="885"/>
      <c r="CFO202" s="885"/>
      <c r="CFP202" s="885"/>
      <c r="CFQ202" s="885"/>
      <c r="CFR202" s="885"/>
      <c r="CFS202" s="885"/>
      <c r="CFT202" s="885"/>
      <c r="CFU202" s="885"/>
      <c r="CFV202" s="885"/>
      <c r="CFW202" s="885"/>
      <c r="CFX202" s="885"/>
      <c r="CFY202" s="885"/>
      <c r="CFZ202" s="885"/>
      <c r="CGA202" s="885"/>
      <c r="CGB202" s="885"/>
      <c r="CGC202" s="885"/>
      <c r="CGD202" s="885"/>
      <c r="CGE202" s="885"/>
      <c r="CGF202" s="885"/>
      <c r="CGG202" s="885"/>
      <c r="CGH202" s="885"/>
      <c r="CGI202" s="885"/>
      <c r="CGJ202" s="885"/>
      <c r="CGK202" s="885"/>
      <c r="CGL202" s="885"/>
      <c r="CGM202" s="885"/>
      <c r="CGN202" s="885"/>
      <c r="CGO202" s="885"/>
      <c r="CGP202" s="885"/>
      <c r="CGQ202" s="885"/>
      <c r="CGR202" s="885"/>
      <c r="CGS202" s="885"/>
      <c r="CGT202" s="885"/>
      <c r="CGU202" s="885"/>
      <c r="CGV202" s="885"/>
      <c r="CGW202" s="885"/>
      <c r="CGX202" s="885"/>
      <c r="CGY202" s="885"/>
      <c r="CGZ202" s="885"/>
      <c r="CHA202" s="885"/>
      <c r="CHB202" s="885"/>
      <c r="CHC202" s="885"/>
      <c r="CHD202" s="885"/>
      <c r="CHE202" s="885"/>
      <c r="CHF202" s="885"/>
      <c r="CHG202" s="885"/>
      <c r="CHH202" s="885"/>
      <c r="CHI202" s="885"/>
      <c r="CHJ202" s="885"/>
      <c r="CHK202" s="885"/>
      <c r="CHL202" s="885"/>
      <c r="CHM202" s="885"/>
      <c r="CHN202" s="885"/>
      <c r="CHO202" s="885"/>
      <c r="CHP202" s="885"/>
      <c r="CHQ202" s="885"/>
      <c r="CHR202" s="885"/>
      <c r="CHS202" s="885"/>
      <c r="CHT202" s="885"/>
      <c r="CHU202" s="885"/>
      <c r="CHV202" s="885"/>
      <c r="CHW202" s="885"/>
      <c r="CHX202" s="885"/>
      <c r="CHY202" s="885"/>
      <c r="CHZ202" s="885"/>
      <c r="CIA202" s="885"/>
      <c r="CIB202" s="885"/>
      <c r="CIC202" s="885"/>
      <c r="CID202" s="885"/>
      <c r="CIE202" s="885"/>
      <c r="CIF202" s="885"/>
      <c r="CIG202" s="885"/>
      <c r="CIH202" s="885"/>
      <c r="CII202" s="885"/>
      <c r="CIJ202" s="885"/>
      <c r="CIK202" s="885"/>
      <c r="CIL202" s="885"/>
      <c r="CIM202" s="885"/>
      <c r="CIN202" s="885"/>
      <c r="CIO202" s="885"/>
      <c r="CIP202" s="885"/>
      <c r="CIQ202" s="885"/>
      <c r="CIR202" s="885"/>
      <c r="CIS202" s="885"/>
      <c r="CIT202" s="885"/>
      <c r="CIU202" s="885"/>
      <c r="CIV202" s="885"/>
      <c r="CIW202" s="885"/>
      <c r="CIX202" s="885"/>
      <c r="CIY202" s="885"/>
      <c r="CIZ202" s="885"/>
      <c r="CJA202" s="885"/>
      <c r="CJB202" s="885"/>
      <c r="CJC202" s="885"/>
      <c r="CJD202" s="885"/>
      <c r="CJE202" s="885"/>
      <c r="CJF202" s="885"/>
      <c r="CJG202" s="885"/>
      <c r="CJH202" s="885"/>
      <c r="CJI202" s="885"/>
      <c r="CJJ202" s="885"/>
      <c r="CJK202" s="885"/>
      <c r="CJL202" s="885"/>
      <c r="CJM202" s="885"/>
      <c r="CJN202" s="885"/>
      <c r="CJO202" s="885"/>
      <c r="CJP202" s="885"/>
      <c r="CJQ202" s="885"/>
      <c r="CJR202" s="885"/>
      <c r="CJS202" s="885"/>
      <c r="CJT202" s="885"/>
      <c r="CJU202" s="885"/>
      <c r="CJV202" s="885"/>
      <c r="CJW202" s="885"/>
      <c r="CJX202" s="885"/>
      <c r="CJY202" s="885"/>
      <c r="CJZ202" s="885"/>
      <c r="CKA202" s="885"/>
      <c r="CKB202" s="885"/>
      <c r="CKC202" s="885"/>
      <c r="CKD202" s="885"/>
      <c r="CKE202" s="885"/>
      <c r="CKF202" s="885"/>
      <c r="CKG202" s="885"/>
      <c r="CKH202" s="885"/>
      <c r="CKI202" s="885"/>
      <c r="CKJ202" s="885"/>
      <c r="CKK202" s="885"/>
      <c r="CKL202" s="885"/>
      <c r="CKM202" s="885"/>
      <c r="CKN202" s="885"/>
      <c r="CKO202" s="885"/>
      <c r="CKP202" s="885"/>
      <c r="CKQ202" s="885"/>
      <c r="CKR202" s="885"/>
      <c r="CKS202" s="885"/>
      <c r="CKT202" s="885"/>
      <c r="CKU202" s="885"/>
      <c r="CKV202" s="885"/>
      <c r="CKW202" s="885"/>
      <c r="CKX202" s="885"/>
      <c r="CKY202" s="885"/>
      <c r="CKZ202" s="885"/>
      <c r="CLA202" s="885"/>
      <c r="CLB202" s="885"/>
      <c r="CLC202" s="885"/>
      <c r="CLD202" s="885"/>
      <c r="CLE202" s="885"/>
      <c r="CLF202" s="885"/>
      <c r="CLG202" s="885"/>
      <c r="CLH202" s="885"/>
      <c r="CLI202" s="885"/>
      <c r="CLJ202" s="885"/>
      <c r="CLK202" s="885"/>
      <c r="CLL202" s="885"/>
      <c r="CLM202" s="885"/>
      <c r="CLN202" s="885"/>
      <c r="CLO202" s="885"/>
      <c r="CLP202" s="885"/>
      <c r="CLQ202" s="885"/>
      <c r="CLR202" s="885"/>
      <c r="CLS202" s="885"/>
      <c r="CLT202" s="885"/>
      <c r="CLU202" s="885"/>
      <c r="CLV202" s="885"/>
      <c r="CLW202" s="885"/>
      <c r="CLX202" s="885"/>
      <c r="CLY202" s="885"/>
      <c r="CLZ202" s="885"/>
      <c r="CMA202" s="885"/>
      <c r="CMB202" s="885"/>
      <c r="CMC202" s="885"/>
      <c r="CMD202" s="885"/>
      <c r="CME202" s="885"/>
      <c r="CMF202" s="885"/>
      <c r="CMG202" s="885"/>
      <c r="CMH202" s="885"/>
      <c r="CMI202" s="885"/>
      <c r="CMJ202" s="885"/>
      <c r="CMK202" s="885"/>
      <c r="CML202" s="885"/>
      <c r="CMM202" s="885"/>
      <c r="CMN202" s="885"/>
      <c r="CMO202" s="885"/>
      <c r="CMP202" s="885"/>
      <c r="CMQ202" s="885"/>
      <c r="CMR202" s="885"/>
      <c r="CMS202" s="885"/>
      <c r="CMT202" s="885"/>
      <c r="CMU202" s="885"/>
      <c r="CMV202" s="885"/>
      <c r="CMW202" s="885"/>
      <c r="CMX202" s="885"/>
      <c r="CMY202" s="885"/>
      <c r="CMZ202" s="885"/>
      <c r="CNA202" s="885"/>
      <c r="CNB202" s="885"/>
      <c r="CNC202" s="885"/>
      <c r="CND202" s="885"/>
      <c r="CNE202" s="885"/>
      <c r="CNF202" s="885"/>
      <c r="CNG202" s="885"/>
      <c r="CNH202" s="885"/>
      <c r="CNI202" s="885"/>
      <c r="CNJ202" s="885"/>
      <c r="CNK202" s="885"/>
      <c r="CNL202" s="885"/>
      <c r="CNM202" s="885"/>
      <c r="CNN202" s="885"/>
      <c r="CNO202" s="885"/>
      <c r="CNP202" s="885"/>
      <c r="CNQ202" s="885"/>
      <c r="CNR202" s="885"/>
      <c r="CNS202" s="885"/>
      <c r="CNT202" s="885"/>
      <c r="CNU202" s="885"/>
      <c r="CNV202" s="885"/>
      <c r="CNW202" s="885"/>
      <c r="CNX202" s="885"/>
      <c r="CNY202" s="885"/>
      <c r="CNZ202" s="885"/>
      <c r="COA202" s="885"/>
      <c r="COB202" s="885"/>
      <c r="COC202" s="885"/>
      <c r="COD202" s="885"/>
      <c r="COE202" s="885"/>
      <c r="COF202" s="885"/>
      <c r="COG202" s="885"/>
      <c r="COH202" s="885"/>
      <c r="COI202" s="885"/>
      <c r="COJ202" s="885"/>
      <c r="COK202" s="885"/>
      <c r="COL202" s="885"/>
      <c r="COM202" s="885"/>
      <c r="CON202" s="885"/>
      <c r="COO202" s="885"/>
      <c r="COP202" s="885"/>
      <c r="COQ202" s="885"/>
      <c r="COR202" s="885"/>
      <c r="COS202" s="885"/>
      <c r="COT202" s="885"/>
      <c r="COU202" s="885"/>
      <c r="COV202" s="885"/>
      <c r="COW202" s="885"/>
      <c r="COX202" s="885"/>
      <c r="COY202" s="885"/>
      <c r="COZ202" s="885"/>
      <c r="CPA202" s="885"/>
      <c r="CPB202" s="885"/>
      <c r="CPC202" s="885"/>
      <c r="CPD202" s="885"/>
      <c r="CPE202" s="885"/>
      <c r="CPF202" s="885"/>
      <c r="CPG202" s="885"/>
      <c r="CPH202" s="885"/>
      <c r="CPI202" s="885"/>
      <c r="CPJ202" s="885"/>
      <c r="CPK202" s="885"/>
      <c r="CPL202" s="885"/>
      <c r="CPM202" s="885"/>
      <c r="CPN202" s="885"/>
      <c r="CPO202" s="885"/>
      <c r="CPP202" s="885"/>
      <c r="CPQ202" s="885"/>
      <c r="CPR202" s="885"/>
      <c r="CPS202" s="885"/>
      <c r="CPT202" s="885"/>
      <c r="CPU202" s="885"/>
      <c r="CPV202" s="885"/>
      <c r="CPW202" s="885"/>
      <c r="CPX202" s="885"/>
      <c r="CPY202" s="885"/>
      <c r="CPZ202" s="885"/>
      <c r="CQA202" s="885"/>
      <c r="CQB202" s="885"/>
      <c r="CQC202" s="885"/>
      <c r="CQD202" s="885"/>
      <c r="CQE202" s="885"/>
      <c r="CQF202" s="885"/>
      <c r="CQG202" s="885"/>
      <c r="CQH202" s="885"/>
      <c r="CQI202" s="885"/>
      <c r="CQJ202" s="885"/>
      <c r="CQK202" s="885"/>
      <c r="CQL202" s="885"/>
      <c r="CQM202" s="885"/>
      <c r="CQN202" s="885"/>
      <c r="CQO202" s="885"/>
      <c r="CQP202" s="885"/>
      <c r="CQQ202" s="885"/>
      <c r="CQR202" s="885"/>
      <c r="CQS202" s="885"/>
      <c r="CQT202" s="885"/>
      <c r="CQU202" s="885"/>
      <c r="CQV202" s="885"/>
      <c r="CQW202" s="885"/>
      <c r="CQX202" s="885"/>
      <c r="CQY202" s="885"/>
      <c r="CQZ202" s="885"/>
      <c r="CRA202" s="885"/>
      <c r="CRB202" s="885"/>
      <c r="CRC202" s="885"/>
      <c r="CRD202" s="885"/>
      <c r="CRE202" s="885"/>
      <c r="CRF202" s="885"/>
      <c r="CRG202" s="885"/>
      <c r="CRH202" s="885"/>
      <c r="CRI202" s="885"/>
      <c r="CRJ202" s="885"/>
      <c r="CRK202" s="885"/>
      <c r="CRL202" s="885"/>
      <c r="CRM202" s="885"/>
      <c r="CRN202" s="885"/>
      <c r="CRO202" s="885"/>
      <c r="CRP202" s="885"/>
      <c r="CRQ202" s="885"/>
      <c r="CRR202" s="885"/>
      <c r="CRS202" s="885"/>
      <c r="CRT202" s="885"/>
      <c r="CRU202" s="885"/>
      <c r="CRV202" s="885"/>
      <c r="CRW202" s="885"/>
      <c r="CRX202" s="885"/>
      <c r="CRY202" s="885"/>
      <c r="CRZ202" s="885"/>
      <c r="CSA202" s="885"/>
      <c r="CSB202" s="885"/>
      <c r="CSC202" s="885"/>
      <c r="CSD202" s="885"/>
      <c r="CSE202" s="885"/>
      <c r="CSF202" s="885"/>
      <c r="CSG202" s="885"/>
      <c r="CSH202" s="885"/>
      <c r="CSI202" s="885"/>
      <c r="CSJ202" s="885"/>
      <c r="CSK202" s="885"/>
      <c r="CSL202" s="885"/>
      <c r="CSM202" s="885"/>
      <c r="CSN202" s="885"/>
      <c r="CSO202" s="885"/>
      <c r="CSP202" s="885"/>
      <c r="CSQ202" s="885"/>
      <c r="CSR202" s="885"/>
      <c r="CSS202" s="885"/>
      <c r="CST202" s="885"/>
      <c r="CSU202" s="885"/>
      <c r="CSV202" s="885"/>
      <c r="CSW202" s="885"/>
      <c r="CSX202" s="885"/>
      <c r="CSY202" s="885"/>
      <c r="CSZ202" s="885"/>
      <c r="CTA202" s="885"/>
      <c r="CTB202" s="885"/>
      <c r="CTC202" s="885"/>
      <c r="CTD202" s="885"/>
      <c r="CTE202" s="885"/>
      <c r="CTF202" s="885"/>
      <c r="CTG202" s="885"/>
      <c r="CTH202" s="885"/>
      <c r="CTI202" s="885"/>
      <c r="CTJ202" s="885"/>
      <c r="CTK202" s="885"/>
      <c r="CTL202" s="885"/>
      <c r="CTM202" s="885"/>
      <c r="CTN202" s="885"/>
      <c r="CTO202" s="885"/>
      <c r="CTP202" s="885"/>
      <c r="CTQ202" s="885"/>
      <c r="CTR202" s="885"/>
      <c r="CTS202" s="885"/>
      <c r="CTT202" s="885"/>
      <c r="CTU202" s="885"/>
      <c r="CTV202" s="885"/>
      <c r="CTW202" s="885"/>
      <c r="CTX202" s="885"/>
      <c r="CTY202" s="885"/>
      <c r="CTZ202" s="885"/>
      <c r="CUA202" s="885"/>
      <c r="CUB202" s="885"/>
      <c r="CUC202" s="885"/>
      <c r="CUD202" s="885"/>
      <c r="CUE202" s="885"/>
      <c r="CUF202" s="885"/>
      <c r="CUG202" s="885"/>
      <c r="CUH202" s="885"/>
      <c r="CUI202" s="885"/>
      <c r="CUJ202" s="885"/>
      <c r="CUK202" s="885"/>
      <c r="CUL202" s="885"/>
      <c r="CUM202" s="885"/>
      <c r="CUN202" s="885"/>
      <c r="CUO202" s="885"/>
      <c r="CUP202" s="885"/>
      <c r="CUQ202" s="885"/>
      <c r="CUR202" s="885"/>
      <c r="CUS202" s="885"/>
      <c r="CUT202" s="885"/>
      <c r="CUU202" s="885"/>
      <c r="CUV202" s="885"/>
      <c r="CUW202" s="885"/>
      <c r="CUX202" s="885"/>
      <c r="CUY202" s="885"/>
      <c r="CUZ202" s="885"/>
      <c r="CVA202" s="885"/>
      <c r="CVB202" s="885"/>
      <c r="CVC202" s="885"/>
      <c r="CVD202" s="885"/>
      <c r="CVE202" s="885"/>
      <c r="CVF202" s="885"/>
      <c r="CVG202" s="885"/>
      <c r="CVH202" s="885"/>
      <c r="CVI202" s="885"/>
      <c r="CVJ202" s="885"/>
      <c r="CVK202" s="885"/>
      <c r="CVL202" s="885"/>
      <c r="CVM202" s="885"/>
      <c r="CVN202" s="885"/>
      <c r="CVO202" s="885"/>
      <c r="CVP202" s="885"/>
      <c r="CVQ202" s="885"/>
      <c r="CVR202" s="885"/>
      <c r="CVS202" s="885"/>
      <c r="CVT202" s="885"/>
      <c r="CVU202" s="885"/>
      <c r="CVV202" s="885"/>
      <c r="CVW202" s="885"/>
      <c r="CVX202" s="885"/>
      <c r="CVY202" s="885"/>
      <c r="CVZ202" s="885"/>
      <c r="CWA202" s="885"/>
      <c r="CWB202" s="885"/>
      <c r="CWC202" s="885"/>
      <c r="CWD202" s="885"/>
      <c r="CWE202" s="885"/>
      <c r="CWF202" s="885"/>
      <c r="CWG202" s="885"/>
      <c r="CWH202" s="885"/>
      <c r="CWI202" s="885"/>
      <c r="CWJ202" s="885"/>
      <c r="CWK202" s="885"/>
      <c r="CWL202" s="885"/>
      <c r="CWM202" s="885"/>
      <c r="CWN202" s="885"/>
      <c r="CWO202" s="885"/>
      <c r="CWP202" s="885"/>
      <c r="CWQ202" s="885"/>
      <c r="CWR202" s="885"/>
      <c r="CWS202" s="885"/>
      <c r="CWT202" s="885"/>
      <c r="CWU202" s="885"/>
      <c r="CWV202" s="885"/>
      <c r="CWW202" s="885"/>
      <c r="CWX202" s="885"/>
      <c r="CWY202" s="885"/>
      <c r="CWZ202" s="885"/>
      <c r="CXA202" s="885"/>
      <c r="CXB202" s="885"/>
      <c r="CXC202" s="885"/>
      <c r="CXD202" s="885"/>
      <c r="CXE202" s="885"/>
      <c r="CXF202" s="885"/>
      <c r="CXG202" s="885"/>
      <c r="CXH202" s="885"/>
      <c r="CXI202" s="885"/>
      <c r="CXJ202" s="885"/>
      <c r="CXK202" s="885"/>
      <c r="CXL202" s="885"/>
      <c r="CXM202" s="885"/>
      <c r="CXN202" s="885"/>
      <c r="CXO202" s="885"/>
      <c r="CXP202" s="885"/>
      <c r="CXQ202" s="885"/>
      <c r="CXR202" s="885"/>
      <c r="CXS202" s="885"/>
      <c r="CXT202" s="885"/>
      <c r="CXU202" s="885"/>
      <c r="CXV202" s="885"/>
      <c r="CXW202" s="885"/>
      <c r="CXX202" s="885"/>
      <c r="CXY202" s="885"/>
      <c r="CXZ202" s="885"/>
      <c r="CYA202" s="885"/>
      <c r="CYB202" s="885"/>
      <c r="CYC202" s="885"/>
      <c r="CYD202" s="885"/>
      <c r="CYE202" s="885"/>
      <c r="CYF202" s="885"/>
      <c r="CYG202" s="885"/>
      <c r="CYH202" s="885"/>
      <c r="CYI202" s="885"/>
      <c r="CYJ202" s="885"/>
      <c r="CYK202" s="885"/>
      <c r="CYL202" s="885"/>
      <c r="CYM202" s="885"/>
      <c r="CYN202" s="885"/>
      <c r="CYO202" s="885"/>
      <c r="CYP202" s="885"/>
      <c r="CYQ202" s="885"/>
      <c r="CYR202" s="885"/>
      <c r="CYS202" s="885"/>
      <c r="CYT202" s="885"/>
      <c r="CYU202" s="885"/>
      <c r="CYV202" s="885"/>
      <c r="CYW202" s="885"/>
      <c r="CYX202" s="885"/>
      <c r="CYY202" s="885"/>
      <c r="CYZ202" s="885"/>
      <c r="CZA202" s="885"/>
      <c r="CZB202" s="885"/>
      <c r="CZC202" s="885"/>
      <c r="CZD202" s="885"/>
      <c r="CZE202" s="885"/>
      <c r="CZF202" s="885"/>
      <c r="CZG202" s="885"/>
      <c r="CZH202" s="885"/>
      <c r="CZI202" s="885"/>
      <c r="CZJ202" s="885"/>
      <c r="CZK202" s="885"/>
      <c r="CZL202" s="885"/>
      <c r="CZM202" s="885"/>
      <c r="CZN202" s="885"/>
      <c r="CZO202" s="885"/>
      <c r="CZP202" s="885"/>
      <c r="CZQ202" s="885"/>
      <c r="CZR202" s="885"/>
      <c r="CZS202" s="885"/>
      <c r="CZT202" s="885"/>
      <c r="CZU202" s="885"/>
      <c r="CZV202" s="885"/>
      <c r="CZW202" s="885"/>
      <c r="CZX202" s="885"/>
      <c r="CZY202" s="885"/>
      <c r="CZZ202" s="885"/>
      <c r="DAA202" s="885"/>
      <c r="DAB202" s="885"/>
      <c r="DAC202" s="885"/>
      <c r="DAD202" s="885"/>
      <c r="DAE202" s="885"/>
      <c r="DAF202" s="885"/>
      <c r="DAG202" s="885"/>
      <c r="DAH202" s="885"/>
      <c r="DAI202" s="885"/>
      <c r="DAJ202" s="885"/>
      <c r="DAK202" s="885"/>
      <c r="DAL202" s="885"/>
      <c r="DAM202" s="885"/>
      <c r="DAN202" s="885"/>
      <c r="DAO202" s="885"/>
      <c r="DAP202" s="885"/>
      <c r="DAQ202" s="885"/>
      <c r="DAR202" s="885"/>
      <c r="DAS202" s="885"/>
      <c r="DAT202" s="885"/>
      <c r="DAU202" s="885"/>
      <c r="DAV202" s="885"/>
      <c r="DAW202" s="885"/>
      <c r="DAX202" s="885"/>
      <c r="DAY202" s="885"/>
      <c r="DAZ202" s="885"/>
      <c r="DBA202" s="885"/>
      <c r="DBB202" s="885"/>
      <c r="DBC202" s="885"/>
      <c r="DBD202" s="885"/>
      <c r="DBE202" s="885"/>
      <c r="DBF202" s="885"/>
      <c r="DBG202" s="885"/>
      <c r="DBH202" s="885"/>
      <c r="DBI202" s="885"/>
      <c r="DBJ202" s="885"/>
      <c r="DBK202" s="885"/>
      <c r="DBL202" s="885"/>
      <c r="DBM202" s="885"/>
      <c r="DBN202" s="885"/>
      <c r="DBO202" s="885"/>
      <c r="DBP202" s="885"/>
      <c r="DBQ202" s="885"/>
      <c r="DBR202" s="885"/>
      <c r="DBS202" s="885"/>
      <c r="DBT202" s="885"/>
      <c r="DBU202" s="885"/>
      <c r="DBV202" s="885"/>
      <c r="DBW202" s="885"/>
      <c r="DBX202" s="885"/>
      <c r="DBY202" s="885"/>
      <c r="DBZ202" s="885"/>
      <c r="DCA202" s="885"/>
      <c r="DCB202" s="885"/>
      <c r="DCC202" s="885"/>
      <c r="DCD202" s="885"/>
      <c r="DCE202" s="885"/>
      <c r="DCF202" s="885"/>
      <c r="DCG202" s="885"/>
      <c r="DCH202" s="885"/>
      <c r="DCI202" s="885"/>
      <c r="DCJ202" s="885"/>
      <c r="DCK202" s="885"/>
      <c r="DCL202" s="885"/>
      <c r="DCM202" s="885"/>
      <c r="DCN202" s="885"/>
      <c r="DCO202" s="885"/>
      <c r="DCP202" s="885"/>
      <c r="DCQ202" s="885"/>
      <c r="DCR202" s="885"/>
      <c r="DCS202" s="885"/>
      <c r="DCT202" s="885"/>
      <c r="DCU202" s="885"/>
      <c r="DCV202" s="885"/>
      <c r="DCW202" s="885"/>
      <c r="DCX202" s="885"/>
      <c r="DCY202" s="885"/>
      <c r="DCZ202" s="885"/>
      <c r="DDA202" s="885"/>
      <c r="DDB202" s="885"/>
      <c r="DDC202" s="885"/>
      <c r="DDD202" s="885"/>
      <c r="DDE202" s="885"/>
      <c r="DDF202" s="885"/>
      <c r="DDG202" s="885"/>
      <c r="DDH202" s="885"/>
      <c r="DDI202" s="885"/>
      <c r="DDJ202" s="885"/>
      <c r="DDK202" s="885"/>
      <c r="DDL202" s="885"/>
      <c r="DDM202" s="885"/>
      <c r="DDN202" s="885"/>
      <c r="DDO202" s="885"/>
      <c r="DDP202" s="885"/>
      <c r="DDQ202" s="885"/>
      <c r="DDR202" s="885"/>
      <c r="DDS202" s="885"/>
      <c r="DDT202" s="885"/>
      <c r="DDU202" s="885"/>
      <c r="DDV202" s="885"/>
      <c r="DDW202" s="885"/>
      <c r="DDX202" s="885"/>
      <c r="DDY202" s="885"/>
      <c r="DDZ202" s="885"/>
      <c r="DEA202" s="885"/>
      <c r="DEB202" s="885"/>
      <c r="DEC202" s="885"/>
      <c r="DED202" s="885"/>
      <c r="DEE202" s="885"/>
      <c r="DEF202" s="885"/>
      <c r="DEG202" s="885"/>
      <c r="DEH202" s="885"/>
      <c r="DEI202" s="885"/>
      <c r="DEJ202" s="885"/>
      <c r="DEK202" s="885"/>
      <c r="DEL202" s="885"/>
      <c r="DEM202" s="885"/>
      <c r="DEN202" s="885"/>
      <c r="DEO202" s="885"/>
      <c r="DEP202" s="885"/>
      <c r="DEQ202" s="885"/>
      <c r="DER202" s="885"/>
      <c r="DES202" s="885"/>
      <c r="DET202" s="885"/>
      <c r="DEU202" s="885"/>
      <c r="DEV202" s="885"/>
      <c r="DEW202" s="885"/>
      <c r="DEX202" s="885"/>
      <c r="DEY202" s="885"/>
      <c r="DEZ202" s="885"/>
      <c r="DFA202" s="885"/>
      <c r="DFB202" s="885"/>
      <c r="DFC202" s="885"/>
      <c r="DFD202" s="885"/>
      <c r="DFE202" s="885"/>
      <c r="DFF202" s="885"/>
      <c r="DFG202" s="885"/>
      <c r="DFH202" s="885"/>
      <c r="DFI202" s="885"/>
      <c r="DFJ202" s="885"/>
      <c r="DFK202" s="885"/>
      <c r="DFL202" s="885"/>
      <c r="DFM202" s="885"/>
      <c r="DFN202" s="885"/>
      <c r="DFO202" s="885"/>
      <c r="DFP202" s="885"/>
      <c r="DFQ202" s="885"/>
      <c r="DFR202" s="885"/>
      <c r="DFS202" s="885"/>
      <c r="DFT202" s="885"/>
      <c r="DFU202" s="885"/>
      <c r="DFV202" s="885"/>
      <c r="DFW202" s="885"/>
      <c r="DFX202" s="885"/>
      <c r="DFY202" s="885"/>
      <c r="DFZ202" s="885"/>
      <c r="DGA202" s="885"/>
      <c r="DGB202" s="885"/>
      <c r="DGC202" s="885"/>
      <c r="DGD202" s="885"/>
      <c r="DGE202" s="885"/>
      <c r="DGF202" s="885"/>
      <c r="DGG202" s="885"/>
      <c r="DGH202" s="885"/>
      <c r="DGI202" s="885"/>
      <c r="DGJ202" s="885"/>
      <c r="DGK202" s="885"/>
      <c r="DGL202" s="885"/>
      <c r="DGM202" s="885"/>
      <c r="DGN202" s="885"/>
      <c r="DGO202" s="885"/>
      <c r="DGP202" s="885"/>
      <c r="DGQ202" s="885"/>
      <c r="DGR202" s="885"/>
      <c r="DGS202" s="885"/>
      <c r="DGT202" s="885"/>
      <c r="DGU202" s="885"/>
      <c r="DGV202" s="885"/>
      <c r="DGW202" s="885"/>
      <c r="DGX202" s="885"/>
      <c r="DGY202" s="885"/>
      <c r="DGZ202" s="885"/>
      <c r="DHA202" s="885"/>
      <c r="DHB202" s="885"/>
      <c r="DHC202" s="885"/>
      <c r="DHD202" s="885"/>
      <c r="DHE202" s="885"/>
      <c r="DHF202" s="885"/>
      <c r="DHG202" s="885"/>
      <c r="DHH202" s="885"/>
      <c r="DHI202" s="885"/>
      <c r="DHJ202" s="885"/>
      <c r="DHK202" s="885"/>
      <c r="DHL202" s="885"/>
      <c r="DHM202" s="885"/>
      <c r="DHN202" s="885"/>
      <c r="DHO202" s="885"/>
      <c r="DHP202" s="885"/>
      <c r="DHQ202" s="885"/>
      <c r="DHR202" s="885"/>
      <c r="DHS202" s="885"/>
      <c r="DHT202" s="885"/>
      <c r="DHU202" s="885"/>
      <c r="DHV202" s="885"/>
      <c r="DHW202" s="885"/>
      <c r="DHX202" s="885"/>
      <c r="DHY202" s="885"/>
      <c r="DHZ202" s="885"/>
      <c r="DIA202" s="885"/>
      <c r="DIB202" s="885"/>
      <c r="DIC202" s="885"/>
      <c r="DID202" s="885"/>
      <c r="DIE202" s="885"/>
      <c r="DIF202" s="885"/>
      <c r="DIG202" s="885"/>
      <c r="DIH202" s="885"/>
      <c r="DII202" s="885"/>
      <c r="DIJ202" s="885"/>
      <c r="DIK202" s="885"/>
      <c r="DIL202" s="885"/>
      <c r="DIM202" s="885"/>
      <c r="DIN202" s="885"/>
      <c r="DIO202" s="885"/>
      <c r="DIP202" s="885"/>
      <c r="DIQ202" s="885"/>
      <c r="DIR202" s="885"/>
      <c r="DIS202" s="885"/>
      <c r="DIT202" s="885"/>
      <c r="DIU202" s="885"/>
      <c r="DIV202" s="885"/>
      <c r="DIW202" s="885"/>
      <c r="DIX202" s="885"/>
      <c r="DIY202" s="885"/>
      <c r="DIZ202" s="885"/>
      <c r="DJA202" s="885"/>
      <c r="DJB202" s="885"/>
      <c r="DJC202" s="885"/>
      <c r="DJD202" s="885"/>
      <c r="DJE202" s="885"/>
      <c r="DJF202" s="885"/>
      <c r="DJG202" s="885"/>
      <c r="DJH202" s="885"/>
      <c r="DJI202" s="885"/>
      <c r="DJJ202" s="885"/>
      <c r="DJK202" s="885"/>
      <c r="DJL202" s="885"/>
      <c r="DJM202" s="885"/>
      <c r="DJN202" s="885"/>
      <c r="DJO202" s="885"/>
      <c r="DJP202" s="885"/>
      <c r="DJQ202" s="885"/>
      <c r="DJR202" s="885"/>
      <c r="DJS202" s="885"/>
      <c r="DJT202" s="885"/>
      <c r="DJU202" s="885"/>
      <c r="DJV202" s="885"/>
      <c r="DJW202" s="885"/>
      <c r="DJX202" s="885"/>
      <c r="DJY202" s="885"/>
      <c r="DJZ202" s="885"/>
      <c r="DKA202" s="885"/>
      <c r="DKB202" s="885"/>
      <c r="DKC202" s="885"/>
      <c r="DKD202" s="885"/>
      <c r="DKE202" s="885"/>
      <c r="DKF202" s="885"/>
      <c r="DKG202" s="885"/>
      <c r="DKH202" s="885"/>
      <c r="DKI202" s="885"/>
      <c r="DKJ202" s="885"/>
      <c r="DKK202" s="885"/>
      <c r="DKL202" s="885"/>
      <c r="DKM202" s="885"/>
      <c r="DKN202" s="885"/>
      <c r="DKO202" s="885"/>
      <c r="DKP202" s="885"/>
      <c r="DKQ202" s="885"/>
      <c r="DKR202" s="885"/>
      <c r="DKS202" s="885"/>
      <c r="DKT202" s="885"/>
      <c r="DKU202" s="885"/>
      <c r="DKV202" s="885"/>
      <c r="DKW202" s="885"/>
      <c r="DKX202" s="885"/>
      <c r="DKY202" s="885"/>
      <c r="DKZ202" s="885"/>
      <c r="DLA202" s="885"/>
      <c r="DLB202" s="885"/>
      <c r="DLC202" s="885"/>
      <c r="DLD202" s="885"/>
      <c r="DLE202" s="885"/>
      <c r="DLF202" s="885"/>
      <c r="DLG202" s="885"/>
      <c r="DLH202" s="885"/>
      <c r="DLI202" s="885"/>
      <c r="DLJ202" s="885"/>
      <c r="DLK202" s="885"/>
      <c r="DLL202" s="885"/>
      <c r="DLM202" s="885"/>
      <c r="DLN202" s="885"/>
      <c r="DLO202" s="885"/>
      <c r="DLP202" s="885"/>
      <c r="DLQ202" s="885"/>
      <c r="DLR202" s="885"/>
      <c r="DLS202" s="885"/>
      <c r="DLT202" s="885"/>
      <c r="DLU202" s="885"/>
      <c r="DLV202" s="885"/>
      <c r="DLW202" s="885"/>
      <c r="DLX202" s="885"/>
      <c r="DLY202" s="885"/>
      <c r="DLZ202" s="885"/>
      <c r="DMA202" s="885"/>
      <c r="DMB202" s="885"/>
      <c r="DMC202" s="885"/>
      <c r="DMD202" s="885"/>
      <c r="DME202" s="885"/>
      <c r="DMF202" s="885"/>
      <c r="DMG202" s="885"/>
      <c r="DMH202" s="885"/>
      <c r="DMI202" s="885"/>
      <c r="DMJ202" s="885"/>
      <c r="DMK202" s="885"/>
      <c r="DML202" s="885"/>
      <c r="DMM202" s="885"/>
      <c r="DMN202" s="885"/>
      <c r="DMO202" s="885"/>
      <c r="DMP202" s="885"/>
      <c r="DMQ202" s="885"/>
      <c r="DMR202" s="885"/>
      <c r="DMS202" s="885"/>
      <c r="DMT202" s="885"/>
      <c r="DMU202" s="885"/>
      <c r="DMV202" s="885"/>
      <c r="DMW202" s="885"/>
      <c r="DMX202" s="885"/>
      <c r="DMY202" s="885"/>
      <c r="DMZ202" s="885"/>
      <c r="DNA202" s="885"/>
      <c r="DNB202" s="885"/>
      <c r="DNC202" s="885"/>
      <c r="DND202" s="885"/>
      <c r="DNE202" s="885"/>
      <c r="DNF202" s="885"/>
      <c r="DNG202" s="885"/>
      <c r="DNH202" s="885"/>
      <c r="DNI202" s="885"/>
      <c r="DNJ202" s="885"/>
      <c r="DNK202" s="885"/>
      <c r="DNL202" s="885"/>
      <c r="DNM202" s="885"/>
      <c r="DNN202" s="885"/>
      <c r="DNO202" s="885"/>
      <c r="DNP202" s="885"/>
      <c r="DNQ202" s="885"/>
      <c r="DNR202" s="885"/>
      <c r="DNS202" s="885"/>
      <c r="DNT202" s="885"/>
      <c r="DNU202" s="885"/>
      <c r="DNV202" s="885"/>
      <c r="DNW202" s="885"/>
      <c r="DNX202" s="885"/>
      <c r="DNY202" s="885"/>
      <c r="DNZ202" s="885"/>
      <c r="DOA202" s="885"/>
      <c r="DOB202" s="885"/>
      <c r="DOC202" s="885"/>
      <c r="DOD202" s="885"/>
      <c r="DOE202" s="885"/>
      <c r="DOF202" s="885"/>
      <c r="DOG202" s="885"/>
      <c r="DOH202" s="885"/>
      <c r="DOI202" s="885"/>
      <c r="DOJ202" s="885"/>
      <c r="DOK202" s="885"/>
      <c r="DOL202" s="885"/>
      <c r="DOM202" s="885"/>
      <c r="DON202" s="885"/>
      <c r="DOO202" s="885"/>
      <c r="DOP202" s="885"/>
      <c r="DOQ202" s="885"/>
      <c r="DOR202" s="885"/>
      <c r="DOS202" s="885"/>
      <c r="DOT202" s="885"/>
      <c r="DOU202" s="885"/>
      <c r="DOV202" s="885"/>
      <c r="DOW202" s="885"/>
      <c r="DOX202" s="885"/>
      <c r="DOY202" s="885"/>
      <c r="DOZ202" s="885"/>
      <c r="DPA202" s="885"/>
      <c r="DPB202" s="885"/>
      <c r="DPC202" s="885"/>
      <c r="DPD202" s="885"/>
      <c r="DPE202" s="885"/>
      <c r="DPF202" s="885"/>
      <c r="DPG202" s="885"/>
      <c r="DPH202" s="885"/>
      <c r="DPI202" s="885"/>
      <c r="DPJ202" s="885"/>
      <c r="DPK202" s="885"/>
      <c r="DPL202" s="885"/>
      <c r="DPM202" s="885"/>
      <c r="DPN202" s="885"/>
      <c r="DPO202" s="885"/>
      <c r="DPP202" s="885"/>
      <c r="DPQ202" s="885"/>
      <c r="DPR202" s="885"/>
      <c r="DPS202" s="885"/>
      <c r="DPT202" s="885"/>
      <c r="DPU202" s="885"/>
      <c r="DPV202" s="885"/>
      <c r="DPW202" s="885"/>
      <c r="DPX202" s="885"/>
      <c r="DPY202" s="885"/>
      <c r="DPZ202" s="885"/>
      <c r="DQA202" s="885"/>
      <c r="DQB202" s="885"/>
      <c r="DQC202" s="885"/>
      <c r="DQD202" s="885"/>
      <c r="DQE202" s="885"/>
      <c r="DQF202" s="885"/>
      <c r="DQG202" s="885"/>
      <c r="DQH202" s="885"/>
      <c r="DQI202" s="885"/>
      <c r="DQJ202" s="885"/>
      <c r="DQK202" s="885"/>
      <c r="DQL202" s="885"/>
      <c r="DQM202" s="885"/>
      <c r="DQN202" s="885"/>
      <c r="DQO202" s="885"/>
      <c r="DQP202" s="885"/>
      <c r="DQQ202" s="885"/>
      <c r="DQR202" s="885"/>
      <c r="DQS202" s="885"/>
      <c r="DQT202" s="885"/>
      <c r="DQU202" s="885"/>
      <c r="DQV202" s="885"/>
      <c r="DQW202" s="885"/>
      <c r="DQX202" s="885"/>
      <c r="DQY202" s="885"/>
      <c r="DQZ202" s="885"/>
      <c r="DRA202" s="885"/>
      <c r="DRB202" s="885"/>
      <c r="DRC202" s="885"/>
      <c r="DRD202" s="885"/>
      <c r="DRE202" s="885"/>
      <c r="DRF202" s="885"/>
      <c r="DRG202" s="885"/>
      <c r="DRH202" s="885"/>
      <c r="DRI202" s="885"/>
      <c r="DRJ202" s="885"/>
      <c r="DRK202" s="885"/>
      <c r="DRL202" s="885"/>
      <c r="DRM202" s="885"/>
      <c r="DRN202" s="885"/>
      <c r="DRO202" s="885"/>
      <c r="DRP202" s="885"/>
      <c r="DRQ202" s="885"/>
      <c r="DRR202" s="885"/>
      <c r="DRS202" s="885"/>
      <c r="DRT202" s="885"/>
      <c r="DRU202" s="885"/>
      <c r="DRV202" s="885"/>
      <c r="DRW202" s="885"/>
      <c r="DRX202" s="885"/>
      <c r="DRY202" s="885"/>
      <c r="DRZ202" s="885"/>
      <c r="DSA202" s="885"/>
      <c r="DSB202" s="885"/>
      <c r="DSC202" s="885"/>
      <c r="DSD202" s="885"/>
      <c r="DSE202" s="885"/>
      <c r="DSF202" s="885"/>
      <c r="DSG202" s="885"/>
      <c r="DSH202" s="885"/>
      <c r="DSI202" s="885"/>
      <c r="DSJ202" s="885"/>
      <c r="DSK202" s="885"/>
      <c r="DSL202" s="885"/>
      <c r="DSM202" s="885"/>
      <c r="DSN202" s="885"/>
      <c r="DSO202" s="885"/>
      <c r="DSP202" s="885"/>
      <c r="DSQ202" s="885"/>
      <c r="DSR202" s="885"/>
      <c r="DSS202" s="885"/>
      <c r="DST202" s="885"/>
      <c r="DSU202" s="885"/>
      <c r="DSV202" s="885"/>
      <c r="DSW202" s="885"/>
      <c r="DSX202" s="885"/>
      <c r="DSY202" s="885"/>
      <c r="DSZ202" s="885"/>
      <c r="DTA202" s="885"/>
      <c r="DTB202" s="885"/>
      <c r="DTC202" s="885"/>
      <c r="DTD202" s="885"/>
      <c r="DTE202" s="885"/>
      <c r="DTF202" s="885"/>
      <c r="DTG202" s="885"/>
      <c r="DTH202" s="885"/>
      <c r="DTI202" s="885"/>
      <c r="DTJ202" s="885"/>
      <c r="DTK202" s="885"/>
      <c r="DTL202" s="885"/>
      <c r="DTM202" s="885"/>
      <c r="DTN202" s="885"/>
      <c r="DTO202" s="885"/>
      <c r="DTP202" s="885"/>
      <c r="DTQ202" s="885"/>
      <c r="DTR202" s="885"/>
      <c r="DTS202" s="885"/>
      <c r="DTT202" s="885"/>
      <c r="DTU202" s="885"/>
      <c r="DTV202" s="885"/>
      <c r="DTW202" s="885"/>
      <c r="DTX202" s="885"/>
      <c r="DTY202" s="885"/>
      <c r="DTZ202" s="885"/>
      <c r="DUA202" s="885"/>
      <c r="DUB202" s="885"/>
      <c r="DUC202" s="885"/>
      <c r="DUD202" s="885"/>
      <c r="DUE202" s="885"/>
      <c r="DUF202" s="885"/>
      <c r="DUG202" s="885"/>
      <c r="DUH202" s="885"/>
      <c r="DUI202" s="885"/>
      <c r="DUJ202" s="885"/>
      <c r="DUK202" s="885"/>
      <c r="DUL202" s="885"/>
      <c r="DUM202" s="885"/>
      <c r="DUN202" s="885"/>
      <c r="DUO202" s="885"/>
      <c r="DUP202" s="885"/>
      <c r="DUQ202" s="885"/>
      <c r="DUR202" s="885"/>
      <c r="DUS202" s="885"/>
      <c r="DUT202" s="885"/>
      <c r="DUU202" s="885"/>
      <c r="DUV202" s="885"/>
      <c r="DUW202" s="885"/>
      <c r="DUX202" s="885"/>
      <c r="DUY202" s="885"/>
      <c r="DUZ202" s="885"/>
      <c r="DVA202" s="885"/>
      <c r="DVB202" s="885"/>
      <c r="DVC202" s="885"/>
      <c r="DVD202" s="885"/>
      <c r="DVE202" s="885"/>
      <c r="DVF202" s="885"/>
      <c r="DVG202" s="885"/>
      <c r="DVH202" s="885"/>
      <c r="DVI202" s="885"/>
      <c r="DVJ202" s="885"/>
      <c r="DVK202" s="885"/>
      <c r="DVL202" s="885"/>
      <c r="DVM202" s="885"/>
      <c r="DVN202" s="885"/>
      <c r="DVO202" s="885"/>
      <c r="DVP202" s="885"/>
      <c r="DVQ202" s="885"/>
      <c r="DVR202" s="885"/>
      <c r="DVS202" s="885"/>
      <c r="DVT202" s="885"/>
      <c r="DVU202" s="885"/>
      <c r="DVV202" s="885"/>
      <c r="DVW202" s="885"/>
      <c r="DVX202" s="885"/>
      <c r="DVY202" s="885"/>
      <c r="DVZ202" s="885"/>
      <c r="DWA202" s="885"/>
      <c r="DWB202" s="885"/>
      <c r="DWC202" s="885"/>
      <c r="DWD202" s="885"/>
      <c r="DWE202" s="885"/>
      <c r="DWF202" s="885"/>
      <c r="DWG202" s="885"/>
      <c r="DWH202" s="885"/>
      <c r="DWI202" s="885"/>
      <c r="DWJ202" s="885"/>
      <c r="DWK202" s="885"/>
      <c r="DWL202" s="885"/>
      <c r="DWM202" s="885"/>
      <c r="DWN202" s="885"/>
      <c r="DWO202" s="885"/>
      <c r="DWP202" s="885"/>
      <c r="DWQ202" s="885"/>
      <c r="DWR202" s="885"/>
      <c r="DWS202" s="885"/>
      <c r="DWT202" s="885"/>
      <c r="DWU202" s="885"/>
      <c r="DWV202" s="885"/>
      <c r="DWW202" s="885"/>
      <c r="DWX202" s="885"/>
      <c r="DWY202" s="885"/>
      <c r="DWZ202" s="885"/>
      <c r="DXA202" s="885"/>
      <c r="DXB202" s="885"/>
      <c r="DXC202" s="885"/>
      <c r="DXD202" s="885"/>
      <c r="DXE202" s="885"/>
      <c r="DXF202" s="885"/>
      <c r="DXG202" s="885"/>
      <c r="DXH202" s="885"/>
      <c r="DXI202" s="885"/>
      <c r="DXJ202" s="885"/>
      <c r="DXK202" s="885"/>
      <c r="DXL202" s="885"/>
      <c r="DXM202" s="885"/>
      <c r="DXN202" s="885"/>
      <c r="DXO202" s="885"/>
      <c r="DXP202" s="885"/>
      <c r="DXQ202" s="885"/>
      <c r="DXR202" s="885"/>
      <c r="DXS202" s="885"/>
      <c r="DXT202" s="885"/>
      <c r="DXU202" s="885"/>
      <c r="DXV202" s="885"/>
      <c r="DXW202" s="885"/>
      <c r="DXX202" s="885"/>
      <c r="DXY202" s="885"/>
      <c r="DXZ202" s="885"/>
      <c r="DYA202" s="885"/>
      <c r="DYB202" s="885"/>
      <c r="DYC202" s="885"/>
      <c r="DYD202" s="885"/>
      <c r="DYE202" s="885"/>
      <c r="DYF202" s="885"/>
      <c r="DYG202" s="885"/>
      <c r="DYH202" s="885"/>
      <c r="DYI202" s="885"/>
      <c r="DYJ202" s="885"/>
      <c r="DYK202" s="885"/>
      <c r="DYL202" s="885"/>
      <c r="DYM202" s="885"/>
      <c r="DYN202" s="885"/>
      <c r="DYO202" s="885"/>
      <c r="DYP202" s="885"/>
      <c r="DYQ202" s="885"/>
      <c r="DYR202" s="885"/>
      <c r="DYS202" s="885"/>
      <c r="DYT202" s="885"/>
      <c r="DYU202" s="885"/>
      <c r="DYV202" s="885"/>
      <c r="DYW202" s="885"/>
      <c r="DYX202" s="885"/>
      <c r="DYY202" s="885"/>
      <c r="DYZ202" s="885"/>
      <c r="DZA202" s="885"/>
      <c r="DZB202" s="885"/>
      <c r="DZC202" s="885"/>
      <c r="DZD202" s="885"/>
      <c r="DZE202" s="885"/>
      <c r="DZF202" s="885"/>
      <c r="DZG202" s="885"/>
      <c r="DZH202" s="885"/>
      <c r="DZI202" s="885"/>
      <c r="DZJ202" s="885"/>
      <c r="DZK202" s="885"/>
      <c r="DZL202" s="885"/>
      <c r="DZM202" s="885"/>
      <c r="DZN202" s="885"/>
      <c r="DZO202" s="885"/>
      <c r="DZP202" s="885"/>
      <c r="DZQ202" s="885"/>
      <c r="DZR202" s="885"/>
      <c r="DZS202" s="885"/>
      <c r="DZT202" s="885"/>
      <c r="DZU202" s="885"/>
      <c r="DZV202" s="885"/>
      <c r="DZW202" s="885"/>
      <c r="DZX202" s="885"/>
      <c r="DZY202" s="885"/>
      <c r="DZZ202" s="885"/>
      <c r="EAA202" s="885"/>
      <c r="EAB202" s="885"/>
      <c r="EAC202" s="885"/>
      <c r="EAD202" s="885"/>
      <c r="EAE202" s="885"/>
      <c r="EAF202" s="885"/>
      <c r="EAG202" s="885"/>
      <c r="EAH202" s="885"/>
      <c r="EAI202" s="885"/>
      <c r="EAJ202" s="885"/>
      <c r="EAK202" s="885"/>
      <c r="EAL202" s="885"/>
      <c r="EAM202" s="885"/>
      <c r="EAN202" s="885"/>
      <c r="EAO202" s="885"/>
      <c r="EAP202" s="885"/>
      <c r="EAQ202" s="885"/>
      <c r="EAR202" s="885"/>
      <c r="EAS202" s="885"/>
      <c r="EAT202" s="885"/>
      <c r="EAU202" s="885"/>
      <c r="EAV202" s="885"/>
      <c r="EAW202" s="885"/>
      <c r="EAX202" s="885"/>
      <c r="EAY202" s="885"/>
      <c r="EAZ202" s="885"/>
      <c r="EBA202" s="885"/>
      <c r="EBB202" s="885"/>
      <c r="EBC202" s="885"/>
      <c r="EBD202" s="885"/>
      <c r="EBE202" s="885"/>
      <c r="EBF202" s="885"/>
      <c r="EBG202" s="885"/>
      <c r="EBH202" s="885"/>
      <c r="EBI202" s="885"/>
      <c r="EBJ202" s="885"/>
      <c r="EBK202" s="885"/>
      <c r="EBL202" s="885"/>
      <c r="EBM202" s="885"/>
      <c r="EBN202" s="885"/>
      <c r="EBO202" s="885"/>
      <c r="EBP202" s="885"/>
      <c r="EBQ202" s="885"/>
      <c r="EBR202" s="885"/>
      <c r="EBS202" s="885"/>
      <c r="EBT202" s="885"/>
      <c r="EBU202" s="885"/>
      <c r="EBV202" s="885"/>
      <c r="EBW202" s="885"/>
      <c r="EBX202" s="885"/>
      <c r="EBY202" s="885"/>
      <c r="EBZ202" s="885"/>
      <c r="ECA202" s="885"/>
      <c r="ECB202" s="885"/>
      <c r="ECC202" s="885"/>
      <c r="ECD202" s="885"/>
      <c r="ECE202" s="885"/>
      <c r="ECF202" s="885"/>
      <c r="ECG202" s="885"/>
      <c r="ECH202" s="885"/>
      <c r="ECI202" s="885"/>
      <c r="ECJ202" s="885"/>
      <c r="ECK202" s="885"/>
      <c r="ECL202" s="885"/>
      <c r="ECM202" s="885"/>
      <c r="ECN202" s="885"/>
      <c r="ECO202" s="885"/>
      <c r="ECP202" s="885"/>
      <c r="ECQ202" s="885"/>
      <c r="ECR202" s="885"/>
      <c r="ECS202" s="885"/>
      <c r="ECT202" s="885"/>
      <c r="ECU202" s="885"/>
      <c r="ECV202" s="885"/>
      <c r="ECW202" s="885"/>
      <c r="ECX202" s="885"/>
      <c r="ECY202" s="885"/>
      <c r="ECZ202" s="885"/>
      <c r="EDA202" s="885"/>
      <c r="EDB202" s="885"/>
      <c r="EDC202" s="885"/>
      <c r="EDD202" s="885"/>
      <c r="EDE202" s="885"/>
      <c r="EDF202" s="885"/>
      <c r="EDG202" s="885"/>
      <c r="EDH202" s="885"/>
      <c r="EDI202" s="885"/>
      <c r="EDJ202" s="885"/>
      <c r="EDK202" s="885"/>
      <c r="EDL202" s="885"/>
      <c r="EDM202" s="885"/>
      <c r="EDN202" s="885"/>
      <c r="EDO202" s="885"/>
      <c r="EDP202" s="885"/>
      <c r="EDQ202" s="885"/>
      <c r="EDR202" s="885"/>
      <c r="EDS202" s="885"/>
      <c r="EDT202" s="885"/>
      <c r="EDU202" s="885"/>
      <c r="EDV202" s="885"/>
      <c r="EDW202" s="885"/>
      <c r="EDX202" s="885"/>
      <c r="EDY202" s="885"/>
      <c r="EDZ202" s="885"/>
      <c r="EEA202" s="885"/>
      <c r="EEB202" s="885"/>
      <c r="EEC202" s="885"/>
      <c r="EED202" s="885"/>
      <c r="EEE202" s="885"/>
      <c r="EEF202" s="885"/>
      <c r="EEG202" s="885"/>
      <c r="EEH202" s="885"/>
      <c r="EEI202" s="885"/>
      <c r="EEJ202" s="885"/>
      <c r="EEK202" s="885"/>
      <c r="EEL202" s="885"/>
      <c r="EEM202" s="885"/>
      <c r="EEN202" s="885"/>
      <c r="EEO202" s="885"/>
      <c r="EEP202" s="885"/>
      <c r="EEQ202" s="885"/>
      <c r="EER202" s="885"/>
      <c r="EES202" s="885"/>
      <c r="EET202" s="885"/>
      <c r="EEU202" s="885"/>
      <c r="EEV202" s="885"/>
      <c r="EEW202" s="885"/>
      <c r="EEX202" s="885"/>
      <c r="EEY202" s="885"/>
      <c r="EEZ202" s="885"/>
      <c r="EFA202" s="885"/>
      <c r="EFB202" s="885"/>
      <c r="EFC202" s="885"/>
      <c r="EFD202" s="885"/>
      <c r="EFE202" s="885"/>
      <c r="EFF202" s="885"/>
      <c r="EFG202" s="885"/>
      <c r="EFH202" s="885"/>
      <c r="EFI202" s="885"/>
      <c r="EFJ202" s="885"/>
      <c r="EFK202" s="885"/>
      <c r="EFL202" s="885"/>
      <c r="EFM202" s="885"/>
      <c r="EFN202" s="885"/>
      <c r="EFO202" s="885"/>
      <c r="EFP202" s="885"/>
      <c r="EFQ202" s="885"/>
      <c r="EFR202" s="885"/>
      <c r="EFS202" s="885"/>
      <c r="EFT202" s="885"/>
      <c r="EFU202" s="885"/>
      <c r="EFV202" s="885"/>
      <c r="EFW202" s="885"/>
      <c r="EFX202" s="885"/>
      <c r="EFY202" s="885"/>
      <c r="EFZ202" s="885"/>
      <c r="EGA202" s="885"/>
      <c r="EGB202" s="885"/>
      <c r="EGC202" s="885"/>
      <c r="EGD202" s="885"/>
      <c r="EGE202" s="885"/>
      <c r="EGF202" s="885"/>
      <c r="EGG202" s="885"/>
      <c r="EGH202" s="885"/>
      <c r="EGI202" s="885"/>
      <c r="EGJ202" s="885"/>
      <c r="EGK202" s="885"/>
      <c r="EGL202" s="885"/>
      <c r="EGM202" s="885"/>
      <c r="EGN202" s="885"/>
      <c r="EGO202" s="885"/>
      <c r="EGP202" s="885"/>
      <c r="EGQ202" s="885"/>
      <c r="EGR202" s="885"/>
      <c r="EGS202" s="885"/>
      <c r="EGT202" s="885"/>
      <c r="EGU202" s="885"/>
      <c r="EGV202" s="885"/>
      <c r="EGW202" s="885"/>
      <c r="EGX202" s="885"/>
      <c r="EGY202" s="885"/>
      <c r="EGZ202" s="885"/>
      <c r="EHA202" s="885"/>
      <c r="EHB202" s="885"/>
      <c r="EHC202" s="885"/>
      <c r="EHD202" s="885"/>
      <c r="EHE202" s="885"/>
      <c r="EHF202" s="885"/>
      <c r="EHG202" s="885"/>
      <c r="EHH202" s="885"/>
      <c r="EHI202" s="885"/>
      <c r="EHJ202" s="885"/>
      <c r="EHK202" s="885"/>
      <c r="EHL202" s="885"/>
      <c r="EHM202" s="885"/>
      <c r="EHN202" s="885"/>
      <c r="EHO202" s="885"/>
      <c r="EHP202" s="885"/>
      <c r="EHQ202" s="885"/>
      <c r="EHR202" s="885"/>
      <c r="EHS202" s="885"/>
      <c r="EHT202" s="885"/>
      <c r="EHU202" s="885"/>
      <c r="EHV202" s="885"/>
      <c r="EHW202" s="885"/>
      <c r="EHX202" s="885"/>
      <c r="EHY202" s="885"/>
      <c r="EHZ202" s="885"/>
      <c r="EIA202" s="885"/>
      <c r="EIB202" s="885"/>
      <c r="EIC202" s="885"/>
      <c r="EID202" s="885"/>
      <c r="EIE202" s="885"/>
      <c r="EIF202" s="885"/>
      <c r="EIG202" s="885"/>
      <c r="EIH202" s="885"/>
      <c r="EII202" s="885"/>
      <c r="EIJ202" s="885"/>
      <c r="EIK202" s="885"/>
      <c r="EIL202" s="885"/>
      <c r="EIM202" s="885"/>
      <c r="EIN202" s="885"/>
      <c r="EIO202" s="885"/>
      <c r="EIP202" s="885"/>
      <c r="EIQ202" s="885"/>
      <c r="EIR202" s="885"/>
      <c r="EIS202" s="885"/>
      <c r="EIT202" s="885"/>
      <c r="EIU202" s="885"/>
      <c r="EIV202" s="885"/>
      <c r="EIW202" s="885"/>
      <c r="EIX202" s="885"/>
      <c r="EIY202" s="885"/>
      <c r="EIZ202" s="885"/>
      <c r="EJA202" s="885"/>
      <c r="EJB202" s="885"/>
      <c r="EJC202" s="885"/>
      <c r="EJD202" s="885"/>
      <c r="EJE202" s="885"/>
      <c r="EJF202" s="885"/>
      <c r="EJG202" s="885"/>
      <c r="EJH202" s="885"/>
      <c r="EJI202" s="885"/>
      <c r="EJJ202" s="885"/>
      <c r="EJK202" s="885"/>
      <c r="EJL202" s="885"/>
      <c r="EJM202" s="885"/>
      <c r="EJN202" s="885"/>
      <c r="EJO202" s="885"/>
      <c r="EJP202" s="885"/>
      <c r="EJQ202" s="885"/>
      <c r="EJR202" s="885"/>
      <c r="EJS202" s="885"/>
      <c r="EJT202" s="885"/>
      <c r="EJU202" s="885"/>
      <c r="EJV202" s="885"/>
      <c r="EJW202" s="885"/>
      <c r="EJX202" s="885"/>
      <c r="EJY202" s="885"/>
      <c r="EJZ202" s="885"/>
      <c r="EKA202" s="885"/>
      <c r="EKB202" s="885"/>
      <c r="EKC202" s="885"/>
      <c r="EKD202" s="885"/>
      <c r="EKE202" s="885"/>
      <c r="EKF202" s="885"/>
      <c r="EKG202" s="885"/>
      <c r="EKH202" s="885"/>
      <c r="EKI202" s="885"/>
      <c r="EKJ202" s="885"/>
      <c r="EKK202" s="885"/>
      <c r="EKL202" s="885"/>
      <c r="EKM202" s="885"/>
      <c r="EKN202" s="885"/>
      <c r="EKO202" s="885"/>
      <c r="EKP202" s="885"/>
      <c r="EKQ202" s="885"/>
      <c r="EKR202" s="885"/>
      <c r="EKS202" s="885"/>
      <c r="EKT202" s="885"/>
      <c r="EKU202" s="885"/>
      <c r="EKV202" s="885"/>
      <c r="EKW202" s="885"/>
      <c r="EKX202" s="885"/>
      <c r="EKY202" s="885"/>
      <c r="EKZ202" s="885"/>
      <c r="ELA202" s="885"/>
      <c r="ELB202" s="885"/>
      <c r="ELC202" s="885"/>
      <c r="ELD202" s="885"/>
      <c r="ELE202" s="885"/>
      <c r="ELF202" s="885"/>
      <c r="ELG202" s="885"/>
      <c r="ELH202" s="885"/>
      <c r="ELI202" s="885"/>
      <c r="ELJ202" s="885"/>
      <c r="ELK202" s="885"/>
      <c r="ELL202" s="885"/>
      <c r="ELM202" s="885"/>
      <c r="ELN202" s="885"/>
      <c r="ELO202" s="885"/>
      <c r="ELP202" s="885"/>
      <c r="ELQ202" s="885"/>
      <c r="ELR202" s="885"/>
      <c r="ELS202" s="885"/>
      <c r="ELT202" s="885"/>
      <c r="ELU202" s="885"/>
      <c r="ELV202" s="885"/>
      <c r="ELW202" s="885"/>
      <c r="ELX202" s="885"/>
      <c r="ELY202" s="885"/>
      <c r="ELZ202" s="885"/>
      <c r="EMA202" s="885"/>
      <c r="EMB202" s="885"/>
      <c r="EMC202" s="885"/>
      <c r="EMD202" s="885"/>
      <c r="EME202" s="885"/>
      <c r="EMF202" s="885"/>
      <c r="EMG202" s="885"/>
      <c r="EMH202" s="885"/>
      <c r="EMI202" s="885"/>
      <c r="EMJ202" s="885"/>
      <c r="EMK202" s="885"/>
      <c r="EML202" s="885"/>
      <c r="EMM202" s="885"/>
      <c r="EMN202" s="885"/>
      <c r="EMO202" s="885"/>
      <c r="EMP202" s="885"/>
      <c r="EMQ202" s="885"/>
      <c r="EMR202" s="885"/>
      <c r="EMS202" s="885"/>
      <c r="EMT202" s="885"/>
      <c r="EMU202" s="885"/>
      <c r="EMV202" s="885"/>
      <c r="EMW202" s="885"/>
      <c r="EMX202" s="885"/>
      <c r="EMY202" s="885"/>
      <c r="EMZ202" s="885"/>
      <c r="ENA202" s="885"/>
      <c r="ENB202" s="885"/>
      <c r="ENC202" s="885"/>
      <c r="END202" s="885"/>
      <c r="ENE202" s="885"/>
      <c r="ENF202" s="885"/>
      <c r="ENG202" s="885"/>
      <c r="ENH202" s="885"/>
      <c r="ENI202" s="885"/>
      <c r="ENJ202" s="885"/>
      <c r="ENK202" s="885"/>
      <c r="ENL202" s="885"/>
      <c r="ENM202" s="885"/>
      <c r="ENN202" s="885"/>
      <c r="ENO202" s="885"/>
      <c r="ENP202" s="885"/>
      <c r="ENQ202" s="885"/>
      <c r="ENR202" s="885"/>
      <c r="ENS202" s="885"/>
      <c r="ENT202" s="885"/>
      <c r="ENU202" s="885"/>
      <c r="ENV202" s="885"/>
      <c r="ENW202" s="885"/>
      <c r="ENX202" s="885"/>
      <c r="ENY202" s="885"/>
      <c r="ENZ202" s="885"/>
      <c r="EOA202" s="885"/>
      <c r="EOB202" s="885"/>
      <c r="EOC202" s="885"/>
      <c r="EOD202" s="885"/>
      <c r="EOE202" s="885"/>
      <c r="EOF202" s="885"/>
      <c r="EOG202" s="885"/>
      <c r="EOH202" s="885"/>
      <c r="EOI202" s="885"/>
      <c r="EOJ202" s="885"/>
      <c r="EOK202" s="885"/>
      <c r="EOL202" s="885"/>
      <c r="EOM202" s="885"/>
      <c r="EON202" s="885"/>
      <c r="EOO202" s="885"/>
      <c r="EOP202" s="885"/>
      <c r="EOQ202" s="885"/>
      <c r="EOR202" s="885"/>
      <c r="EOS202" s="885"/>
      <c r="EOT202" s="885"/>
      <c r="EOU202" s="885"/>
      <c r="EOV202" s="885"/>
      <c r="EOW202" s="885"/>
      <c r="EOX202" s="885"/>
      <c r="EOY202" s="885"/>
      <c r="EOZ202" s="885"/>
      <c r="EPA202" s="885"/>
      <c r="EPB202" s="885"/>
      <c r="EPC202" s="885"/>
      <c r="EPD202" s="885"/>
      <c r="EPE202" s="885"/>
      <c r="EPF202" s="885"/>
      <c r="EPG202" s="885"/>
      <c r="EPH202" s="885"/>
      <c r="EPI202" s="885"/>
      <c r="EPJ202" s="885"/>
      <c r="EPK202" s="885"/>
      <c r="EPL202" s="885"/>
      <c r="EPM202" s="885"/>
      <c r="EPN202" s="885"/>
      <c r="EPO202" s="885"/>
      <c r="EPP202" s="885"/>
      <c r="EPQ202" s="885"/>
      <c r="EPR202" s="885"/>
      <c r="EPS202" s="885"/>
      <c r="EPT202" s="885"/>
      <c r="EPU202" s="885"/>
      <c r="EPV202" s="885"/>
      <c r="EPW202" s="885"/>
      <c r="EPX202" s="885"/>
      <c r="EPY202" s="885"/>
      <c r="EPZ202" s="885"/>
      <c r="EQA202" s="885"/>
      <c r="EQB202" s="885"/>
      <c r="EQC202" s="885"/>
      <c r="EQD202" s="885"/>
      <c r="EQE202" s="885"/>
      <c r="EQF202" s="885"/>
      <c r="EQG202" s="885"/>
      <c r="EQH202" s="885"/>
      <c r="EQI202" s="885"/>
      <c r="EQJ202" s="885"/>
      <c r="EQK202" s="885"/>
      <c r="EQL202" s="885"/>
      <c r="EQM202" s="885"/>
      <c r="EQN202" s="885"/>
      <c r="EQO202" s="885"/>
      <c r="EQP202" s="885"/>
      <c r="EQQ202" s="885"/>
      <c r="EQR202" s="885"/>
      <c r="EQS202" s="885"/>
      <c r="EQT202" s="885"/>
      <c r="EQU202" s="885"/>
      <c r="EQV202" s="885"/>
      <c r="EQW202" s="885"/>
      <c r="EQX202" s="885"/>
      <c r="EQY202" s="885"/>
      <c r="EQZ202" s="885"/>
      <c r="ERA202" s="885"/>
      <c r="ERB202" s="885"/>
      <c r="ERC202" s="885"/>
      <c r="ERD202" s="885"/>
      <c r="ERE202" s="885"/>
      <c r="ERF202" s="885"/>
      <c r="ERG202" s="885"/>
      <c r="ERH202" s="885"/>
      <c r="ERI202" s="885"/>
      <c r="ERJ202" s="885"/>
      <c r="ERK202" s="885"/>
      <c r="ERL202" s="885"/>
      <c r="ERM202" s="885"/>
      <c r="ERN202" s="885"/>
      <c r="ERO202" s="885"/>
      <c r="ERP202" s="885"/>
      <c r="ERQ202" s="885"/>
      <c r="ERR202" s="885"/>
      <c r="ERS202" s="885"/>
      <c r="ERT202" s="885"/>
      <c r="ERU202" s="885"/>
      <c r="ERV202" s="885"/>
      <c r="ERW202" s="885"/>
      <c r="ERX202" s="885"/>
      <c r="ERY202" s="885"/>
      <c r="ERZ202" s="885"/>
      <c r="ESA202" s="885"/>
      <c r="ESB202" s="885"/>
      <c r="ESC202" s="885"/>
      <c r="ESD202" s="885"/>
      <c r="ESE202" s="885"/>
      <c r="ESF202" s="885"/>
      <c r="ESG202" s="885"/>
      <c r="ESH202" s="885"/>
      <c r="ESI202" s="885"/>
      <c r="ESJ202" s="885"/>
      <c r="ESK202" s="885"/>
      <c r="ESL202" s="885"/>
      <c r="ESM202" s="885"/>
      <c r="ESN202" s="885"/>
      <c r="ESO202" s="885"/>
      <c r="ESP202" s="885"/>
      <c r="ESQ202" s="885"/>
      <c r="ESR202" s="885"/>
      <c r="ESS202" s="885"/>
      <c r="EST202" s="885"/>
      <c r="ESU202" s="885"/>
      <c r="ESV202" s="885"/>
      <c r="ESW202" s="885"/>
      <c r="ESX202" s="885"/>
      <c r="ESY202" s="885"/>
      <c r="ESZ202" s="885"/>
      <c r="ETA202" s="885"/>
      <c r="ETB202" s="885"/>
      <c r="ETC202" s="885"/>
      <c r="ETD202" s="885"/>
      <c r="ETE202" s="885"/>
      <c r="ETF202" s="885"/>
      <c r="ETG202" s="885"/>
      <c r="ETH202" s="885"/>
      <c r="ETI202" s="885"/>
      <c r="ETJ202" s="885"/>
      <c r="ETK202" s="885"/>
      <c r="ETL202" s="885"/>
      <c r="ETM202" s="885"/>
      <c r="ETN202" s="885"/>
      <c r="ETO202" s="885"/>
      <c r="ETP202" s="885"/>
      <c r="ETQ202" s="885"/>
      <c r="ETR202" s="885"/>
      <c r="ETS202" s="885"/>
      <c r="ETT202" s="885"/>
      <c r="ETU202" s="885"/>
      <c r="ETV202" s="885"/>
      <c r="ETW202" s="885"/>
      <c r="ETX202" s="885"/>
      <c r="ETY202" s="885"/>
      <c r="ETZ202" s="885"/>
      <c r="EUA202" s="885"/>
      <c r="EUB202" s="885"/>
      <c r="EUC202" s="885"/>
      <c r="EUD202" s="885"/>
      <c r="EUE202" s="885"/>
      <c r="EUF202" s="885"/>
      <c r="EUG202" s="885"/>
      <c r="EUH202" s="885"/>
      <c r="EUI202" s="885"/>
      <c r="EUJ202" s="885"/>
      <c r="EUK202" s="885"/>
      <c r="EUL202" s="885"/>
      <c r="EUM202" s="885"/>
      <c r="EUN202" s="885"/>
      <c r="EUO202" s="885"/>
      <c r="EUP202" s="885"/>
      <c r="EUQ202" s="885"/>
      <c r="EUR202" s="885"/>
      <c r="EUS202" s="885"/>
      <c r="EUT202" s="885"/>
      <c r="EUU202" s="885"/>
      <c r="EUV202" s="885"/>
      <c r="EUW202" s="885"/>
      <c r="EUX202" s="885"/>
      <c r="EUY202" s="885"/>
      <c r="EUZ202" s="885"/>
      <c r="EVA202" s="885"/>
      <c r="EVB202" s="885"/>
      <c r="EVC202" s="885"/>
      <c r="EVD202" s="885"/>
      <c r="EVE202" s="885"/>
      <c r="EVF202" s="885"/>
      <c r="EVG202" s="885"/>
      <c r="EVH202" s="885"/>
      <c r="EVI202" s="885"/>
      <c r="EVJ202" s="885"/>
      <c r="EVK202" s="885"/>
      <c r="EVL202" s="885"/>
      <c r="EVM202" s="885"/>
      <c r="EVN202" s="885"/>
      <c r="EVO202" s="885"/>
      <c r="EVP202" s="885"/>
      <c r="EVQ202" s="885"/>
      <c r="EVR202" s="885"/>
      <c r="EVS202" s="885"/>
      <c r="EVT202" s="885"/>
      <c r="EVU202" s="885"/>
      <c r="EVV202" s="885"/>
      <c r="EVW202" s="885"/>
      <c r="EVX202" s="885"/>
      <c r="EVY202" s="885"/>
      <c r="EVZ202" s="885"/>
      <c r="EWA202" s="885"/>
      <c r="EWB202" s="885"/>
      <c r="EWC202" s="885"/>
      <c r="EWD202" s="885"/>
      <c r="EWE202" s="885"/>
      <c r="EWF202" s="885"/>
      <c r="EWG202" s="885"/>
      <c r="EWH202" s="885"/>
      <c r="EWI202" s="885"/>
      <c r="EWJ202" s="885"/>
      <c r="EWK202" s="885"/>
      <c r="EWL202" s="885"/>
      <c r="EWM202" s="885"/>
      <c r="EWN202" s="885"/>
      <c r="EWO202" s="885"/>
      <c r="EWP202" s="885"/>
      <c r="EWQ202" s="885"/>
      <c r="EWR202" s="885"/>
      <c r="EWS202" s="885"/>
      <c r="EWT202" s="885"/>
      <c r="EWU202" s="885"/>
      <c r="EWV202" s="885"/>
      <c r="EWW202" s="885"/>
      <c r="EWX202" s="885"/>
      <c r="EWY202" s="885"/>
      <c r="EWZ202" s="885"/>
      <c r="EXA202" s="885"/>
      <c r="EXB202" s="885"/>
      <c r="EXC202" s="885"/>
      <c r="EXD202" s="885"/>
      <c r="EXE202" s="885"/>
      <c r="EXF202" s="885"/>
      <c r="EXG202" s="885"/>
      <c r="EXH202" s="885"/>
      <c r="EXI202" s="885"/>
      <c r="EXJ202" s="885"/>
      <c r="EXK202" s="885"/>
      <c r="EXL202" s="885"/>
      <c r="EXM202" s="885"/>
      <c r="EXN202" s="885"/>
      <c r="EXO202" s="885"/>
      <c r="EXP202" s="885"/>
      <c r="EXQ202" s="885"/>
      <c r="EXR202" s="885"/>
      <c r="EXS202" s="885"/>
      <c r="EXT202" s="885"/>
      <c r="EXU202" s="885"/>
      <c r="EXV202" s="885"/>
      <c r="EXW202" s="885"/>
      <c r="EXX202" s="885"/>
      <c r="EXY202" s="885"/>
      <c r="EXZ202" s="885"/>
      <c r="EYA202" s="885"/>
      <c r="EYB202" s="885"/>
      <c r="EYC202" s="885"/>
      <c r="EYD202" s="885"/>
      <c r="EYE202" s="885"/>
      <c r="EYF202" s="885"/>
      <c r="EYG202" s="885"/>
      <c r="EYH202" s="885"/>
      <c r="EYI202" s="885"/>
      <c r="EYJ202" s="885"/>
      <c r="EYK202" s="885"/>
      <c r="EYL202" s="885"/>
      <c r="EYM202" s="885"/>
      <c r="EYN202" s="885"/>
      <c r="EYO202" s="885"/>
      <c r="EYP202" s="885"/>
      <c r="EYQ202" s="885"/>
      <c r="EYR202" s="885"/>
      <c r="EYS202" s="885"/>
      <c r="EYT202" s="885"/>
      <c r="EYU202" s="885"/>
      <c r="EYV202" s="885"/>
      <c r="EYW202" s="885"/>
      <c r="EYX202" s="885"/>
      <c r="EYY202" s="885"/>
      <c r="EYZ202" s="885"/>
      <c r="EZA202" s="885"/>
      <c r="EZB202" s="885"/>
      <c r="EZC202" s="885"/>
      <c r="EZD202" s="885"/>
      <c r="EZE202" s="885"/>
      <c r="EZF202" s="885"/>
      <c r="EZG202" s="885"/>
      <c r="EZH202" s="885"/>
      <c r="EZI202" s="885"/>
      <c r="EZJ202" s="885"/>
      <c r="EZK202" s="885"/>
      <c r="EZL202" s="885"/>
      <c r="EZM202" s="885"/>
      <c r="EZN202" s="885"/>
      <c r="EZO202" s="885"/>
      <c r="EZP202" s="885"/>
      <c r="EZQ202" s="885"/>
      <c r="EZR202" s="885"/>
      <c r="EZS202" s="885"/>
      <c r="EZT202" s="885"/>
      <c r="EZU202" s="885"/>
      <c r="EZV202" s="885"/>
      <c r="EZW202" s="885"/>
      <c r="EZX202" s="885"/>
      <c r="EZY202" s="885"/>
      <c r="EZZ202" s="885"/>
      <c r="FAA202" s="885"/>
      <c r="FAB202" s="885"/>
      <c r="FAC202" s="885"/>
      <c r="FAD202" s="885"/>
      <c r="FAE202" s="885"/>
      <c r="FAF202" s="885"/>
      <c r="FAG202" s="885"/>
      <c r="FAH202" s="885"/>
      <c r="FAI202" s="885"/>
      <c r="FAJ202" s="885"/>
      <c r="FAK202" s="885"/>
      <c r="FAL202" s="885"/>
      <c r="FAM202" s="885"/>
      <c r="FAN202" s="885"/>
      <c r="FAO202" s="885"/>
      <c r="FAP202" s="885"/>
      <c r="FAQ202" s="885"/>
      <c r="FAR202" s="885"/>
      <c r="FAS202" s="885"/>
      <c r="FAT202" s="885"/>
      <c r="FAU202" s="885"/>
      <c r="FAV202" s="885"/>
      <c r="FAW202" s="885"/>
      <c r="FAX202" s="885"/>
      <c r="FAY202" s="885"/>
      <c r="FAZ202" s="885"/>
      <c r="FBA202" s="885"/>
      <c r="FBB202" s="885"/>
      <c r="FBC202" s="885"/>
      <c r="FBD202" s="885"/>
      <c r="FBE202" s="885"/>
      <c r="FBF202" s="885"/>
      <c r="FBG202" s="885"/>
      <c r="FBH202" s="885"/>
      <c r="FBI202" s="885"/>
      <c r="FBJ202" s="885"/>
      <c r="FBK202" s="885"/>
      <c r="FBL202" s="885"/>
      <c r="FBM202" s="885"/>
      <c r="FBN202" s="885"/>
      <c r="FBO202" s="885"/>
      <c r="FBP202" s="885"/>
      <c r="FBQ202" s="885"/>
      <c r="FBR202" s="885"/>
      <c r="FBS202" s="885"/>
      <c r="FBT202" s="885"/>
      <c r="FBU202" s="885"/>
      <c r="FBV202" s="885"/>
      <c r="FBW202" s="885"/>
      <c r="FBX202" s="885"/>
      <c r="FBY202" s="885"/>
      <c r="FBZ202" s="885"/>
      <c r="FCA202" s="885"/>
      <c r="FCB202" s="885"/>
      <c r="FCC202" s="885"/>
      <c r="FCD202" s="885"/>
      <c r="FCE202" s="885"/>
      <c r="FCF202" s="885"/>
      <c r="FCG202" s="885"/>
      <c r="FCH202" s="885"/>
      <c r="FCI202" s="885"/>
      <c r="FCJ202" s="885"/>
      <c r="FCK202" s="885"/>
      <c r="FCL202" s="885"/>
      <c r="FCM202" s="885"/>
      <c r="FCN202" s="885"/>
      <c r="FCO202" s="885"/>
      <c r="FCP202" s="885"/>
      <c r="FCQ202" s="885"/>
      <c r="FCR202" s="885"/>
      <c r="FCS202" s="885"/>
      <c r="FCT202" s="885"/>
      <c r="FCU202" s="885"/>
      <c r="FCV202" s="885"/>
      <c r="FCW202" s="885"/>
      <c r="FCX202" s="885"/>
      <c r="FCY202" s="885"/>
      <c r="FCZ202" s="885"/>
      <c r="FDA202" s="885"/>
      <c r="FDB202" s="885"/>
      <c r="FDC202" s="885"/>
      <c r="FDD202" s="885"/>
      <c r="FDE202" s="885"/>
      <c r="FDF202" s="885"/>
      <c r="FDG202" s="885"/>
      <c r="FDH202" s="885"/>
      <c r="FDI202" s="885"/>
      <c r="FDJ202" s="885"/>
      <c r="FDK202" s="885"/>
      <c r="FDL202" s="885"/>
      <c r="FDM202" s="885"/>
      <c r="FDN202" s="885"/>
      <c r="FDO202" s="885"/>
      <c r="FDP202" s="885"/>
      <c r="FDQ202" s="885"/>
      <c r="FDR202" s="885"/>
      <c r="FDS202" s="885"/>
      <c r="FDT202" s="885"/>
      <c r="FDU202" s="885"/>
      <c r="FDV202" s="885"/>
      <c r="FDW202" s="885"/>
      <c r="FDX202" s="885"/>
      <c r="FDY202" s="885"/>
      <c r="FDZ202" s="885"/>
      <c r="FEA202" s="885"/>
      <c r="FEB202" s="885"/>
      <c r="FEC202" s="885"/>
      <c r="FED202" s="885"/>
      <c r="FEE202" s="885"/>
      <c r="FEF202" s="885"/>
      <c r="FEG202" s="885"/>
      <c r="FEH202" s="885"/>
      <c r="FEI202" s="885"/>
      <c r="FEJ202" s="885"/>
      <c r="FEK202" s="885"/>
      <c r="FEL202" s="885"/>
      <c r="FEM202" s="885"/>
      <c r="FEN202" s="885"/>
      <c r="FEO202" s="885"/>
      <c r="FEP202" s="885"/>
      <c r="FEQ202" s="885"/>
      <c r="FER202" s="885"/>
      <c r="FES202" s="885"/>
      <c r="FET202" s="885"/>
      <c r="FEU202" s="885"/>
      <c r="FEV202" s="885"/>
      <c r="FEW202" s="885"/>
      <c r="FEX202" s="885"/>
      <c r="FEY202" s="885"/>
      <c r="FEZ202" s="885"/>
      <c r="FFA202" s="885"/>
      <c r="FFB202" s="885"/>
      <c r="FFC202" s="885"/>
      <c r="FFD202" s="885"/>
      <c r="FFE202" s="885"/>
      <c r="FFF202" s="885"/>
      <c r="FFG202" s="885"/>
      <c r="FFH202" s="885"/>
      <c r="FFI202" s="885"/>
      <c r="FFJ202" s="885"/>
      <c r="FFK202" s="885"/>
      <c r="FFL202" s="885"/>
      <c r="FFM202" s="885"/>
      <c r="FFN202" s="885"/>
      <c r="FFO202" s="885"/>
      <c r="FFP202" s="885"/>
      <c r="FFQ202" s="885"/>
      <c r="FFR202" s="885"/>
      <c r="FFS202" s="885"/>
      <c r="FFT202" s="885"/>
      <c r="FFU202" s="885"/>
      <c r="FFV202" s="885"/>
      <c r="FFW202" s="885"/>
      <c r="FFX202" s="885"/>
      <c r="FFY202" s="885"/>
      <c r="FFZ202" s="885"/>
      <c r="FGA202" s="885"/>
      <c r="FGB202" s="885"/>
      <c r="FGC202" s="885"/>
      <c r="FGD202" s="885"/>
      <c r="FGE202" s="885"/>
      <c r="FGF202" s="885"/>
      <c r="FGG202" s="885"/>
      <c r="FGH202" s="885"/>
      <c r="FGI202" s="885"/>
      <c r="FGJ202" s="885"/>
      <c r="FGK202" s="885"/>
      <c r="FGL202" s="885"/>
      <c r="FGM202" s="885"/>
      <c r="FGN202" s="885"/>
      <c r="FGO202" s="885"/>
      <c r="FGP202" s="885"/>
      <c r="FGQ202" s="885"/>
      <c r="FGR202" s="885"/>
      <c r="FGS202" s="885"/>
      <c r="FGT202" s="885"/>
      <c r="FGU202" s="885"/>
      <c r="FGV202" s="885"/>
      <c r="FGW202" s="885"/>
      <c r="FGX202" s="885"/>
      <c r="FGY202" s="885"/>
      <c r="FGZ202" s="885"/>
      <c r="FHA202" s="885"/>
      <c r="FHB202" s="885"/>
      <c r="FHC202" s="885"/>
      <c r="FHD202" s="885"/>
      <c r="FHE202" s="885"/>
      <c r="FHF202" s="885"/>
      <c r="FHG202" s="885"/>
      <c r="FHH202" s="885"/>
      <c r="FHI202" s="885"/>
      <c r="FHJ202" s="885"/>
      <c r="FHK202" s="885"/>
      <c r="FHL202" s="885"/>
      <c r="FHM202" s="885"/>
      <c r="FHN202" s="885"/>
      <c r="FHO202" s="885"/>
      <c r="FHP202" s="885"/>
      <c r="FHQ202" s="885"/>
      <c r="FHR202" s="885"/>
      <c r="FHS202" s="885"/>
      <c r="FHT202" s="885"/>
      <c r="FHU202" s="885"/>
      <c r="FHV202" s="885"/>
      <c r="FHW202" s="885"/>
      <c r="FHX202" s="885"/>
      <c r="FHY202" s="885"/>
      <c r="FHZ202" s="885"/>
      <c r="FIA202" s="885"/>
      <c r="FIB202" s="885"/>
      <c r="FIC202" s="885"/>
      <c r="FID202" s="885"/>
      <c r="FIE202" s="885"/>
      <c r="FIF202" s="885"/>
      <c r="FIG202" s="885"/>
      <c r="FIH202" s="885"/>
      <c r="FII202" s="885"/>
      <c r="FIJ202" s="885"/>
      <c r="FIK202" s="885"/>
      <c r="FIL202" s="885"/>
      <c r="FIM202" s="885"/>
      <c r="FIN202" s="885"/>
      <c r="FIO202" s="885"/>
      <c r="FIP202" s="885"/>
      <c r="FIQ202" s="885"/>
      <c r="FIR202" s="885"/>
      <c r="FIS202" s="885"/>
      <c r="FIT202" s="885"/>
      <c r="FIU202" s="885"/>
      <c r="FIV202" s="885"/>
      <c r="FIW202" s="885"/>
      <c r="FIX202" s="885"/>
      <c r="FIY202" s="885"/>
      <c r="FIZ202" s="885"/>
      <c r="FJA202" s="885"/>
      <c r="FJB202" s="885"/>
      <c r="FJC202" s="885"/>
      <c r="FJD202" s="885"/>
      <c r="FJE202" s="885"/>
      <c r="FJF202" s="885"/>
      <c r="FJG202" s="885"/>
      <c r="FJH202" s="885"/>
      <c r="FJI202" s="885"/>
      <c r="FJJ202" s="885"/>
      <c r="FJK202" s="885"/>
      <c r="FJL202" s="885"/>
      <c r="FJM202" s="885"/>
      <c r="FJN202" s="885"/>
      <c r="FJO202" s="885"/>
      <c r="FJP202" s="885"/>
      <c r="FJQ202" s="885"/>
      <c r="FJR202" s="885"/>
      <c r="FJS202" s="885"/>
      <c r="FJT202" s="885"/>
      <c r="FJU202" s="885"/>
      <c r="FJV202" s="885"/>
      <c r="FJW202" s="885"/>
      <c r="FJX202" s="885"/>
      <c r="FJY202" s="885"/>
      <c r="FJZ202" s="885"/>
      <c r="FKA202" s="885"/>
      <c r="FKB202" s="885"/>
      <c r="FKC202" s="885"/>
      <c r="FKD202" s="885"/>
      <c r="FKE202" s="885"/>
      <c r="FKF202" s="885"/>
      <c r="FKG202" s="885"/>
      <c r="FKH202" s="885"/>
      <c r="FKI202" s="885"/>
      <c r="FKJ202" s="885"/>
      <c r="FKK202" s="885"/>
      <c r="FKL202" s="885"/>
      <c r="FKM202" s="885"/>
      <c r="FKN202" s="885"/>
      <c r="FKO202" s="885"/>
      <c r="FKP202" s="885"/>
      <c r="FKQ202" s="885"/>
      <c r="FKR202" s="885"/>
      <c r="FKS202" s="885"/>
      <c r="FKT202" s="885"/>
      <c r="FKU202" s="885"/>
      <c r="FKV202" s="885"/>
      <c r="FKW202" s="885"/>
      <c r="FKX202" s="885"/>
      <c r="FKY202" s="885"/>
      <c r="FKZ202" s="885"/>
      <c r="FLA202" s="885"/>
      <c r="FLB202" s="885"/>
      <c r="FLC202" s="885"/>
      <c r="FLD202" s="885"/>
      <c r="FLE202" s="885"/>
      <c r="FLF202" s="885"/>
      <c r="FLG202" s="885"/>
      <c r="FLH202" s="885"/>
      <c r="FLI202" s="885"/>
      <c r="FLJ202" s="885"/>
      <c r="FLK202" s="885"/>
      <c r="FLL202" s="885"/>
      <c r="FLM202" s="885"/>
      <c r="FLN202" s="885"/>
      <c r="FLO202" s="885"/>
      <c r="FLP202" s="885"/>
      <c r="FLQ202" s="885"/>
      <c r="FLR202" s="885"/>
      <c r="FLS202" s="885"/>
      <c r="FLT202" s="885"/>
      <c r="FLU202" s="885"/>
      <c r="FLV202" s="885"/>
      <c r="FLW202" s="885"/>
      <c r="FLX202" s="885"/>
      <c r="FLY202" s="885"/>
      <c r="FLZ202" s="885"/>
      <c r="FMA202" s="885"/>
      <c r="FMB202" s="885"/>
      <c r="FMC202" s="885"/>
      <c r="FMD202" s="885"/>
      <c r="FME202" s="885"/>
      <c r="FMF202" s="885"/>
      <c r="FMG202" s="885"/>
      <c r="FMH202" s="885"/>
      <c r="FMI202" s="885"/>
      <c r="FMJ202" s="885"/>
      <c r="FMK202" s="885"/>
      <c r="FML202" s="885"/>
      <c r="FMM202" s="885"/>
      <c r="FMN202" s="885"/>
      <c r="FMO202" s="885"/>
      <c r="FMP202" s="885"/>
      <c r="FMQ202" s="885"/>
      <c r="FMR202" s="885"/>
      <c r="FMS202" s="885"/>
      <c r="FMT202" s="885"/>
      <c r="FMU202" s="885"/>
      <c r="FMV202" s="885"/>
      <c r="FMW202" s="885"/>
      <c r="FMX202" s="885"/>
      <c r="FMY202" s="885"/>
      <c r="FMZ202" s="885"/>
      <c r="FNA202" s="885"/>
      <c r="FNB202" s="885"/>
      <c r="FNC202" s="885"/>
      <c r="FND202" s="885"/>
      <c r="FNE202" s="885"/>
      <c r="FNF202" s="885"/>
      <c r="FNG202" s="885"/>
      <c r="FNH202" s="885"/>
      <c r="FNI202" s="885"/>
      <c r="FNJ202" s="885"/>
      <c r="FNK202" s="885"/>
      <c r="FNL202" s="885"/>
      <c r="FNM202" s="885"/>
      <c r="FNN202" s="885"/>
      <c r="FNO202" s="885"/>
      <c r="FNP202" s="885"/>
      <c r="FNQ202" s="885"/>
      <c r="FNR202" s="885"/>
      <c r="FNS202" s="885"/>
      <c r="FNT202" s="885"/>
      <c r="FNU202" s="885"/>
      <c r="FNV202" s="885"/>
      <c r="FNW202" s="885"/>
      <c r="FNX202" s="885"/>
      <c r="FNY202" s="885"/>
      <c r="FNZ202" s="885"/>
      <c r="FOA202" s="885"/>
      <c r="FOB202" s="885"/>
      <c r="FOC202" s="885"/>
      <c r="FOD202" s="885"/>
      <c r="FOE202" s="885"/>
      <c r="FOF202" s="885"/>
      <c r="FOG202" s="885"/>
      <c r="FOH202" s="885"/>
      <c r="FOI202" s="885"/>
      <c r="FOJ202" s="885"/>
      <c r="FOK202" s="885"/>
      <c r="FOL202" s="885"/>
      <c r="FOM202" s="885"/>
      <c r="FON202" s="885"/>
      <c r="FOO202" s="885"/>
      <c r="FOP202" s="885"/>
      <c r="FOQ202" s="885"/>
      <c r="FOR202" s="885"/>
      <c r="FOS202" s="885"/>
      <c r="FOT202" s="885"/>
      <c r="FOU202" s="885"/>
      <c r="FOV202" s="885"/>
      <c r="FOW202" s="885"/>
      <c r="FOX202" s="885"/>
      <c r="FOY202" s="885"/>
      <c r="FOZ202" s="885"/>
      <c r="FPA202" s="885"/>
      <c r="FPB202" s="885"/>
      <c r="FPC202" s="885"/>
      <c r="FPD202" s="885"/>
      <c r="FPE202" s="885"/>
      <c r="FPF202" s="885"/>
      <c r="FPG202" s="885"/>
      <c r="FPH202" s="885"/>
      <c r="FPI202" s="885"/>
      <c r="FPJ202" s="885"/>
      <c r="FPK202" s="885"/>
      <c r="FPL202" s="885"/>
      <c r="FPM202" s="885"/>
      <c r="FPN202" s="885"/>
      <c r="FPO202" s="885"/>
      <c r="FPP202" s="885"/>
      <c r="FPQ202" s="885"/>
      <c r="FPR202" s="885"/>
      <c r="FPS202" s="885"/>
      <c r="FPT202" s="885"/>
      <c r="FPU202" s="885"/>
      <c r="FPV202" s="885"/>
      <c r="FPW202" s="885"/>
      <c r="FPX202" s="885"/>
      <c r="FPY202" s="885"/>
      <c r="FPZ202" s="885"/>
      <c r="FQA202" s="885"/>
      <c r="FQB202" s="885"/>
      <c r="FQC202" s="885"/>
      <c r="FQD202" s="885"/>
      <c r="FQE202" s="885"/>
      <c r="FQF202" s="885"/>
      <c r="FQG202" s="885"/>
      <c r="FQH202" s="885"/>
      <c r="FQI202" s="885"/>
      <c r="FQJ202" s="885"/>
      <c r="FQK202" s="885"/>
      <c r="FQL202" s="885"/>
      <c r="FQM202" s="885"/>
      <c r="FQN202" s="885"/>
      <c r="FQO202" s="885"/>
      <c r="FQP202" s="885"/>
      <c r="FQQ202" s="885"/>
      <c r="FQR202" s="885"/>
      <c r="FQS202" s="885"/>
      <c r="FQT202" s="885"/>
      <c r="FQU202" s="885"/>
      <c r="FQV202" s="885"/>
      <c r="FQW202" s="885"/>
      <c r="FQX202" s="885"/>
      <c r="FQY202" s="885"/>
      <c r="FQZ202" s="885"/>
      <c r="FRA202" s="885"/>
      <c r="FRB202" s="885"/>
      <c r="FRC202" s="885"/>
      <c r="FRD202" s="885"/>
      <c r="FRE202" s="885"/>
      <c r="FRF202" s="885"/>
      <c r="FRG202" s="885"/>
      <c r="FRH202" s="885"/>
      <c r="FRI202" s="885"/>
      <c r="FRJ202" s="885"/>
      <c r="FRK202" s="885"/>
      <c r="FRL202" s="885"/>
      <c r="FRM202" s="885"/>
      <c r="FRN202" s="885"/>
      <c r="FRO202" s="885"/>
      <c r="FRP202" s="885"/>
      <c r="FRQ202" s="885"/>
      <c r="FRR202" s="885"/>
      <c r="FRS202" s="885"/>
      <c r="FRT202" s="885"/>
      <c r="FRU202" s="885"/>
      <c r="FRV202" s="885"/>
      <c r="FRW202" s="885"/>
      <c r="FRX202" s="885"/>
      <c r="FRY202" s="885"/>
      <c r="FRZ202" s="885"/>
      <c r="FSA202" s="885"/>
      <c r="FSB202" s="885"/>
      <c r="FSC202" s="885"/>
      <c r="FSD202" s="885"/>
      <c r="FSE202" s="885"/>
      <c r="FSF202" s="885"/>
      <c r="FSG202" s="885"/>
      <c r="FSH202" s="885"/>
      <c r="FSI202" s="885"/>
      <c r="FSJ202" s="885"/>
      <c r="FSK202" s="885"/>
      <c r="FSL202" s="885"/>
      <c r="FSM202" s="885"/>
      <c r="FSN202" s="885"/>
      <c r="FSO202" s="885"/>
      <c r="FSP202" s="885"/>
      <c r="FSQ202" s="885"/>
      <c r="FSR202" s="885"/>
      <c r="FSS202" s="885"/>
      <c r="FST202" s="885"/>
      <c r="FSU202" s="885"/>
      <c r="FSV202" s="885"/>
      <c r="FSW202" s="885"/>
      <c r="FSX202" s="885"/>
      <c r="FSY202" s="885"/>
      <c r="FSZ202" s="885"/>
      <c r="FTA202" s="885"/>
      <c r="FTB202" s="885"/>
      <c r="FTC202" s="885"/>
      <c r="FTD202" s="885"/>
      <c r="FTE202" s="885"/>
      <c r="FTF202" s="885"/>
      <c r="FTG202" s="885"/>
      <c r="FTH202" s="885"/>
      <c r="FTI202" s="885"/>
      <c r="FTJ202" s="885"/>
      <c r="FTK202" s="885"/>
      <c r="FTL202" s="885"/>
      <c r="FTM202" s="885"/>
      <c r="FTN202" s="885"/>
      <c r="FTO202" s="885"/>
      <c r="FTP202" s="885"/>
      <c r="FTQ202" s="885"/>
      <c r="FTR202" s="885"/>
      <c r="FTS202" s="885"/>
      <c r="FTT202" s="885"/>
      <c r="FTU202" s="885"/>
      <c r="FTV202" s="885"/>
      <c r="FTW202" s="885"/>
      <c r="FTX202" s="885"/>
      <c r="FTY202" s="885"/>
      <c r="FTZ202" s="885"/>
      <c r="FUA202" s="885"/>
      <c r="FUB202" s="885"/>
      <c r="FUC202" s="885"/>
      <c r="FUD202" s="885"/>
      <c r="FUE202" s="885"/>
      <c r="FUF202" s="885"/>
      <c r="FUG202" s="885"/>
      <c r="FUH202" s="885"/>
      <c r="FUI202" s="885"/>
      <c r="FUJ202" s="885"/>
      <c r="FUK202" s="885"/>
      <c r="FUL202" s="885"/>
      <c r="FUM202" s="885"/>
      <c r="FUN202" s="885"/>
      <c r="FUO202" s="885"/>
      <c r="FUP202" s="885"/>
      <c r="FUQ202" s="885"/>
      <c r="FUR202" s="885"/>
      <c r="FUS202" s="885"/>
      <c r="FUT202" s="885"/>
      <c r="FUU202" s="885"/>
      <c r="FUV202" s="885"/>
      <c r="FUW202" s="885"/>
      <c r="FUX202" s="885"/>
      <c r="FUY202" s="885"/>
      <c r="FUZ202" s="885"/>
      <c r="FVA202" s="885"/>
      <c r="FVB202" s="885"/>
      <c r="FVC202" s="885"/>
      <c r="FVD202" s="885"/>
      <c r="FVE202" s="885"/>
      <c r="FVF202" s="885"/>
      <c r="FVG202" s="885"/>
      <c r="FVH202" s="885"/>
      <c r="FVI202" s="885"/>
      <c r="FVJ202" s="885"/>
      <c r="FVK202" s="885"/>
      <c r="FVL202" s="885"/>
      <c r="FVM202" s="885"/>
      <c r="FVN202" s="885"/>
      <c r="FVO202" s="885"/>
      <c r="FVP202" s="885"/>
      <c r="FVQ202" s="885"/>
      <c r="FVR202" s="885"/>
      <c r="FVS202" s="885"/>
      <c r="FVT202" s="885"/>
      <c r="FVU202" s="885"/>
      <c r="FVV202" s="885"/>
      <c r="FVW202" s="885"/>
      <c r="FVX202" s="885"/>
      <c r="FVY202" s="885"/>
      <c r="FVZ202" s="885"/>
      <c r="FWA202" s="885"/>
      <c r="FWB202" s="885"/>
      <c r="FWC202" s="885"/>
      <c r="FWD202" s="885"/>
      <c r="FWE202" s="885"/>
      <c r="FWF202" s="885"/>
      <c r="FWG202" s="885"/>
      <c r="FWH202" s="885"/>
      <c r="FWI202" s="885"/>
      <c r="FWJ202" s="885"/>
      <c r="FWK202" s="885"/>
      <c r="FWL202" s="885"/>
      <c r="FWM202" s="885"/>
      <c r="FWN202" s="885"/>
      <c r="FWO202" s="885"/>
      <c r="FWP202" s="885"/>
      <c r="FWQ202" s="885"/>
      <c r="FWR202" s="885"/>
      <c r="FWS202" s="885"/>
      <c r="FWT202" s="885"/>
      <c r="FWU202" s="885"/>
      <c r="FWV202" s="885"/>
      <c r="FWW202" s="885"/>
      <c r="FWX202" s="885"/>
      <c r="FWY202" s="885"/>
      <c r="FWZ202" s="885"/>
      <c r="FXA202" s="885"/>
      <c r="FXB202" s="885"/>
      <c r="FXC202" s="885"/>
      <c r="FXD202" s="885"/>
      <c r="FXE202" s="885"/>
      <c r="FXF202" s="885"/>
      <c r="FXG202" s="885"/>
      <c r="FXH202" s="885"/>
      <c r="FXI202" s="885"/>
      <c r="FXJ202" s="885"/>
      <c r="FXK202" s="885"/>
      <c r="FXL202" s="885"/>
      <c r="FXM202" s="885"/>
      <c r="FXN202" s="885"/>
      <c r="FXO202" s="885"/>
      <c r="FXP202" s="885"/>
      <c r="FXQ202" s="885"/>
      <c r="FXR202" s="885"/>
      <c r="FXS202" s="885"/>
      <c r="FXT202" s="885"/>
      <c r="FXU202" s="885"/>
      <c r="FXV202" s="885"/>
      <c r="FXW202" s="885"/>
      <c r="FXX202" s="885"/>
      <c r="FXY202" s="885"/>
      <c r="FXZ202" s="885"/>
      <c r="FYA202" s="885"/>
      <c r="FYB202" s="885"/>
      <c r="FYC202" s="885"/>
      <c r="FYD202" s="885"/>
      <c r="FYE202" s="885"/>
      <c r="FYF202" s="885"/>
      <c r="FYG202" s="885"/>
      <c r="FYH202" s="885"/>
      <c r="FYI202" s="885"/>
      <c r="FYJ202" s="885"/>
      <c r="FYK202" s="885"/>
      <c r="FYL202" s="885"/>
      <c r="FYM202" s="885"/>
      <c r="FYN202" s="885"/>
      <c r="FYO202" s="885"/>
      <c r="FYP202" s="885"/>
      <c r="FYQ202" s="885"/>
      <c r="FYR202" s="885"/>
      <c r="FYS202" s="885"/>
      <c r="FYT202" s="885"/>
      <c r="FYU202" s="885"/>
      <c r="FYV202" s="885"/>
      <c r="FYW202" s="885"/>
      <c r="FYX202" s="885"/>
      <c r="FYY202" s="885"/>
      <c r="FYZ202" s="885"/>
      <c r="FZA202" s="885"/>
      <c r="FZB202" s="885"/>
      <c r="FZC202" s="885"/>
      <c r="FZD202" s="885"/>
      <c r="FZE202" s="885"/>
      <c r="FZF202" s="885"/>
      <c r="FZG202" s="885"/>
      <c r="FZH202" s="885"/>
      <c r="FZI202" s="885"/>
      <c r="FZJ202" s="885"/>
      <c r="FZK202" s="885"/>
      <c r="FZL202" s="885"/>
      <c r="FZM202" s="885"/>
      <c r="FZN202" s="885"/>
      <c r="FZO202" s="885"/>
      <c r="FZP202" s="885"/>
      <c r="FZQ202" s="885"/>
      <c r="FZR202" s="885"/>
      <c r="FZS202" s="885"/>
      <c r="FZT202" s="885"/>
      <c r="FZU202" s="885"/>
      <c r="FZV202" s="885"/>
      <c r="FZW202" s="885"/>
      <c r="FZX202" s="885"/>
      <c r="FZY202" s="885"/>
      <c r="FZZ202" s="885"/>
      <c r="GAA202" s="885"/>
      <c r="GAB202" s="885"/>
      <c r="GAC202" s="885"/>
      <c r="GAD202" s="885"/>
      <c r="GAE202" s="885"/>
      <c r="GAF202" s="885"/>
      <c r="GAG202" s="885"/>
      <c r="GAH202" s="885"/>
      <c r="GAI202" s="885"/>
      <c r="GAJ202" s="885"/>
      <c r="GAK202" s="885"/>
      <c r="GAL202" s="885"/>
      <c r="GAM202" s="885"/>
      <c r="GAN202" s="885"/>
      <c r="GAO202" s="885"/>
      <c r="GAP202" s="885"/>
      <c r="GAQ202" s="885"/>
      <c r="GAR202" s="885"/>
      <c r="GAS202" s="885"/>
      <c r="GAT202" s="885"/>
      <c r="GAU202" s="885"/>
      <c r="GAV202" s="885"/>
      <c r="GAW202" s="885"/>
      <c r="GAX202" s="885"/>
      <c r="GAY202" s="885"/>
      <c r="GAZ202" s="885"/>
      <c r="GBA202" s="885"/>
      <c r="GBB202" s="885"/>
      <c r="GBC202" s="885"/>
      <c r="GBD202" s="885"/>
      <c r="GBE202" s="885"/>
      <c r="GBF202" s="885"/>
      <c r="GBG202" s="885"/>
      <c r="GBH202" s="885"/>
      <c r="GBI202" s="885"/>
      <c r="GBJ202" s="885"/>
      <c r="GBK202" s="885"/>
      <c r="GBL202" s="885"/>
      <c r="GBM202" s="885"/>
      <c r="GBN202" s="885"/>
      <c r="GBO202" s="885"/>
      <c r="GBP202" s="885"/>
      <c r="GBQ202" s="885"/>
      <c r="GBR202" s="885"/>
      <c r="GBS202" s="885"/>
      <c r="GBT202" s="885"/>
      <c r="GBU202" s="885"/>
      <c r="GBV202" s="885"/>
      <c r="GBW202" s="885"/>
      <c r="GBX202" s="885"/>
      <c r="GBY202" s="885"/>
      <c r="GBZ202" s="885"/>
      <c r="GCA202" s="885"/>
      <c r="GCB202" s="885"/>
      <c r="GCC202" s="885"/>
      <c r="GCD202" s="885"/>
      <c r="GCE202" s="885"/>
      <c r="GCF202" s="885"/>
      <c r="GCG202" s="885"/>
      <c r="GCH202" s="885"/>
      <c r="GCI202" s="885"/>
      <c r="GCJ202" s="885"/>
      <c r="GCK202" s="885"/>
      <c r="GCL202" s="885"/>
      <c r="GCM202" s="885"/>
      <c r="GCN202" s="885"/>
      <c r="GCO202" s="885"/>
      <c r="GCP202" s="885"/>
      <c r="GCQ202" s="885"/>
      <c r="GCR202" s="885"/>
      <c r="GCS202" s="885"/>
      <c r="GCT202" s="885"/>
      <c r="GCU202" s="885"/>
      <c r="GCV202" s="885"/>
      <c r="GCW202" s="885"/>
      <c r="GCX202" s="885"/>
      <c r="GCY202" s="885"/>
      <c r="GCZ202" s="885"/>
      <c r="GDA202" s="885"/>
      <c r="GDB202" s="885"/>
      <c r="GDC202" s="885"/>
      <c r="GDD202" s="885"/>
      <c r="GDE202" s="885"/>
      <c r="GDF202" s="885"/>
      <c r="GDG202" s="885"/>
      <c r="GDH202" s="885"/>
      <c r="GDI202" s="885"/>
      <c r="GDJ202" s="885"/>
      <c r="GDK202" s="885"/>
      <c r="GDL202" s="885"/>
      <c r="GDM202" s="885"/>
      <c r="GDN202" s="885"/>
      <c r="GDO202" s="885"/>
      <c r="GDP202" s="885"/>
      <c r="GDQ202" s="885"/>
      <c r="GDR202" s="885"/>
      <c r="GDS202" s="885"/>
      <c r="GDT202" s="885"/>
      <c r="GDU202" s="885"/>
      <c r="GDV202" s="885"/>
      <c r="GDW202" s="885"/>
      <c r="GDX202" s="885"/>
      <c r="GDY202" s="885"/>
      <c r="GDZ202" s="885"/>
      <c r="GEA202" s="885"/>
      <c r="GEB202" s="885"/>
      <c r="GEC202" s="885"/>
      <c r="GED202" s="885"/>
      <c r="GEE202" s="885"/>
      <c r="GEF202" s="885"/>
      <c r="GEG202" s="885"/>
      <c r="GEH202" s="885"/>
      <c r="GEI202" s="885"/>
      <c r="GEJ202" s="885"/>
      <c r="GEK202" s="885"/>
      <c r="GEL202" s="885"/>
      <c r="GEM202" s="885"/>
      <c r="GEN202" s="885"/>
      <c r="GEO202" s="885"/>
      <c r="GEP202" s="885"/>
      <c r="GEQ202" s="885"/>
      <c r="GER202" s="885"/>
      <c r="GES202" s="885"/>
      <c r="GET202" s="885"/>
      <c r="GEU202" s="885"/>
      <c r="GEV202" s="885"/>
      <c r="GEW202" s="885"/>
      <c r="GEX202" s="885"/>
      <c r="GEY202" s="885"/>
      <c r="GEZ202" s="885"/>
      <c r="GFA202" s="885"/>
      <c r="GFB202" s="885"/>
      <c r="GFC202" s="885"/>
      <c r="GFD202" s="885"/>
      <c r="GFE202" s="885"/>
      <c r="GFF202" s="885"/>
      <c r="GFG202" s="885"/>
      <c r="GFH202" s="885"/>
      <c r="GFI202" s="885"/>
      <c r="GFJ202" s="885"/>
      <c r="GFK202" s="885"/>
      <c r="GFL202" s="885"/>
      <c r="GFM202" s="885"/>
      <c r="GFN202" s="885"/>
      <c r="GFO202" s="885"/>
      <c r="GFP202" s="885"/>
      <c r="GFQ202" s="885"/>
      <c r="GFR202" s="885"/>
      <c r="GFS202" s="885"/>
      <c r="GFT202" s="885"/>
      <c r="GFU202" s="885"/>
      <c r="GFV202" s="885"/>
      <c r="GFW202" s="885"/>
      <c r="GFX202" s="885"/>
      <c r="GFY202" s="885"/>
      <c r="GFZ202" s="885"/>
      <c r="GGA202" s="885"/>
      <c r="GGB202" s="885"/>
      <c r="GGC202" s="885"/>
      <c r="GGD202" s="885"/>
      <c r="GGE202" s="885"/>
      <c r="GGF202" s="885"/>
      <c r="GGG202" s="885"/>
      <c r="GGH202" s="885"/>
      <c r="GGI202" s="885"/>
      <c r="GGJ202" s="885"/>
      <c r="GGK202" s="885"/>
      <c r="GGL202" s="885"/>
      <c r="GGM202" s="885"/>
      <c r="GGN202" s="885"/>
      <c r="GGO202" s="885"/>
      <c r="GGP202" s="885"/>
      <c r="GGQ202" s="885"/>
      <c r="GGR202" s="885"/>
      <c r="GGS202" s="885"/>
      <c r="GGT202" s="885"/>
      <c r="GGU202" s="885"/>
      <c r="GGV202" s="885"/>
      <c r="GGW202" s="885"/>
      <c r="GGX202" s="885"/>
      <c r="GGY202" s="885"/>
      <c r="GGZ202" s="885"/>
      <c r="GHA202" s="885"/>
      <c r="GHB202" s="885"/>
      <c r="GHC202" s="885"/>
      <c r="GHD202" s="885"/>
      <c r="GHE202" s="885"/>
      <c r="GHF202" s="885"/>
      <c r="GHG202" s="885"/>
      <c r="GHH202" s="885"/>
      <c r="GHI202" s="885"/>
      <c r="GHJ202" s="885"/>
      <c r="GHK202" s="885"/>
      <c r="GHL202" s="885"/>
      <c r="GHM202" s="885"/>
      <c r="GHN202" s="885"/>
      <c r="GHO202" s="885"/>
      <c r="GHP202" s="885"/>
      <c r="GHQ202" s="885"/>
      <c r="GHR202" s="885"/>
      <c r="GHS202" s="885"/>
      <c r="GHT202" s="885"/>
      <c r="GHU202" s="885"/>
      <c r="GHV202" s="885"/>
      <c r="GHW202" s="885"/>
      <c r="GHX202" s="885"/>
      <c r="GHY202" s="885"/>
      <c r="GHZ202" s="885"/>
      <c r="GIA202" s="885"/>
      <c r="GIB202" s="885"/>
      <c r="GIC202" s="885"/>
      <c r="GID202" s="885"/>
      <c r="GIE202" s="885"/>
      <c r="GIF202" s="885"/>
      <c r="GIG202" s="885"/>
      <c r="GIH202" s="885"/>
      <c r="GII202" s="885"/>
      <c r="GIJ202" s="885"/>
      <c r="GIK202" s="885"/>
      <c r="GIL202" s="885"/>
      <c r="GIM202" s="885"/>
      <c r="GIN202" s="885"/>
      <c r="GIO202" s="885"/>
      <c r="GIP202" s="885"/>
      <c r="GIQ202" s="885"/>
      <c r="GIR202" s="885"/>
      <c r="GIS202" s="885"/>
      <c r="GIT202" s="885"/>
      <c r="GIU202" s="885"/>
      <c r="GIV202" s="885"/>
      <c r="GIW202" s="885"/>
      <c r="GIX202" s="885"/>
      <c r="GIY202" s="885"/>
      <c r="GIZ202" s="885"/>
      <c r="GJA202" s="885"/>
      <c r="GJB202" s="885"/>
      <c r="GJC202" s="885"/>
      <c r="GJD202" s="885"/>
      <c r="GJE202" s="885"/>
      <c r="GJF202" s="885"/>
      <c r="GJG202" s="885"/>
      <c r="GJH202" s="885"/>
      <c r="GJI202" s="885"/>
      <c r="GJJ202" s="885"/>
      <c r="GJK202" s="885"/>
      <c r="GJL202" s="885"/>
      <c r="GJM202" s="885"/>
      <c r="GJN202" s="885"/>
      <c r="GJO202" s="885"/>
      <c r="GJP202" s="885"/>
      <c r="GJQ202" s="885"/>
      <c r="GJR202" s="885"/>
      <c r="GJS202" s="885"/>
      <c r="GJT202" s="885"/>
      <c r="GJU202" s="885"/>
      <c r="GJV202" s="885"/>
      <c r="GJW202" s="885"/>
      <c r="GJX202" s="885"/>
      <c r="GJY202" s="885"/>
      <c r="GJZ202" s="885"/>
      <c r="GKA202" s="885"/>
      <c r="GKB202" s="885"/>
      <c r="GKC202" s="885"/>
      <c r="GKD202" s="885"/>
      <c r="GKE202" s="885"/>
      <c r="GKF202" s="885"/>
      <c r="GKG202" s="885"/>
      <c r="GKH202" s="885"/>
      <c r="GKI202" s="885"/>
      <c r="GKJ202" s="885"/>
      <c r="GKK202" s="885"/>
      <c r="GKL202" s="885"/>
      <c r="GKM202" s="885"/>
      <c r="GKN202" s="885"/>
      <c r="GKO202" s="885"/>
      <c r="GKP202" s="885"/>
      <c r="GKQ202" s="885"/>
      <c r="GKR202" s="885"/>
      <c r="GKS202" s="885"/>
      <c r="GKT202" s="885"/>
      <c r="GKU202" s="885"/>
      <c r="GKV202" s="885"/>
      <c r="GKW202" s="885"/>
      <c r="GKX202" s="885"/>
      <c r="GKY202" s="885"/>
      <c r="GKZ202" s="885"/>
      <c r="GLA202" s="885"/>
      <c r="GLB202" s="885"/>
      <c r="GLC202" s="885"/>
      <c r="GLD202" s="885"/>
      <c r="GLE202" s="885"/>
      <c r="GLF202" s="885"/>
      <c r="GLG202" s="885"/>
      <c r="GLH202" s="885"/>
      <c r="GLI202" s="885"/>
      <c r="GLJ202" s="885"/>
      <c r="GLK202" s="885"/>
      <c r="GLL202" s="885"/>
      <c r="GLM202" s="885"/>
      <c r="GLN202" s="885"/>
      <c r="GLO202" s="885"/>
      <c r="GLP202" s="885"/>
      <c r="GLQ202" s="885"/>
      <c r="GLR202" s="885"/>
      <c r="GLS202" s="885"/>
      <c r="GLT202" s="885"/>
      <c r="GLU202" s="885"/>
      <c r="GLV202" s="885"/>
      <c r="GLW202" s="885"/>
      <c r="GLX202" s="885"/>
      <c r="GLY202" s="885"/>
      <c r="GLZ202" s="885"/>
      <c r="GMA202" s="885"/>
      <c r="GMB202" s="885"/>
      <c r="GMC202" s="885"/>
      <c r="GMD202" s="885"/>
      <c r="GME202" s="885"/>
      <c r="GMF202" s="885"/>
      <c r="GMG202" s="885"/>
      <c r="GMH202" s="885"/>
      <c r="GMI202" s="885"/>
      <c r="GMJ202" s="885"/>
      <c r="GMK202" s="885"/>
      <c r="GML202" s="885"/>
      <c r="GMM202" s="885"/>
      <c r="GMN202" s="885"/>
      <c r="GMO202" s="885"/>
      <c r="GMP202" s="885"/>
      <c r="GMQ202" s="885"/>
      <c r="GMR202" s="885"/>
      <c r="GMS202" s="885"/>
      <c r="GMT202" s="885"/>
      <c r="GMU202" s="885"/>
      <c r="GMV202" s="885"/>
      <c r="GMW202" s="885"/>
      <c r="GMX202" s="885"/>
      <c r="GMY202" s="885"/>
      <c r="GMZ202" s="885"/>
      <c r="GNA202" s="885"/>
      <c r="GNB202" s="885"/>
      <c r="GNC202" s="885"/>
      <c r="GND202" s="885"/>
      <c r="GNE202" s="885"/>
      <c r="GNF202" s="885"/>
      <c r="GNG202" s="885"/>
      <c r="GNH202" s="885"/>
      <c r="GNI202" s="885"/>
      <c r="GNJ202" s="885"/>
      <c r="GNK202" s="885"/>
      <c r="GNL202" s="885"/>
      <c r="GNM202" s="885"/>
      <c r="GNN202" s="885"/>
      <c r="GNO202" s="885"/>
      <c r="GNP202" s="885"/>
      <c r="GNQ202" s="885"/>
      <c r="GNR202" s="885"/>
      <c r="GNS202" s="885"/>
      <c r="GNT202" s="885"/>
      <c r="GNU202" s="885"/>
      <c r="GNV202" s="885"/>
      <c r="GNW202" s="885"/>
      <c r="GNX202" s="885"/>
      <c r="GNY202" s="885"/>
      <c r="GNZ202" s="885"/>
      <c r="GOA202" s="885"/>
      <c r="GOB202" s="885"/>
      <c r="GOC202" s="885"/>
      <c r="GOD202" s="885"/>
      <c r="GOE202" s="885"/>
      <c r="GOF202" s="885"/>
      <c r="GOG202" s="885"/>
      <c r="GOH202" s="885"/>
      <c r="GOI202" s="885"/>
      <c r="GOJ202" s="885"/>
      <c r="GOK202" s="885"/>
      <c r="GOL202" s="885"/>
      <c r="GOM202" s="885"/>
      <c r="GON202" s="885"/>
      <c r="GOO202" s="885"/>
      <c r="GOP202" s="885"/>
      <c r="GOQ202" s="885"/>
      <c r="GOR202" s="885"/>
      <c r="GOS202" s="885"/>
      <c r="GOT202" s="885"/>
      <c r="GOU202" s="885"/>
      <c r="GOV202" s="885"/>
      <c r="GOW202" s="885"/>
      <c r="GOX202" s="885"/>
      <c r="GOY202" s="885"/>
      <c r="GOZ202" s="885"/>
      <c r="GPA202" s="885"/>
      <c r="GPB202" s="885"/>
      <c r="GPC202" s="885"/>
      <c r="GPD202" s="885"/>
      <c r="GPE202" s="885"/>
      <c r="GPF202" s="885"/>
      <c r="GPG202" s="885"/>
      <c r="GPH202" s="885"/>
      <c r="GPI202" s="885"/>
      <c r="GPJ202" s="885"/>
      <c r="GPK202" s="885"/>
      <c r="GPL202" s="885"/>
      <c r="GPM202" s="885"/>
      <c r="GPN202" s="885"/>
      <c r="GPO202" s="885"/>
      <c r="GPP202" s="885"/>
      <c r="GPQ202" s="885"/>
      <c r="GPR202" s="885"/>
      <c r="GPS202" s="885"/>
      <c r="GPT202" s="885"/>
      <c r="GPU202" s="885"/>
      <c r="GPV202" s="885"/>
      <c r="GPW202" s="885"/>
      <c r="GPX202" s="885"/>
      <c r="GPY202" s="885"/>
      <c r="GPZ202" s="885"/>
      <c r="GQA202" s="885"/>
      <c r="GQB202" s="885"/>
      <c r="GQC202" s="885"/>
      <c r="GQD202" s="885"/>
      <c r="GQE202" s="885"/>
      <c r="GQF202" s="885"/>
      <c r="GQG202" s="885"/>
      <c r="GQH202" s="885"/>
      <c r="GQI202" s="885"/>
      <c r="GQJ202" s="885"/>
      <c r="GQK202" s="885"/>
      <c r="GQL202" s="885"/>
      <c r="GQM202" s="885"/>
      <c r="GQN202" s="885"/>
      <c r="GQO202" s="885"/>
      <c r="GQP202" s="885"/>
      <c r="GQQ202" s="885"/>
      <c r="GQR202" s="885"/>
      <c r="GQS202" s="885"/>
      <c r="GQT202" s="885"/>
      <c r="GQU202" s="885"/>
      <c r="GQV202" s="885"/>
      <c r="GQW202" s="885"/>
      <c r="GQX202" s="885"/>
      <c r="GQY202" s="885"/>
      <c r="GQZ202" s="885"/>
      <c r="GRA202" s="885"/>
      <c r="GRB202" s="885"/>
      <c r="GRC202" s="885"/>
      <c r="GRD202" s="885"/>
      <c r="GRE202" s="885"/>
      <c r="GRF202" s="885"/>
      <c r="GRG202" s="885"/>
      <c r="GRH202" s="885"/>
      <c r="GRI202" s="885"/>
      <c r="GRJ202" s="885"/>
      <c r="GRK202" s="885"/>
      <c r="GRL202" s="885"/>
      <c r="GRM202" s="885"/>
      <c r="GRN202" s="885"/>
      <c r="GRO202" s="885"/>
      <c r="GRP202" s="885"/>
      <c r="GRQ202" s="885"/>
      <c r="GRR202" s="885"/>
      <c r="GRS202" s="885"/>
      <c r="GRT202" s="885"/>
      <c r="GRU202" s="885"/>
      <c r="GRV202" s="885"/>
      <c r="GRW202" s="885"/>
      <c r="GRX202" s="885"/>
      <c r="GRY202" s="885"/>
      <c r="GRZ202" s="885"/>
      <c r="GSA202" s="885"/>
      <c r="GSB202" s="885"/>
      <c r="GSC202" s="885"/>
      <c r="GSD202" s="885"/>
      <c r="GSE202" s="885"/>
      <c r="GSF202" s="885"/>
      <c r="GSG202" s="885"/>
      <c r="GSH202" s="885"/>
      <c r="GSI202" s="885"/>
      <c r="GSJ202" s="885"/>
      <c r="GSK202" s="885"/>
      <c r="GSL202" s="885"/>
      <c r="GSM202" s="885"/>
      <c r="GSN202" s="885"/>
      <c r="GSO202" s="885"/>
      <c r="GSP202" s="885"/>
      <c r="GSQ202" s="885"/>
      <c r="GSR202" s="885"/>
      <c r="GSS202" s="885"/>
      <c r="GST202" s="885"/>
      <c r="GSU202" s="885"/>
      <c r="GSV202" s="885"/>
      <c r="GSW202" s="885"/>
      <c r="GSX202" s="885"/>
      <c r="GSY202" s="885"/>
      <c r="GSZ202" s="885"/>
      <c r="GTA202" s="885"/>
      <c r="GTB202" s="885"/>
      <c r="GTC202" s="885"/>
      <c r="GTD202" s="885"/>
      <c r="GTE202" s="885"/>
      <c r="GTF202" s="885"/>
      <c r="GTG202" s="885"/>
      <c r="GTH202" s="885"/>
      <c r="GTI202" s="885"/>
      <c r="GTJ202" s="885"/>
      <c r="GTK202" s="885"/>
      <c r="GTL202" s="885"/>
      <c r="GTM202" s="885"/>
      <c r="GTN202" s="885"/>
      <c r="GTO202" s="885"/>
      <c r="GTP202" s="885"/>
      <c r="GTQ202" s="885"/>
      <c r="GTR202" s="885"/>
      <c r="GTS202" s="885"/>
      <c r="GTT202" s="885"/>
      <c r="GTU202" s="885"/>
      <c r="GTV202" s="885"/>
      <c r="GTW202" s="885"/>
      <c r="GTX202" s="885"/>
      <c r="GTY202" s="885"/>
      <c r="GTZ202" s="885"/>
      <c r="GUA202" s="885"/>
      <c r="GUB202" s="885"/>
      <c r="GUC202" s="885"/>
      <c r="GUD202" s="885"/>
      <c r="GUE202" s="885"/>
      <c r="GUF202" s="885"/>
      <c r="GUG202" s="885"/>
      <c r="GUH202" s="885"/>
      <c r="GUI202" s="885"/>
      <c r="GUJ202" s="885"/>
      <c r="GUK202" s="885"/>
      <c r="GUL202" s="885"/>
      <c r="GUM202" s="885"/>
      <c r="GUN202" s="885"/>
      <c r="GUO202" s="885"/>
      <c r="GUP202" s="885"/>
      <c r="GUQ202" s="885"/>
      <c r="GUR202" s="885"/>
      <c r="GUS202" s="885"/>
      <c r="GUT202" s="885"/>
      <c r="GUU202" s="885"/>
      <c r="GUV202" s="885"/>
      <c r="GUW202" s="885"/>
      <c r="GUX202" s="885"/>
      <c r="GUY202" s="885"/>
      <c r="GUZ202" s="885"/>
      <c r="GVA202" s="885"/>
      <c r="GVB202" s="885"/>
      <c r="GVC202" s="885"/>
      <c r="GVD202" s="885"/>
      <c r="GVE202" s="885"/>
      <c r="GVF202" s="885"/>
      <c r="GVG202" s="885"/>
      <c r="GVH202" s="885"/>
      <c r="GVI202" s="885"/>
      <c r="GVJ202" s="885"/>
      <c r="GVK202" s="885"/>
      <c r="GVL202" s="885"/>
      <c r="GVM202" s="885"/>
      <c r="GVN202" s="885"/>
      <c r="GVO202" s="885"/>
      <c r="GVP202" s="885"/>
      <c r="GVQ202" s="885"/>
      <c r="GVR202" s="885"/>
      <c r="GVS202" s="885"/>
      <c r="GVT202" s="885"/>
      <c r="GVU202" s="885"/>
      <c r="GVV202" s="885"/>
      <c r="GVW202" s="885"/>
      <c r="GVX202" s="885"/>
      <c r="GVY202" s="885"/>
      <c r="GVZ202" s="885"/>
      <c r="GWA202" s="885"/>
      <c r="GWB202" s="885"/>
      <c r="GWC202" s="885"/>
      <c r="GWD202" s="885"/>
      <c r="GWE202" s="885"/>
      <c r="GWF202" s="885"/>
      <c r="GWG202" s="885"/>
      <c r="GWH202" s="885"/>
      <c r="GWI202" s="885"/>
      <c r="GWJ202" s="885"/>
      <c r="GWK202" s="885"/>
      <c r="GWL202" s="885"/>
      <c r="GWM202" s="885"/>
      <c r="GWN202" s="885"/>
      <c r="GWO202" s="885"/>
      <c r="GWP202" s="885"/>
      <c r="GWQ202" s="885"/>
      <c r="GWR202" s="885"/>
      <c r="GWS202" s="885"/>
      <c r="GWT202" s="885"/>
      <c r="GWU202" s="885"/>
      <c r="GWV202" s="885"/>
      <c r="GWW202" s="885"/>
      <c r="GWX202" s="885"/>
      <c r="GWY202" s="885"/>
      <c r="GWZ202" s="885"/>
      <c r="GXA202" s="885"/>
      <c r="GXB202" s="885"/>
      <c r="GXC202" s="885"/>
      <c r="GXD202" s="885"/>
      <c r="GXE202" s="885"/>
      <c r="GXF202" s="885"/>
      <c r="GXG202" s="885"/>
      <c r="GXH202" s="885"/>
      <c r="GXI202" s="885"/>
      <c r="GXJ202" s="885"/>
      <c r="GXK202" s="885"/>
      <c r="GXL202" s="885"/>
      <c r="GXM202" s="885"/>
      <c r="GXN202" s="885"/>
      <c r="GXO202" s="885"/>
      <c r="GXP202" s="885"/>
      <c r="GXQ202" s="885"/>
      <c r="GXR202" s="885"/>
      <c r="GXS202" s="885"/>
      <c r="GXT202" s="885"/>
      <c r="GXU202" s="885"/>
      <c r="GXV202" s="885"/>
      <c r="GXW202" s="885"/>
      <c r="GXX202" s="885"/>
      <c r="GXY202" s="885"/>
      <c r="GXZ202" s="885"/>
      <c r="GYA202" s="885"/>
      <c r="GYB202" s="885"/>
      <c r="GYC202" s="885"/>
      <c r="GYD202" s="885"/>
      <c r="GYE202" s="885"/>
      <c r="GYF202" s="885"/>
      <c r="GYG202" s="885"/>
      <c r="GYH202" s="885"/>
      <c r="GYI202" s="885"/>
      <c r="GYJ202" s="885"/>
      <c r="GYK202" s="885"/>
      <c r="GYL202" s="885"/>
      <c r="GYM202" s="885"/>
      <c r="GYN202" s="885"/>
      <c r="GYO202" s="885"/>
      <c r="GYP202" s="885"/>
      <c r="GYQ202" s="885"/>
      <c r="GYR202" s="885"/>
      <c r="GYS202" s="885"/>
      <c r="GYT202" s="885"/>
      <c r="GYU202" s="885"/>
      <c r="GYV202" s="885"/>
      <c r="GYW202" s="885"/>
      <c r="GYX202" s="885"/>
      <c r="GYY202" s="885"/>
      <c r="GYZ202" s="885"/>
      <c r="GZA202" s="885"/>
      <c r="GZB202" s="885"/>
      <c r="GZC202" s="885"/>
      <c r="GZD202" s="885"/>
      <c r="GZE202" s="885"/>
      <c r="GZF202" s="885"/>
      <c r="GZG202" s="885"/>
      <c r="GZH202" s="885"/>
      <c r="GZI202" s="885"/>
      <c r="GZJ202" s="885"/>
      <c r="GZK202" s="885"/>
      <c r="GZL202" s="885"/>
      <c r="GZM202" s="885"/>
      <c r="GZN202" s="885"/>
      <c r="GZO202" s="885"/>
      <c r="GZP202" s="885"/>
      <c r="GZQ202" s="885"/>
      <c r="GZR202" s="885"/>
      <c r="GZS202" s="885"/>
      <c r="GZT202" s="885"/>
      <c r="GZU202" s="885"/>
      <c r="GZV202" s="885"/>
      <c r="GZW202" s="885"/>
      <c r="GZX202" s="885"/>
      <c r="GZY202" s="885"/>
      <c r="GZZ202" s="885"/>
      <c r="HAA202" s="885"/>
      <c r="HAB202" s="885"/>
      <c r="HAC202" s="885"/>
      <c r="HAD202" s="885"/>
      <c r="HAE202" s="885"/>
      <c r="HAF202" s="885"/>
      <c r="HAG202" s="885"/>
      <c r="HAH202" s="885"/>
      <c r="HAI202" s="885"/>
      <c r="HAJ202" s="885"/>
      <c r="HAK202" s="885"/>
      <c r="HAL202" s="885"/>
      <c r="HAM202" s="885"/>
      <c r="HAN202" s="885"/>
      <c r="HAO202" s="885"/>
      <c r="HAP202" s="885"/>
      <c r="HAQ202" s="885"/>
      <c r="HAR202" s="885"/>
      <c r="HAS202" s="885"/>
      <c r="HAT202" s="885"/>
      <c r="HAU202" s="885"/>
      <c r="HAV202" s="885"/>
      <c r="HAW202" s="885"/>
      <c r="HAX202" s="885"/>
      <c r="HAY202" s="885"/>
      <c r="HAZ202" s="885"/>
      <c r="HBA202" s="885"/>
      <c r="HBB202" s="885"/>
      <c r="HBC202" s="885"/>
      <c r="HBD202" s="885"/>
      <c r="HBE202" s="885"/>
      <c r="HBF202" s="885"/>
      <c r="HBG202" s="885"/>
      <c r="HBH202" s="885"/>
      <c r="HBI202" s="885"/>
      <c r="HBJ202" s="885"/>
      <c r="HBK202" s="885"/>
      <c r="HBL202" s="885"/>
      <c r="HBM202" s="885"/>
      <c r="HBN202" s="885"/>
      <c r="HBO202" s="885"/>
      <c r="HBP202" s="885"/>
      <c r="HBQ202" s="885"/>
      <c r="HBR202" s="885"/>
      <c r="HBS202" s="885"/>
      <c r="HBT202" s="885"/>
      <c r="HBU202" s="885"/>
      <c r="HBV202" s="885"/>
      <c r="HBW202" s="885"/>
      <c r="HBX202" s="885"/>
      <c r="HBY202" s="885"/>
      <c r="HBZ202" s="885"/>
      <c r="HCA202" s="885"/>
      <c r="HCB202" s="885"/>
      <c r="HCC202" s="885"/>
      <c r="HCD202" s="885"/>
      <c r="HCE202" s="885"/>
      <c r="HCF202" s="885"/>
      <c r="HCG202" s="885"/>
      <c r="HCH202" s="885"/>
      <c r="HCI202" s="885"/>
      <c r="HCJ202" s="885"/>
      <c r="HCK202" s="885"/>
      <c r="HCL202" s="885"/>
      <c r="HCM202" s="885"/>
      <c r="HCN202" s="885"/>
      <c r="HCO202" s="885"/>
      <c r="HCP202" s="885"/>
      <c r="HCQ202" s="885"/>
      <c r="HCR202" s="885"/>
      <c r="HCS202" s="885"/>
      <c r="HCT202" s="885"/>
      <c r="HCU202" s="885"/>
      <c r="HCV202" s="885"/>
      <c r="HCW202" s="885"/>
      <c r="HCX202" s="885"/>
      <c r="HCY202" s="885"/>
      <c r="HCZ202" s="885"/>
      <c r="HDA202" s="885"/>
      <c r="HDB202" s="885"/>
      <c r="HDC202" s="885"/>
      <c r="HDD202" s="885"/>
      <c r="HDE202" s="885"/>
      <c r="HDF202" s="885"/>
      <c r="HDG202" s="885"/>
      <c r="HDH202" s="885"/>
      <c r="HDI202" s="885"/>
      <c r="HDJ202" s="885"/>
      <c r="HDK202" s="885"/>
      <c r="HDL202" s="885"/>
      <c r="HDM202" s="885"/>
      <c r="HDN202" s="885"/>
      <c r="HDO202" s="885"/>
      <c r="HDP202" s="885"/>
      <c r="HDQ202" s="885"/>
      <c r="HDR202" s="885"/>
      <c r="HDS202" s="885"/>
      <c r="HDT202" s="885"/>
      <c r="HDU202" s="885"/>
      <c r="HDV202" s="885"/>
      <c r="HDW202" s="885"/>
      <c r="HDX202" s="885"/>
      <c r="HDY202" s="885"/>
      <c r="HDZ202" s="885"/>
      <c r="HEA202" s="885"/>
      <c r="HEB202" s="885"/>
      <c r="HEC202" s="885"/>
      <c r="HED202" s="885"/>
      <c r="HEE202" s="885"/>
      <c r="HEF202" s="885"/>
      <c r="HEG202" s="885"/>
      <c r="HEH202" s="885"/>
      <c r="HEI202" s="885"/>
      <c r="HEJ202" s="885"/>
      <c r="HEK202" s="885"/>
      <c r="HEL202" s="885"/>
      <c r="HEM202" s="885"/>
      <c r="HEN202" s="885"/>
      <c r="HEO202" s="885"/>
      <c r="HEP202" s="885"/>
      <c r="HEQ202" s="885"/>
      <c r="HER202" s="885"/>
      <c r="HES202" s="885"/>
      <c r="HET202" s="885"/>
      <c r="HEU202" s="885"/>
      <c r="HEV202" s="885"/>
      <c r="HEW202" s="885"/>
      <c r="HEX202" s="885"/>
      <c r="HEY202" s="885"/>
      <c r="HEZ202" s="885"/>
      <c r="HFA202" s="885"/>
      <c r="HFB202" s="885"/>
      <c r="HFC202" s="885"/>
      <c r="HFD202" s="885"/>
      <c r="HFE202" s="885"/>
      <c r="HFF202" s="885"/>
      <c r="HFG202" s="885"/>
      <c r="HFH202" s="885"/>
      <c r="HFI202" s="885"/>
      <c r="HFJ202" s="885"/>
      <c r="HFK202" s="885"/>
      <c r="HFL202" s="885"/>
      <c r="HFM202" s="885"/>
      <c r="HFN202" s="885"/>
      <c r="HFO202" s="885"/>
      <c r="HFP202" s="885"/>
      <c r="HFQ202" s="885"/>
      <c r="HFR202" s="885"/>
      <c r="HFS202" s="885"/>
      <c r="HFT202" s="885"/>
      <c r="HFU202" s="885"/>
      <c r="HFV202" s="885"/>
      <c r="HFW202" s="885"/>
      <c r="HFX202" s="885"/>
      <c r="HFY202" s="885"/>
      <c r="HFZ202" s="885"/>
      <c r="HGA202" s="885"/>
      <c r="HGB202" s="885"/>
      <c r="HGC202" s="885"/>
      <c r="HGD202" s="885"/>
      <c r="HGE202" s="885"/>
      <c r="HGF202" s="885"/>
      <c r="HGG202" s="885"/>
      <c r="HGH202" s="885"/>
      <c r="HGI202" s="885"/>
      <c r="HGJ202" s="885"/>
      <c r="HGK202" s="885"/>
      <c r="HGL202" s="885"/>
      <c r="HGM202" s="885"/>
      <c r="HGN202" s="885"/>
      <c r="HGO202" s="885"/>
      <c r="HGP202" s="885"/>
      <c r="HGQ202" s="885"/>
      <c r="HGR202" s="885"/>
      <c r="HGS202" s="885"/>
      <c r="HGT202" s="885"/>
      <c r="HGU202" s="885"/>
      <c r="HGV202" s="885"/>
      <c r="HGW202" s="885"/>
      <c r="HGX202" s="885"/>
      <c r="HGY202" s="885"/>
      <c r="HGZ202" s="885"/>
      <c r="HHA202" s="885"/>
      <c r="HHB202" s="885"/>
      <c r="HHC202" s="885"/>
      <c r="HHD202" s="885"/>
      <c r="HHE202" s="885"/>
      <c r="HHF202" s="885"/>
      <c r="HHG202" s="885"/>
      <c r="HHH202" s="885"/>
      <c r="HHI202" s="885"/>
      <c r="HHJ202" s="885"/>
      <c r="HHK202" s="885"/>
      <c r="HHL202" s="885"/>
      <c r="HHM202" s="885"/>
      <c r="HHN202" s="885"/>
      <c r="HHO202" s="885"/>
      <c r="HHP202" s="885"/>
      <c r="HHQ202" s="885"/>
      <c r="HHR202" s="885"/>
      <c r="HHS202" s="885"/>
      <c r="HHT202" s="885"/>
      <c r="HHU202" s="885"/>
      <c r="HHV202" s="885"/>
      <c r="HHW202" s="885"/>
      <c r="HHX202" s="885"/>
      <c r="HHY202" s="885"/>
      <c r="HHZ202" s="885"/>
      <c r="HIA202" s="885"/>
      <c r="HIB202" s="885"/>
      <c r="HIC202" s="885"/>
      <c r="HID202" s="885"/>
      <c r="HIE202" s="885"/>
      <c r="HIF202" s="885"/>
      <c r="HIG202" s="885"/>
      <c r="HIH202" s="885"/>
      <c r="HII202" s="885"/>
      <c r="HIJ202" s="885"/>
      <c r="HIK202" s="885"/>
      <c r="HIL202" s="885"/>
      <c r="HIM202" s="885"/>
      <c r="HIN202" s="885"/>
      <c r="HIO202" s="885"/>
      <c r="HIP202" s="885"/>
      <c r="HIQ202" s="885"/>
      <c r="HIR202" s="885"/>
      <c r="HIS202" s="885"/>
      <c r="HIT202" s="885"/>
      <c r="HIU202" s="885"/>
      <c r="HIV202" s="885"/>
      <c r="HIW202" s="885"/>
      <c r="HIX202" s="885"/>
      <c r="HIY202" s="885"/>
      <c r="HIZ202" s="885"/>
      <c r="HJA202" s="885"/>
      <c r="HJB202" s="885"/>
      <c r="HJC202" s="885"/>
      <c r="HJD202" s="885"/>
      <c r="HJE202" s="885"/>
      <c r="HJF202" s="885"/>
      <c r="HJG202" s="885"/>
      <c r="HJH202" s="885"/>
      <c r="HJI202" s="885"/>
      <c r="HJJ202" s="885"/>
      <c r="HJK202" s="885"/>
      <c r="HJL202" s="885"/>
      <c r="HJM202" s="885"/>
      <c r="HJN202" s="885"/>
      <c r="HJO202" s="885"/>
      <c r="HJP202" s="885"/>
      <c r="HJQ202" s="885"/>
      <c r="HJR202" s="885"/>
      <c r="HJS202" s="885"/>
      <c r="HJT202" s="885"/>
      <c r="HJU202" s="885"/>
      <c r="HJV202" s="885"/>
      <c r="HJW202" s="885"/>
      <c r="HJX202" s="885"/>
      <c r="HJY202" s="885"/>
      <c r="HJZ202" s="885"/>
      <c r="HKA202" s="885"/>
      <c r="HKB202" s="885"/>
      <c r="HKC202" s="885"/>
      <c r="HKD202" s="885"/>
      <c r="HKE202" s="885"/>
      <c r="HKF202" s="885"/>
      <c r="HKG202" s="885"/>
      <c r="HKH202" s="885"/>
      <c r="HKI202" s="885"/>
      <c r="HKJ202" s="885"/>
      <c r="HKK202" s="885"/>
      <c r="HKL202" s="885"/>
      <c r="HKM202" s="885"/>
      <c r="HKN202" s="885"/>
      <c r="HKO202" s="885"/>
      <c r="HKP202" s="885"/>
      <c r="HKQ202" s="885"/>
      <c r="HKR202" s="885"/>
      <c r="HKS202" s="885"/>
      <c r="HKT202" s="885"/>
      <c r="HKU202" s="885"/>
      <c r="HKV202" s="885"/>
      <c r="HKW202" s="885"/>
      <c r="HKX202" s="885"/>
      <c r="HKY202" s="885"/>
      <c r="HKZ202" s="885"/>
      <c r="HLA202" s="885"/>
      <c r="HLB202" s="885"/>
      <c r="HLC202" s="885"/>
      <c r="HLD202" s="885"/>
      <c r="HLE202" s="885"/>
      <c r="HLF202" s="885"/>
      <c r="HLG202" s="885"/>
      <c r="HLH202" s="885"/>
      <c r="HLI202" s="885"/>
      <c r="HLJ202" s="885"/>
      <c r="HLK202" s="885"/>
      <c r="HLL202" s="885"/>
      <c r="HLM202" s="885"/>
      <c r="HLN202" s="885"/>
      <c r="HLO202" s="885"/>
      <c r="HLP202" s="885"/>
      <c r="HLQ202" s="885"/>
      <c r="HLR202" s="885"/>
      <c r="HLS202" s="885"/>
      <c r="HLT202" s="885"/>
      <c r="HLU202" s="885"/>
      <c r="HLV202" s="885"/>
      <c r="HLW202" s="885"/>
      <c r="HLX202" s="885"/>
      <c r="HLY202" s="885"/>
      <c r="HLZ202" s="885"/>
      <c r="HMA202" s="885"/>
      <c r="HMB202" s="885"/>
      <c r="HMC202" s="885"/>
      <c r="HMD202" s="885"/>
      <c r="HME202" s="885"/>
      <c r="HMF202" s="885"/>
      <c r="HMG202" s="885"/>
      <c r="HMH202" s="885"/>
      <c r="HMI202" s="885"/>
      <c r="HMJ202" s="885"/>
      <c r="HMK202" s="885"/>
      <c r="HML202" s="885"/>
      <c r="HMM202" s="885"/>
      <c r="HMN202" s="885"/>
      <c r="HMO202" s="885"/>
      <c r="HMP202" s="885"/>
      <c r="HMQ202" s="885"/>
      <c r="HMR202" s="885"/>
      <c r="HMS202" s="885"/>
      <c r="HMT202" s="885"/>
      <c r="HMU202" s="885"/>
      <c r="HMV202" s="885"/>
      <c r="HMW202" s="885"/>
      <c r="HMX202" s="885"/>
      <c r="HMY202" s="885"/>
      <c r="HMZ202" s="885"/>
      <c r="HNA202" s="885"/>
      <c r="HNB202" s="885"/>
      <c r="HNC202" s="885"/>
      <c r="HND202" s="885"/>
      <c r="HNE202" s="885"/>
      <c r="HNF202" s="885"/>
      <c r="HNG202" s="885"/>
      <c r="HNH202" s="885"/>
      <c r="HNI202" s="885"/>
      <c r="HNJ202" s="885"/>
      <c r="HNK202" s="885"/>
      <c r="HNL202" s="885"/>
      <c r="HNM202" s="885"/>
      <c r="HNN202" s="885"/>
      <c r="HNO202" s="885"/>
      <c r="HNP202" s="885"/>
      <c r="HNQ202" s="885"/>
      <c r="HNR202" s="885"/>
      <c r="HNS202" s="885"/>
      <c r="HNT202" s="885"/>
      <c r="HNU202" s="885"/>
      <c r="HNV202" s="885"/>
      <c r="HNW202" s="885"/>
      <c r="HNX202" s="885"/>
      <c r="HNY202" s="885"/>
      <c r="HNZ202" s="885"/>
      <c r="HOA202" s="885"/>
      <c r="HOB202" s="885"/>
      <c r="HOC202" s="885"/>
      <c r="HOD202" s="885"/>
      <c r="HOE202" s="885"/>
      <c r="HOF202" s="885"/>
      <c r="HOG202" s="885"/>
      <c r="HOH202" s="885"/>
      <c r="HOI202" s="885"/>
      <c r="HOJ202" s="885"/>
      <c r="HOK202" s="885"/>
      <c r="HOL202" s="885"/>
      <c r="HOM202" s="885"/>
      <c r="HON202" s="885"/>
      <c r="HOO202" s="885"/>
      <c r="HOP202" s="885"/>
      <c r="HOQ202" s="885"/>
      <c r="HOR202" s="885"/>
      <c r="HOS202" s="885"/>
      <c r="HOT202" s="885"/>
      <c r="HOU202" s="885"/>
      <c r="HOV202" s="885"/>
      <c r="HOW202" s="885"/>
      <c r="HOX202" s="885"/>
      <c r="HOY202" s="885"/>
      <c r="HOZ202" s="885"/>
      <c r="HPA202" s="885"/>
      <c r="HPB202" s="885"/>
      <c r="HPC202" s="885"/>
      <c r="HPD202" s="885"/>
      <c r="HPE202" s="885"/>
      <c r="HPF202" s="885"/>
      <c r="HPG202" s="885"/>
      <c r="HPH202" s="885"/>
      <c r="HPI202" s="885"/>
      <c r="HPJ202" s="885"/>
      <c r="HPK202" s="885"/>
      <c r="HPL202" s="885"/>
      <c r="HPM202" s="885"/>
      <c r="HPN202" s="885"/>
      <c r="HPO202" s="885"/>
      <c r="HPP202" s="885"/>
      <c r="HPQ202" s="885"/>
      <c r="HPR202" s="885"/>
      <c r="HPS202" s="885"/>
      <c r="HPT202" s="885"/>
      <c r="HPU202" s="885"/>
      <c r="HPV202" s="885"/>
      <c r="HPW202" s="885"/>
      <c r="HPX202" s="885"/>
      <c r="HPY202" s="885"/>
      <c r="HPZ202" s="885"/>
      <c r="HQA202" s="885"/>
      <c r="HQB202" s="885"/>
      <c r="HQC202" s="885"/>
      <c r="HQD202" s="885"/>
      <c r="HQE202" s="885"/>
      <c r="HQF202" s="885"/>
      <c r="HQG202" s="885"/>
      <c r="HQH202" s="885"/>
      <c r="HQI202" s="885"/>
      <c r="HQJ202" s="885"/>
      <c r="HQK202" s="885"/>
      <c r="HQL202" s="885"/>
      <c r="HQM202" s="885"/>
      <c r="HQN202" s="885"/>
      <c r="HQO202" s="885"/>
      <c r="HQP202" s="885"/>
      <c r="HQQ202" s="885"/>
      <c r="HQR202" s="885"/>
      <c r="HQS202" s="885"/>
      <c r="HQT202" s="885"/>
      <c r="HQU202" s="885"/>
      <c r="HQV202" s="885"/>
      <c r="HQW202" s="885"/>
      <c r="HQX202" s="885"/>
      <c r="HQY202" s="885"/>
      <c r="HQZ202" s="885"/>
      <c r="HRA202" s="885"/>
      <c r="HRB202" s="885"/>
      <c r="HRC202" s="885"/>
      <c r="HRD202" s="885"/>
      <c r="HRE202" s="885"/>
      <c r="HRF202" s="885"/>
      <c r="HRG202" s="885"/>
      <c r="HRH202" s="885"/>
      <c r="HRI202" s="885"/>
      <c r="HRJ202" s="885"/>
      <c r="HRK202" s="885"/>
      <c r="HRL202" s="885"/>
      <c r="HRM202" s="885"/>
      <c r="HRN202" s="885"/>
      <c r="HRO202" s="885"/>
      <c r="HRP202" s="885"/>
      <c r="HRQ202" s="885"/>
      <c r="HRR202" s="885"/>
      <c r="HRS202" s="885"/>
      <c r="HRT202" s="885"/>
      <c r="HRU202" s="885"/>
      <c r="HRV202" s="885"/>
      <c r="HRW202" s="885"/>
      <c r="HRX202" s="885"/>
      <c r="HRY202" s="885"/>
      <c r="HRZ202" s="885"/>
      <c r="HSA202" s="885"/>
      <c r="HSB202" s="885"/>
      <c r="HSC202" s="885"/>
      <c r="HSD202" s="885"/>
      <c r="HSE202" s="885"/>
      <c r="HSF202" s="885"/>
      <c r="HSG202" s="885"/>
      <c r="HSH202" s="885"/>
      <c r="HSI202" s="885"/>
      <c r="HSJ202" s="885"/>
      <c r="HSK202" s="885"/>
      <c r="HSL202" s="885"/>
      <c r="HSM202" s="885"/>
      <c r="HSN202" s="885"/>
      <c r="HSO202" s="885"/>
      <c r="HSP202" s="885"/>
      <c r="HSQ202" s="885"/>
      <c r="HSR202" s="885"/>
      <c r="HSS202" s="885"/>
      <c r="HST202" s="885"/>
      <c r="HSU202" s="885"/>
      <c r="HSV202" s="885"/>
      <c r="HSW202" s="885"/>
      <c r="HSX202" s="885"/>
      <c r="HSY202" s="885"/>
      <c r="HSZ202" s="885"/>
      <c r="HTA202" s="885"/>
      <c r="HTB202" s="885"/>
      <c r="HTC202" s="885"/>
      <c r="HTD202" s="885"/>
      <c r="HTE202" s="885"/>
      <c r="HTF202" s="885"/>
      <c r="HTG202" s="885"/>
      <c r="HTH202" s="885"/>
      <c r="HTI202" s="885"/>
      <c r="HTJ202" s="885"/>
      <c r="HTK202" s="885"/>
      <c r="HTL202" s="885"/>
      <c r="HTM202" s="885"/>
      <c r="HTN202" s="885"/>
      <c r="HTO202" s="885"/>
      <c r="HTP202" s="885"/>
      <c r="HTQ202" s="885"/>
      <c r="HTR202" s="885"/>
      <c r="HTS202" s="885"/>
      <c r="HTT202" s="885"/>
      <c r="HTU202" s="885"/>
      <c r="HTV202" s="885"/>
      <c r="HTW202" s="885"/>
      <c r="HTX202" s="885"/>
      <c r="HTY202" s="885"/>
      <c r="HTZ202" s="885"/>
      <c r="HUA202" s="885"/>
      <c r="HUB202" s="885"/>
      <c r="HUC202" s="885"/>
      <c r="HUD202" s="885"/>
      <c r="HUE202" s="885"/>
      <c r="HUF202" s="885"/>
      <c r="HUG202" s="885"/>
      <c r="HUH202" s="885"/>
      <c r="HUI202" s="885"/>
      <c r="HUJ202" s="885"/>
      <c r="HUK202" s="885"/>
      <c r="HUL202" s="885"/>
      <c r="HUM202" s="885"/>
      <c r="HUN202" s="885"/>
      <c r="HUO202" s="885"/>
      <c r="HUP202" s="885"/>
      <c r="HUQ202" s="885"/>
      <c r="HUR202" s="885"/>
      <c r="HUS202" s="885"/>
      <c r="HUT202" s="885"/>
      <c r="HUU202" s="885"/>
      <c r="HUV202" s="885"/>
      <c r="HUW202" s="885"/>
      <c r="HUX202" s="885"/>
      <c r="HUY202" s="885"/>
      <c r="HUZ202" s="885"/>
      <c r="HVA202" s="885"/>
      <c r="HVB202" s="885"/>
      <c r="HVC202" s="885"/>
      <c r="HVD202" s="885"/>
      <c r="HVE202" s="885"/>
      <c r="HVF202" s="885"/>
      <c r="HVG202" s="885"/>
      <c r="HVH202" s="885"/>
      <c r="HVI202" s="885"/>
      <c r="HVJ202" s="885"/>
      <c r="HVK202" s="885"/>
      <c r="HVL202" s="885"/>
      <c r="HVM202" s="885"/>
      <c r="HVN202" s="885"/>
      <c r="HVO202" s="885"/>
      <c r="HVP202" s="885"/>
      <c r="HVQ202" s="885"/>
      <c r="HVR202" s="885"/>
      <c r="HVS202" s="885"/>
      <c r="HVT202" s="885"/>
      <c r="HVU202" s="885"/>
      <c r="HVV202" s="885"/>
      <c r="HVW202" s="885"/>
      <c r="HVX202" s="885"/>
      <c r="HVY202" s="885"/>
      <c r="HVZ202" s="885"/>
      <c r="HWA202" s="885"/>
      <c r="HWB202" s="885"/>
      <c r="HWC202" s="885"/>
      <c r="HWD202" s="885"/>
      <c r="HWE202" s="885"/>
      <c r="HWF202" s="885"/>
      <c r="HWG202" s="885"/>
      <c r="HWH202" s="885"/>
      <c r="HWI202" s="885"/>
      <c r="HWJ202" s="885"/>
      <c r="HWK202" s="885"/>
      <c r="HWL202" s="885"/>
      <c r="HWM202" s="885"/>
      <c r="HWN202" s="885"/>
      <c r="HWO202" s="885"/>
      <c r="HWP202" s="885"/>
      <c r="HWQ202" s="885"/>
      <c r="HWR202" s="885"/>
      <c r="HWS202" s="885"/>
      <c r="HWT202" s="885"/>
      <c r="HWU202" s="885"/>
      <c r="HWV202" s="885"/>
      <c r="HWW202" s="885"/>
      <c r="HWX202" s="885"/>
      <c r="HWY202" s="885"/>
      <c r="HWZ202" s="885"/>
      <c r="HXA202" s="885"/>
      <c r="HXB202" s="885"/>
      <c r="HXC202" s="885"/>
      <c r="HXD202" s="885"/>
      <c r="HXE202" s="885"/>
      <c r="HXF202" s="885"/>
      <c r="HXG202" s="885"/>
      <c r="HXH202" s="885"/>
      <c r="HXI202" s="885"/>
      <c r="HXJ202" s="885"/>
      <c r="HXK202" s="885"/>
      <c r="HXL202" s="885"/>
      <c r="HXM202" s="885"/>
      <c r="HXN202" s="885"/>
      <c r="HXO202" s="885"/>
      <c r="HXP202" s="885"/>
      <c r="HXQ202" s="885"/>
      <c r="HXR202" s="885"/>
      <c r="HXS202" s="885"/>
      <c r="HXT202" s="885"/>
      <c r="HXU202" s="885"/>
      <c r="HXV202" s="885"/>
      <c r="HXW202" s="885"/>
      <c r="HXX202" s="885"/>
      <c r="HXY202" s="885"/>
      <c r="HXZ202" s="885"/>
      <c r="HYA202" s="885"/>
      <c r="HYB202" s="885"/>
      <c r="HYC202" s="885"/>
      <c r="HYD202" s="885"/>
      <c r="HYE202" s="885"/>
      <c r="HYF202" s="885"/>
      <c r="HYG202" s="885"/>
      <c r="HYH202" s="885"/>
      <c r="HYI202" s="885"/>
      <c r="HYJ202" s="885"/>
      <c r="HYK202" s="885"/>
      <c r="HYL202" s="885"/>
      <c r="HYM202" s="885"/>
      <c r="HYN202" s="885"/>
      <c r="HYO202" s="885"/>
      <c r="HYP202" s="885"/>
      <c r="HYQ202" s="885"/>
      <c r="HYR202" s="885"/>
      <c r="HYS202" s="885"/>
      <c r="HYT202" s="885"/>
      <c r="HYU202" s="885"/>
      <c r="HYV202" s="885"/>
      <c r="HYW202" s="885"/>
      <c r="HYX202" s="885"/>
      <c r="HYY202" s="885"/>
      <c r="HYZ202" s="885"/>
      <c r="HZA202" s="885"/>
      <c r="HZB202" s="885"/>
      <c r="HZC202" s="885"/>
      <c r="HZD202" s="885"/>
      <c r="HZE202" s="885"/>
      <c r="HZF202" s="885"/>
      <c r="HZG202" s="885"/>
      <c r="HZH202" s="885"/>
      <c r="HZI202" s="885"/>
      <c r="HZJ202" s="885"/>
      <c r="HZK202" s="885"/>
      <c r="HZL202" s="885"/>
      <c r="HZM202" s="885"/>
      <c r="HZN202" s="885"/>
      <c r="HZO202" s="885"/>
      <c r="HZP202" s="885"/>
      <c r="HZQ202" s="885"/>
      <c r="HZR202" s="885"/>
      <c r="HZS202" s="885"/>
      <c r="HZT202" s="885"/>
      <c r="HZU202" s="885"/>
      <c r="HZV202" s="885"/>
      <c r="HZW202" s="885"/>
      <c r="HZX202" s="885"/>
      <c r="HZY202" s="885"/>
      <c r="HZZ202" s="885"/>
      <c r="IAA202" s="885"/>
      <c r="IAB202" s="885"/>
      <c r="IAC202" s="885"/>
      <c r="IAD202" s="885"/>
      <c r="IAE202" s="885"/>
      <c r="IAF202" s="885"/>
      <c r="IAG202" s="885"/>
      <c r="IAH202" s="885"/>
      <c r="IAI202" s="885"/>
      <c r="IAJ202" s="885"/>
      <c r="IAK202" s="885"/>
      <c r="IAL202" s="885"/>
      <c r="IAM202" s="885"/>
      <c r="IAN202" s="885"/>
      <c r="IAO202" s="885"/>
      <c r="IAP202" s="885"/>
      <c r="IAQ202" s="885"/>
      <c r="IAR202" s="885"/>
      <c r="IAS202" s="885"/>
      <c r="IAT202" s="885"/>
      <c r="IAU202" s="885"/>
      <c r="IAV202" s="885"/>
      <c r="IAW202" s="885"/>
      <c r="IAX202" s="885"/>
      <c r="IAY202" s="885"/>
      <c r="IAZ202" s="885"/>
      <c r="IBA202" s="885"/>
      <c r="IBB202" s="885"/>
      <c r="IBC202" s="885"/>
      <c r="IBD202" s="885"/>
      <c r="IBE202" s="885"/>
      <c r="IBF202" s="885"/>
      <c r="IBG202" s="885"/>
      <c r="IBH202" s="885"/>
      <c r="IBI202" s="885"/>
      <c r="IBJ202" s="885"/>
      <c r="IBK202" s="885"/>
      <c r="IBL202" s="885"/>
      <c r="IBM202" s="885"/>
      <c r="IBN202" s="885"/>
      <c r="IBO202" s="885"/>
      <c r="IBP202" s="885"/>
      <c r="IBQ202" s="885"/>
      <c r="IBR202" s="885"/>
      <c r="IBS202" s="885"/>
      <c r="IBT202" s="885"/>
      <c r="IBU202" s="885"/>
      <c r="IBV202" s="885"/>
      <c r="IBW202" s="885"/>
      <c r="IBX202" s="885"/>
      <c r="IBY202" s="885"/>
      <c r="IBZ202" s="885"/>
      <c r="ICA202" s="885"/>
      <c r="ICB202" s="885"/>
      <c r="ICC202" s="885"/>
      <c r="ICD202" s="885"/>
      <c r="ICE202" s="885"/>
      <c r="ICF202" s="885"/>
      <c r="ICG202" s="885"/>
      <c r="ICH202" s="885"/>
      <c r="ICI202" s="885"/>
      <c r="ICJ202" s="885"/>
      <c r="ICK202" s="885"/>
      <c r="ICL202" s="885"/>
      <c r="ICM202" s="885"/>
      <c r="ICN202" s="885"/>
      <c r="ICO202" s="885"/>
      <c r="ICP202" s="885"/>
      <c r="ICQ202" s="885"/>
      <c r="ICR202" s="885"/>
      <c r="ICS202" s="885"/>
      <c r="ICT202" s="885"/>
      <c r="ICU202" s="885"/>
      <c r="ICV202" s="885"/>
      <c r="ICW202" s="885"/>
      <c r="ICX202" s="885"/>
      <c r="ICY202" s="885"/>
      <c r="ICZ202" s="885"/>
      <c r="IDA202" s="885"/>
      <c r="IDB202" s="885"/>
      <c r="IDC202" s="885"/>
      <c r="IDD202" s="885"/>
      <c r="IDE202" s="885"/>
      <c r="IDF202" s="885"/>
      <c r="IDG202" s="885"/>
      <c r="IDH202" s="885"/>
      <c r="IDI202" s="885"/>
      <c r="IDJ202" s="885"/>
      <c r="IDK202" s="885"/>
      <c r="IDL202" s="885"/>
      <c r="IDM202" s="885"/>
      <c r="IDN202" s="885"/>
      <c r="IDO202" s="885"/>
      <c r="IDP202" s="885"/>
      <c r="IDQ202" s="885"/>
      <c r="IDR202" s="885"/>
      <c r="IDS202" s="885"/>
      <c r="IDT202" s="885"/>
      <c r="IDU202" s="885"/>
      <c r="IDV202" s="885"/>
      <c r="IDW202" s="885"/>
      <c r="IDX202" s="885"/>
      <c r="IDY202" s="885"/>
      <c r="IDZ202" s="885"/>
      <c r="IEA202" s="885"/>
      <c r="IEB202" s="885"/>
      <c r="IEC202" s="885"/>
      <c r="IED202" s="885"/>
      <c r="IEE202" s="885"/>
      <c r="IEF202" s="885"/>
      <c r="IEG202" s="885"/>
      <c r="IEH202" s="885"/>
      <c r="IEI202" s="885"/>
      <c r="IEJ202" s="885"/>
      <c r="IEK202" s="885"/>
      <c r="IEL202" s="885"/>
      <c r="IEM202" s="885"/>
      <c r="IEN202" s="885"/>
      <c r="IEO202" s="885"/>
      <c r="IEP202" s="885"/>
      <c r="IEQ202" s="885"/>
      <c r="IER202" s="885"/>
      <c r="IES202" s="885"/>
      <c r="IET202" s="885"/>
      <c r="IEU202" s="885"/>
      <c r="IEV202" s="885"/>
      <c r="IEW202" s="885"/>
      <c r="IEX202" s="885"/>
      <c r="IEY202" s="885"/>
      <c r="IEZ202" s="885"/>
      <c r="IFA202" s="885"/>
      <c r="IFB202" s="885"/>
      <c r="IFC202" s="885"/>
      <c r="IFD202" s="885"/>
      <c r="IFE202" s="885"/>
      <c r="IFF202" s="885"/>
      <c r="IFG202" s="885"/>
      <c r="IFH202" s="885"/>
      <c r="IFI202" s="885"/>
      <c r="IFJ202" s="885"/>
      <c r="IFK202" s="885"/>
      <c r="IFL202" s="885"/>
      <c r="IFM202" s="885"/>
      <c r="IFN202" s="885"/>
      <c r="IFO202" s="885"/>
      <c r="IFP202" s="885"/>
      <c r="IFQ202" s="885"/>
      <c r="IFR202" s="885"/>
      <c r="IFS202" s="885"/>
      <c r="IFT202" s="885"/>
      <c r="IFU202" s="885"/>
      <c r="IFV202" s="885"/>
      <c r="IFW202" s="885"/>
      <c r="IFX202" s="885"/>
      <c r="IFY202" s="885"/>
      <c r="IFZ202" s="885"/>
      <c r="IGA202" s="885"/>
      <c r="IGB202" s="885"/>
      <c r="IGC202" s="885"/>
      <c r="IGD202" s="885"/>
      <c r="IGE202" s="885"/>
      <c r="IGF202" s="885"/>
      <c r="IGG202" s="885"/>
      <c r="IGH202" s="885"/>
      <c r="IGI202" s="885"/>
      <c r="IGJ202" s="885"/>
      <c r="IGK202" s="885"/>
      <c r="IGL202" s="885"/>
      <c r="IGM202" s="885"/>
      <c r="IGN202" s="885"/>
      <c r="IGO202" s="885"/>
      <c r="IGP202" s="885"/>
      <c r="IGQ202" s="885"/>
      <c r="IGR202" s="885"/>
      <c r="IGS202" s="885"/>
      <c r="IGT202" s="885"/>
      <c r="IGU202" s="885"/>
      <c r="IGV202" s="885"/>
      <c r="IGW202" s="885"/>
      <c r="IGX202" s="885"/>
      <c r="IGY202" s="885"/>
      <c r="IGZ202" s="885"/>
      <c r="IHA202" s="885"/>
      <c r="IHB202" s="885"/>
      <c r="IHC202" s="885"/>
      <c r="IHD202" s="885"/>
      <c r="IHE202" s="885"/>
      <c r="IHF202" s="885"/>
      <c r="IHG202" s="885"/>
      <c r="IHH202" s="885"/>
      <c r="IHI202" s="885"/>
      <c r="IHJ202" s="885"/>
      <c r="IHK202" s="885"/>
      <c r="IHL202" s="885"/>
      <c r="IHM202" s="885"/>
      <c r="IHN202" s="885"/>
      <c r="IHO202" s="885"/>
      <c r="IHP202" s="885"/>
      <c r="IHQ202" s="885"/>
      <c r="IHR202" s="885"/>
      <c r="IHS202" s="885"/>
      <c r="IHT202" s="885"/>
      <c r="IHU202" s="885"/>
      <c r="IHV202" s="885"/>
      <c r="IHW202" s="885"/>
      <c r="IHX202" s="885"/>
      <c r="IHY202" s="885"/>
      <c r="IHZ202" s="885"/>
      <c r="IIA202" s="885"/>
      <c r="IIB202" s="885"/>
      <c r="IIC202" s="885"/>
      <c r="IID202" s="885"/>
      <c r="IIE202" s="885"/>
      <c r="IIF202" s="885"/>
      <c r="IIG202" s="885"/>
      <c r="IIH202" s="885"/>
      <c r="III202" s="885"/>
      <c r="IIJ202" s="885"/>
      <c r="IIK202" s="885"/>
      <c r="IIL202" s="885"/>
      <c r="IIM202" s="885"/>
      <c r="IIN202" s="885"/>
      <c r="IIO202" s="885"/>
      <c r="IIP202" s="885"/>
      <c r="IIQ202" s="885"/>
      <c r="IIR202" s="885"/>
      <c r="IIS202" s="885"/>
      <c r="IIT202" s="885"/>
      <c r="IIU202" s="885"/>
      <c r="IIV202" s="885"/>
      <c r="IIW202" s="885"/>
      <c r="IIX202" s="885"/>
      <c r="IIY202" s="885"/>
      <c r="IIZ202" s="885"/>
      <c r="IJA202" s="885"/>
      <c r="IJB202" s="885"/>
      <c r="IJC202" s="885"/>
      <c r="IJD202" s="885"/>
      <c r="IJE202" s="885"/>
      <c r="IJF202" s="885"/>
      <c r="IJG202" s="885"/>
      <c r="IJH202" s="885"/>
      <c r="IJI202" s="885"/>
      <c r="IJJ202" s="885"/>
      <c r="IJK202" s="885"/>
      <c r="IJL202" s="885"/>
      <c r="IJM202" s="885"/>
      <c r="IJN202" s="885"/>
      <c r="IJO202" s="885"/>
      <c r="IJP202" s="885"/>
      <c r="IJQ202" s="885"/>
      <c r="IJR202" s="885"/>
      <c r="IJS202" s="885"/>
      <c r="IJT202" s="885"/>
      <c r="IJU202" s="885"/>
      <c r="IJV202" s="885"/>
      <c r="IJW202" s="885"/>
      <c r="IJX202" s="885"/>
      <c r="IJY202" s="885"/>
      <c r="IJZ202" s="885"/>
      <c r="IKA202" s="885"/>
      <c r="IKB202" s="885"/>
      <c r="IKC202" s="885"/>
      <c r="IKD202" s="885"/>
      <c r="IKE202" s="885"/>
      <c r="IKF202" s="885"/>
      <c r="IKG202" s="885"/>
      <c r="IKH202" s="885"/>
      <c r="IKI202" s="885"/>
      <c r="IKJ202" s="885"/>
      <c r="IKK202" s="885"/>
      <c r="IKL202" s="885"/>
      <c r="IKM202" s="885"/>
      <c r="IKN202" s="885"/>
      <c r="IKO202" s="885"/>
      <c r="IKP202" s="885"/>
      <c r="IKQ202" s="885"/>
      <c r="IKR202" s="885"/>
      <c r="IKS202" s="885"/>
      <c r="IKT202" s="885"/>
      <c r="IKU202" s="885"/>
      <c r="IKV202" s="885"/>
      <c r="IKW202" s="885"/>
      <c r="IKX202" s="885"/>
      <c r="IKY202" s="885"/>
      <c r="IKZ202" s="885"/>
      <c r="ILA202" s="885"/>
      <c r="ILB202" s="885"/>
      <c r="ILC202" s="885"/>
      <c r="ILD202" s="885"/>
      <c r="ILE202" s="885"/>
      <c r="ILF202" s="885"/>
      <c r="ILG202" s="885"/>
      <c r="ILH202" s="885"/>
      <c r="ILI202" s="885"/>
      <c r="ILJ202" s="885"/>
      <c r="ILK202" s="885"/>
      <c r="ILL202" s="885"/>
      <c r="ILM202" s="885"/>
      <c r="ILN202" s="885"/>
      <c r="ILO202" s="885"/>
      <c r="ILP202" s="885"/>
      <c r="ILQ202" s="885"/>
      <c r="ILR202" s="885"/>
      <c r="ILS202" s="885"/>
      <c r="ILT202" s="885"/>
      <c r="ILU202" s="885"/>
      <c r="ILV202" s="885"/>
      <c r="ILW202" s="885"/>
      <c r="ILX202" s="885"/>
      <c r="ILY202" s="885"/>
      <c r="ILZ202" s="885"/>
      <c r="IMA202" s="885"/>
      <c r="IMB202" s="885"/>
      <c r="IMC202" s="885"/>
      <c r="IMD202" s="885"/>
      <c r="IME202" s="885"/>
      <c r="IMF202" s="885"/>
      <c r="IMG202" s="885"/>
      <c r="IMH202" s="885"/>
      <c r="IMI202" s="885"/>
      <c r="IMJ202" s="885"/>
      <c r="IMK202" s="885"/>
      <c r="IML202" s="885"/>
      <c r="IMM202" s="885"/>
      <c r="IMN202" s="885"/>
      <c r="IMO202" s="885"/>
      <c r="IMP202" s="885"/>
      <c r="IMQ202" s="885"/>
      <c r="IMR202" s="885"/>
      <c r="IMS202" s="885"/>
      <c r="IMT202" s="885"/>
      <c r="IMU202" s="885"/>
      <c r="IMV202" s="885"/>
      <c r="IMW202" s="885"/>
      <c r="IMX202" s="885"/>
      <c r="IMY202" s="885"/>
      <c r="IMZ202" s="885"/>
      <c r="INA202" s="885"/>
      <c r="INB202" s="885"/>
      <c r="INC202" s="885"/>
      <c r="IND202" s="885"/>
      <c r="INE202" s="885"/>
      <c r="INF202" s="885"/>
      <c r="ING202" s="885"/>
      <c r="INH202" s="885"/>
      <c r="INI202" s="885"/>
      <c r="INJ202" s="885"/>
      <c r="INK202" s="885"/>
      <c r="INL202" s="885"/>
      <c r="INM202" s="885"/>
      <c r="INN202" s="885"/>
      <c r="INO202" s="885"/>
      <c r="INP202" s="885"/>
      <c r="INQ202" s="885"/>
      <c r="INR202" s="885"/>
      <c r="INS202" s="885"/>
      <c r="INT202" s="885"/>
      <c r="INU202" s="885"/>
      <c r="INV202" s="885"/>
      <c r="INW202" s="885"/>
      <c r="INX202" s="885"/>
      <c r="INY202" s="885"/>
      <c r="INZ202" s="885"/>
      <c r="IOA202" s="885"/>
      <c r="IOB202" s="885"/>
      <c r="IOC202" s="885"/>
      <c r="IOD202" s="885"/>
      <c r="IOE202" s="885"/>
      <c r="IOF202" s="885"/>
      <c r="IOG202" s="885"/>
      <c r="IOH202" s="885"/>
      <c r="IOI202" s="885"/>
      <c r="IOJ202" s="885"/>
      <c r="IOK202" s="885"/>
      <c r="IOL202" s="885"/>
      <c r="IOM202" s="885"/>
      <c r="ION202" s="885"/>
      <c r="IOO202" s="885"/>
      <c r="IOP202" s="885"/>
      <c r="IOQ202" s="885"/>
      <c r="IOR202" s="885"/>
      <c r="IOS202" s="885"/>
      <c r="IOT202" s="885"/>
      <c r="IOU202" s="885"/>
      <c r="IOV202" s="885"/>
      <c r="IOW202" s="885"/>
      <c r="IOX202" s="885"/>
      <c r="IOY202" s="885"/>
      <c r="IOZ202" s="885"/>
      <c r="IPA202" s="885"/>
      <c r="IPB202" s="885"/>
      <c r="IPC202" s="885"/>
      <c r="IPD202" s="885"/>
      <c r="IPE202" s="885"/>
      <c r="IPF202" s="885"/>
      <c r="IPG202" s="885"/>
      <c r="IPH202" s="885"/>
      <c r="IPI202" s="885"/>
      <c r="IPJ202" s="885"/>
      <c r="IPK202" s="885"/>
      <c r="IPL202" s="885"/>
      <c r="IPM202" s="885"/>
      <c r="IPN202" s="885"/>
      <c r="IPO202" s="885"/>
      <c r="IPP202" s="885"/>
      <c r="IPQ202" s="885"/>
      <c r="IPR202" s="885"/>
      <c r="IPS202" s="885"/>
      <c r="IPT202" s="885"/>
      <c r="IPU202" s="885"/>
      <c r="IPV202" s="885"/>
      <c r="IPW202" s="885"/>
      <c r="IPX202" s="885"/>
      <c r="IPY202" s="885"/>
      <c r="IPZ202" s="885"/>
      <c r="IQA202" s="885"/>
      <c r="IQB202" s="885"/>
      <c r="IQC202" s="885"/>
      <c r="IQD202" s="885"/>
      <c r="IQE202" s="885"/>
      <c r="IQF202" s="885"/>
      <c r="IQG202" s="885"/>
      <c r="IQH202" s="885"/>
      <c r="IQI202" s="885"/>
      <c r="IQJ202" s="885"/>
      <c r="IQK202" s="885"/>
      <c r="IQL202" s="885"/>
      <c r="IQM202" s="885"/>
      <c r="IQN202" s="885"/>
      <c r="IQO202" s="885"/>
      <c r="IQP202" s="885"/>
      <c r="IQQ202" s="885"/>
      <c r="IQR202" s="885"/>
      <c r="IQS202" s="885"/>
      <c r="IQT202" s="885"/>
      <c r="IQU202" s="885"/>
      <c r="IQV202" s="885"/>
      <c r="IQW202" s="885"/>
      <c r="IQX202" s="885"/>
      <c r="IQY202" s="885"/>
      <c r="IQZ202" s="885"/>
      <c r="IRA202" s="885"/>
      <c r="IRB202" s="885"/>
      <c r="IRC202" s="885"/>
      <c r="IRD202" s="885"/>
      <c r="IRE202" s="885"/>
      <c r="IRF202" s="885"/>
      <c r="IRG202" s="885"/>
      <c r="IRH202" s="885"/>
      <c r="IRI202" s="885"/>
      <c r="IRJ202" s="885"/>
      <c r="IRK202" s="885"/>
      <c r="IRL202" s="885"/>
      <c r="IRM202" s="885"/>
      <c r="IRN202" s="885"/>
      <c r="IRO202" s="885"/>
      <c r="IRP202" s="885"/>
      <c r="IRQ202" s="885"/>
      <c r="IRR202" s="885"/>
      <c r="IRS202" s="885"/>
      <c r="IRT202" s="885"/>
      <c r="IRU202" s="885"/>
      <c r="IRV202" s="885"/>
      <c r="IRW202" s="885"/>
      <c r="IRX202" s="885"/>
      <c r="IRY202" s="885"/>
      <c r="IRZ202" s="885"/>
      <c r="ISA202" s="885"/>
      <c r="ISB202" s="885"/>
      <c r="ISC202" s="885"/>
      <c r="ISD202" s="885"/>
      <c r="ISE202" s="885"/>
      <c r="ISF202" s="885"/>
      <c r="ISG202" s="885"/>
      <c r="ISH202" s="885"/>
      <c r="ISI202" s="885"/>
      <c r="ISJ202" s="885"/>
      <c r="ISK202" s="885"/>
      <c r="ISL202" s="885"/>
      <c r="ISM202" s="885"/>
      <c r="ISN202" s="885"/>
      <c r="ISO202" s="885"/>
      <c r="ISP202" s="885"/>
      <c r="ISQ202" s="885"/>
      <c r="ISR202" s="885"/>
      <c r="ISS202" s="885"/>
      <c r="IST202" s="885"/>
      <c r="ISU202" s="885"/>
      <c r="ISV202" s="885"/>
      <c r="ISW202" s="885"/>
      <c r="ISX202" s="885"/>
      <c r="ISY202" s="885"/>
      <c r="ISZ202" s="885"/>
      <c r="ITA202" s="885"/>
      <c r="ITB202" s="885"/>
      <c r="ITC202" s="885"/>
      <c r="ITD202" s="885"/>
      <c r="ITE202" s="885"/>
      <c r="ITF202" s="885"/>
      <c r="ITG202" s="885"/>
      <c r="ITH202" s="885"/>
      <c r="ITI202" s="885"/>
      <c r="ITJ202" s="885"/>
      <c r="ITK202" s="885"/>
      <c r="ITL202" s="885"/>
      <c r="ITM202" s="885"/>
      <c r="ITN202" s="885"/>
      <c r="ITO202" s="885"/>
      <c r="ITP202" s="885"/>
      <c r="ITQ202" s="885"/>
      <c r="ITR202" s="885"/>
      <c r="ITS202" s="885"/>
      <c r="ITT202" s="885"/>
      <c r="ITU202" s="885"/>
      <c r="ITV202" s="885"/>
      <c r="ITW202" s="885"/>
      <c r="ITX202" s="885"/>
      <c r="ITY202" s="885"/>
      <c r="ITZ202" s="885"/>
      <c r="IUA202" s="885"/>
      <c r="IUB202" s="885"/>
      <c r="IUC202" s="885"/>
      <c r="IUD202" s="885"/>
      <c r="IUE202" s="885"/>
      <c r="IUF202" s="885"/>
      <c r="IUG202" s="885"/>
      <c r="IUH202" s="885"/>
      <c r="IUI202" s="885"/>
      <c r="IUJ202" s="885"/>
      <c r="IUK202" s="885"/>
      <c r="IUL202" s="885"/>
      <c r="IUM202" s="885"/>
      <c r="IUN202" s="885"/>
      <c r="IUO202" s="885"/>
      <c r="IUP202" s="885"/>
      <c r="IUQ202" s="885"/>
      <c r="IUR202" s="885"/>
      <c r="IUS202" s="885"/>
      <c r="IUT202" s="885"/>
      <c r="IUU202" s="885"/>
      <c r="IUV202" s="885"/>
      <c r="IUW202" s="885"/>
      <c r="IUX202" s="885"/>
      <c r="IUY202" s="885"/>
      <c r="IUZ202" s="885"/>
      <c r="IVA202" s="885"/>
      <c r="IVB202" s="885"/>
      <c r="IVC202" s="885"/>
      <c r="IVD202" s="885"/>
      <c r="IVE202" s="885"/>
      <c r="IVF202" s="885"/>
      <c r="IVG202" s="885"/>
      <c r="IVH202" s="885"/>
      <c r="IVI202" s="885"/>
      <c r="IVJ202" s="885"/>
      <c r="IVK202" s="885"/>
      <c r="IVL202" s="885"/>
      <c r="IVM202" s="885"/>
      <c r="IVN202" s="885"/>
      <c r="IVO202" s="885"/>
      <c r="IVP202" s="885"/>
      <c r="IVQ202" s="885"/>
      <c r="IVR202" s="885"/>
      <c r="IVS202" s="885"/>
      <c r="IVT202" s="885"/>
      <c r="IVU202" s="885"/>
      <c r="IVV202" s="885"/>
      <c r="IVW202" s="885"/>
      <c r="IVX202" s="885"/>
      <c r="IVY202" s="885"/>
      <c r="IVZ202" s="885"/>
      <c r="IWA202" s="885"/>
      <c r="IWB202" s="885"/>
      <c r="IWC202" s="885"/>
      <c r="IWD202" s="885"/>
      <c r="IWE202" s="885"/>
      <c r="IWF202" s="885"/>
      <c r="IWG202" s="885"/>
      <c r="IWH202" s="885"/>
      <c r="IWI202" s="885"/>
      <c r="IWJ202" s="885"/>
      <c r="IWK202" s="885"/>
      <c r="IWL202" s="885"/>
      <c r="IWM202" s="885"/>
      <c r="IWN202" s="885"/>
      <c r="IWO202" s="885"/>
      <c r="IWP202" s="885"/>
      <c r="IWQ202" s="885"/>
      <c r="IWR202" s="885"/>
      <c r="IWS202" s="885"/>
      <c r="IWT202" s="885"/>
      <c r="IWU202" s="885"/>
      <c r="IWV202" s="885"/>
      <c r="IWW202" s="885"/>
      <c r="IWX202" s="885"/>
      <c r="IWY202" s="885"/>
      <c r="IWZ202" s="885"/>
      <c r="IXA202" s="885"/>
      <c r="IXB202" s="885"/>
      <c r="IXC202" s="885"/>
      <c r="IXD202" s="885"/>
      <c r="IXE202" s="885"/>
      <c r="IXF202" s="885"/>
      <c r="IXG202" s="885"/>
      <c r="IXH202" s="885"/>
      <c r="IXI202" s="885"/>
      <c r="IXJ202" s="885"/>
      <c r="IXK202" s="885"/>
      <c r="IXL202" s="885"/>
      <c r="IXM202" s="885"/>
      <c r="IXN202" s="885"/>
      <c r="IXO202" s="885"/>
      <c r="IXP202" s="885"/>
      <c r="IXQ202" s="885"/>
      <c r="IXR202" s="885"/>
      <c r="IXS202" s="885"/>
      <c r="IXT202" s="885"/>
      <c r="IXU202" s="885"/>
      <c r="IXV202" s="885"/>
      <c r="IXW202" s="885"/>
      <c r="IXX202" s="885"/>
      <c r="IXY202" s="885"/>
      <c r="IXZ202" s="885"/>
      <c r="IYA202" s="885"/>
      <c r="IYB202" s="885"/>
      <c r="IYC202" s="885"/>
      <c r="IYD202" s="885"/>
      <c r="IYE202" s="885"/>
      <c r="IYF202" s="885"/>
      <c r="IYG202" s="885"/>
      <c r="IYH202" s="885"/>
      <c r="IYI202" s="885"/>
      <c r="IYJ202" s="885"/>
      <c r="IYK202" s="885"/>
      <c r="IYL202" s="885"/>
      <c r="IYM202" s="885"/>
      <c r="IYN202" s="885"/>
      <c r="IYO202" s="885"/>
      <c r="IYP202" s="885"/>
      <c r="IYQ202" s="885"/>
      <c r="IYR202" s="885"/>
      <c r="IYS202" s="885"/>
      <c r="IYT202" s="885"/>
      <c r="IYU202" s="885"/>
      <c r="IYV202" s="885"/>
      <c r="IYW202" s="885"/>
      <c r="IYX202" s="885"/>
      <c r="IYY202" s="885"/>
      <c r="IYZ202" s="885"/>
      <c r="IZA202" s="885"/>
      <c r="IZB202" s="885"/>
      <c r="IZC202" s="885"/>
      <c r="IZD202" s="885"/>
      <c r="IZE202" s="885"/>
      <c r="IZF202" s="885"/>
      <c r="IZG202" s="885"/>
      <c r="IZH202" s="885"/>
      <c r="IZI202" s="885"/>
      <c r="IZJ202" s="885"/>
      <c r="IZK202" s="885"/>
      <c r="IZL202" s="885"/>
      <c r="IZM202" s="885"/>
      <c r="IZN202" s="885"/>
      <c r="IZO202" s="885"/>
      <c r="IZP202" s="885"/>
      <c r="IZQ202" s="885"/>
      <c r="IZR202" s="885"/>
      <c r="IZS202" s="885"/>
      <c r="IZT202" s="885"/>
      <c r="IZU202" s="885"/>
      <c r="IZV202" s="885"/>
      <c r="IZW202" s="885"/>
      <c r="IZX202" s="885"/>
      <c r="IZY202" s="885"/>
      <c r="IZZ202" s="885"/>
      <c r="JAA202" s="885"/>
      <c r="JAB202" s="885"/>
      <c r="JAC202" s="885"/>
      <c r="JAD202" s="885"/>
      <c r="JAE202" s="885"/>
      <c r="JAF202" s="885"/>
      <c r="JAG202" s="885"/>
      <c r="JAH202" s="885"/>
      <c r="JAI202" s="885"/>
      <c r="JAJ202" s="885"/>
      <c r="JAK202" s="885"/>
      <c r="JAL202" s="885"/>
      <c r="JAM202" s="885"/>
      <c r="JAN202" s="885"/>
      <c r="JAO202" s="885"/>
      <c r="JAP202" s="885"/>
      <c r="JAQ202" s="885"/>
      <c r="JAR202" s="885"/>
      <c r="JAS202" s="885"/>
      <c r="JAT202" s="885"/>
      <c r="JAU202" s="885"/>
      <c r="JAV202" s="885"/>
      <c r="JAW202" s="885"/>
      <c r="JAX202" s="885"/>
      <c r="JAY202" s="885"/>
      <c r="JAZ202" s="885"/>
      <c r="JBA202" s="885"/>
      <c r="JBB202" s="885"/>
      <c r="JBC202" s="885"/>
      <c r="JBD202" s="885"/>
      <c r="JBE202" s="885"/>
      <c r="JBF202" s="885"/>
      <c r="JBG202" s="885"/>
      <c r="JBH202" s="885"/>
      <c r="JBI202" s="885"/>
      <c r="JBJ202" s="885"/>
      <c r="JBK202" s="885"/>
      <c r="JBL202" s="885"/>
      <c r="JBM202" s="885"/>
      <c r="JBN202" s="885"/>
      <c r="JBO202" s="885"/>
      <c r="JBP202" s="885"/>
      <c r="JBQ202" s="885"/>
      <c r="JBR202" s="885"/>
      <c r="JBS202" s="885"/>
      <c r="JBT202" s="885"/>
      <c r="JBU202" s="885"/>
      <c r="JBV202" s="885"/>
      <c r="JBW202" s="885"/>
      <c r="JBX202" s="885"/>
      <c r="JBY202" s="885"/>
      <c r="JBZ202" s="885"/>
      <c r="JCA202" s="885"/>
      <c r="JCB202" s="885"/>
      <c r="JCC202" s="885"/>
      <c r="JCD202" s="885"/>
      <c r="JCE202" s="885"/>
      <c r="JCF202" s="885"/>
      <c r="JCG202" s="885"/>
      <c r="JCH202" s="885"/>
      <c r="JCI202" s="885"/>
      <c r="JCJ202" s="885"/>
      <c r="JCK202" s="885"/>
      <c r="JCL202" s="885"/>
      <c r="JCM202" s="885"/>
      <c r="JCN202" s="885"/>
      <c r="JCO202" s="885"/>
      <c r="JCP202" s="885"/>
      <c r="JCQ202" s="885"/>
      <c r="JCR202" s="885"/>
      <c r="JCS202" s="885"/>
      <c r="JCT202" s="885"/>
      <c r="JCU202" s="885"/>
      <c r="JCV202" s="885"/>
      <c r="JCW202" s="885"/>
      <c r="JCX202" s="885"/>
      <c r="JCY202" s="885"/>
      <c r="JCZ202" s="885"/>
      <c r="JDA202" s="885"/>
      <c r="JDB202" s="885"/>
      <c r="JDC202" s="885"/>
      <c r="JDD202" s="885"/>
      <c r="JDE202" s="885"/>
      <c r="JDF202" s="885"/>
      <c r="JDG202" s="885"/>
      <c r="JDH202" s="885"/>
      <c r="JDI202" s="885"/>
      <c r="JDJ202" s="885"/>
      <c r="JDK202" s="885"/>
      <c r="JDL202" s="885"/>
      <c r="JDM202" s="885"/>
      <c r="JDN202" s="885"/>
      <c r="JDO202" s="885"/>
      <c r="JDP202" s="885"/>
      <c r="JDQ202" s="885"/>
      <c r="JDR202" s="885"/>
      <c r="JDS202" s="885"/>
      <c r="JDT202" s="885"/>
      <c r="JDU202" s="885"/>
      <c r="JDV202" s="885"/>
      <c r="JDW202" s="885"/>
      <c r="JDX202" s="885"/>
      <c r="JDY202" s="885"/>
      <c r="JDZ202" s="885"/>
      <c r="JEA202" s="885"/>
      <c r="JEB202" s="885"/>
      <c r="JEC202" s="885"/>
      <c r="JED202" s="885"/>
      <c r="JEE202" s="885"/>
      <c r="JEF202" s="885"/>
      <c r="JEG202" s="885"/>
      <c r="JEH202" s="885"/>
      <c r="JEI202" s="885"/>
      <c r="JEJ202" s="885"/>
      <c r="JEK202" s="885"/>
      <c r="JEL202" s="885"/>
      <c r="JEM202" s="885"/>
      <c r="JEN202" s="885"/>
      <c r="JEO202" s="885"/>
      <c r="JEP202" s="885"/>
      <c r="JEQ202" s="885"/>
      <c r="JER202" s="885"/>
      <c r="JES202" s="885"/>
      <c r="JET202" s="885"/>
      <c r="JEU202" s="885"/>
      <c r="JEV202" s="885"/>
      <c r="JEW202" s="885"/>
      <c r="JEX202" s="885"/>
      <c r="JEY202" s="885"/>
      <c r="JEZ202" s="885"/>
      <c r="JFA202" s="885"/>
      <c r="JFB202" s="885"/>
      <c r="JFC202" s="885"/>
      <c r="JFD202" s="885"/>
      <c r="JFE202" s="885"/>
      <c r="JFF202" s="885"/>
      <c r="JFG202" s="885"/>
      <c r="JFH202" s="885"/>
      <c r="JFI202" s="885"/>
      <c r="JFJ202" s="885"/>
      <c r="JFK202" s="885"/>
      <c r="JFL202" s="885"/>
      <c r="JFM202" s="885"/>
      <c r="JFN202" s="885"/>
      <c r="JFO202" s="885"/>
      <c r="JFP202" s="885"/>
      <c r="JFQ202" s="885"/>
      <c r="JFR202" s="885"/>
      <c r="JFS202" s="885"/>
      <c r="JFT202" s="885"/>
      <c r="JFU202" s="885"/>
      <c r="JFV202" s="885"/>
      <c r="JFW202" s="885"/>
      <c r="JFX202" s="885"/>
      <c r="JFY202" s="885"/>
      <c r="JFZ202" s="885"/>
      <c r="JGA202" s="885"/>
      <c r="JGB202" s="885"/>
      <c r="JGC202" s="885"/>
      <c r="JGD202" s="885"/>
      <c r="JGE202" s="885"/>
      <c r="JGF202" s="885"/>
      <c r="JGG202" s="885"/>
      <c r="JGH202" s="885"/>
      <c r="JGI202" s="885"/>
      <c r="JGJ202" s="885"/>
      <c r="JGK202" s="885"/>
      <c r="JGL202" s="885"/>
      <c r="JGM202" s="885"/>
      <c r="JGN202" s="885"/>
      <c r="JGO202" s="885"/>
      <c r="JGP202" s="885"/>
      <c r="JGQ202" s="885"/>
      <c r="JGR202" s="885"/>
      <c r="JGS202" s="885"/>
      <c r="JGT202" s="885"/>
      <c r="JGU202" s="885"/>
      <c r="JGV202" s="885"/>
      <c r="JGW202" s="885"/>
      <c r="JGX202" s="885"/>
      <c r="JGY202" s="885"/>
      <c r="JGZ202" s="885"/>
      <c r="JHA202" s="885"/>
      <c r="JHB202" s="885"/>
      <c r="JHC202" s="885"/>
      <c r="JHD202" s="885"/>
      <c r="JHE202" s="885"/>
      <c r="JHF202" s="885"/>
      <c r="JHG202" s="885"/>
      <c r="JHH202" s="885"/>
      <c r="JHI202" s="885"/>
      <c r="JHJ202" s="885"/>
      <c r="JHK202" s="885"/>
      <c r="JHL202" s="885"/>
      <c r="JHM202" s="885"/>
      <c r="JHN202" s="885"/>
      <c r="JHO202" s="885"/>
      <c r="JHP202" s="885"/>
      <c r="JHQ202" s="885"/>
      <c r="JHR202" s="885"/>
      <c r="JHS202" s="885"/>
      <c r="JHT202" s="885"/>
      <c r="JHU202" s="885"/>
      <c r="JHV202" s="885"/>
      <c r="JHW202" s="885"/>
      <c r="JHX202" s="885"/>
      <c r="JHY202" s="885"/>
      <c r="JHZ202" s="885"/>
      <c r="JIA202" s="885"/>
      <c r="JIB202" s="885"/>
      <c r="JIC202" s="885"/>
      <c r="JID202" s="885"/>
      <c r="JIE202" s="885"/>
      <c r="JIF202" s="885"/>
      <c r="JIG202" s="885"/>
      <c r="JIH202" s="885"/>
      <c r="JII202" s="885"/>
      <c r="JIJ202" s="885"/>
      <c r="JIK202" s="885"/>
      <c r="JIL202" s="885"/>
      <c r="JIM202" s="885"/>
      <c r="JIN202" s="885"/>
      <c r="JIO202" s="885"/>
      <c r="JIP202" s="885"/>
      <c r="JIQ202" s="885"/>
      <c r="JIR202" s="885"/>
      <c r="JIS202" s="885"/>
      <c r="JIT202" s="885"/>
      <c r="JIU202" s="885"/>
      <c r="JIV202" s="885"/>
      <c r="JIW202" s="885"/>
      <c r="JIX202" s="885"/>
      <c r="JIY202" s="885"/>
      <c r="JIZ202" s="885"/>
      <c r="JJA202" s="885"/>
      <c r="JJB202" s="885"/>
      <c r="JJC202" s="885"/>
      <c r="JJD202" s="885"/>
      <c r="JJE202" s="885"/>
      <c r="JJF202" s="885"/>
      <c r="JJG202" s="885"/>
      <c r="JJH202" s="885"/>
      <c r="JJI202" s="885"/>
      <c r="JJJ202" s="885"/>
      <c r="JJK202" s="885"/>
      <c r="JJL202" s="885"/>
      <c r="JJM202" s="885"/>
      <c r="JJN202" s="885"/>
      <c r="JJO202" s="885"/>
      <c r="JJP202" s="885"/>
      <c r="JJQ202" s="885"/>
      <c r="JJR202" s="885"/>
      <c r="JJS202" s="885"/>
      <c r="JJT202" s="885"/>
      <c r="JJU202" s="885"/>
      <c r="JJV202" s="885"/>
      <c r="JJW202" s="885"/>
      <c r="JJX202" s="885"/>
      <c r="JJY202" s="885"/>
      <c r="JJZ202" s="885"/>
      <c r="JKA202" s="885"/>
      <c r="JKB202" s="885"/>
      <c r="JKC202" s="885"/>
      <c r="JKD202" s="885"/>
      <c r="JKE202" s="885"/>
      <c r="JKF202" s="885"/>
      <c r="JKG202" s="885"/>
      <c r="JKH202" s="885"/>
      <c r="JKI202" s="885"/>
      <c r="JKJ202" s="885"/>
      <c r="JKK202" s="885"/>
      <c r="JKL202" s="885"/>
      <c r="JKM202" s="885"/>
      <c r="JKN202" s="885"/>
      <c r="JKO202" s="885"/>
      <c r="JKP202" s="885"/>
      <c r="JKQ202" s="885"/>
      <c r="JKR202" s="885"/>
      <c r="JKS202" s="885"/>
      <c r="JKT202" s="885"/>
      <c r="JKU202" s="885"/>
      <c r="JKV202" s="885"/>
      <c r="JKW202" s="885"/>
      <c r="JKX202" s="885"/>
      <c r="JKY202" s="885"/>
      <c r="JKZ202" s="885"/>
      <c r="JLA202" s="885"/>
      <c r="JLB202" s="885"/>
      <c r="JLC202" s="885"/>
      <c r="JLD202" s="885"/>
      <c r="JLE202" s="885"/>
      <c r="JLF202" s="885"/>
      <c r="JLG202" s="885"/>
      <c r="JLH202" s="885"/>
      <c r="JLI202" s="885"/>
      <c r="JLJ202" s="885"/>
      <c r="JLK202" s="885"/>
      <c r="JLL202" s="885"/>
      <c r="JLM202" s="885"/>
      <c r="JLN202" s="885"/>
      <c r="JLO202" s="885"/>
      <c r="JLP202" s="885"/>
      <c r="JLQ202" s="885"/>
      <c r="JLR202" s="885"/>
      <c r="JLS202" s="885"/>
      <c r="JLT202" s="885"/>
      <c r="JLU202" s="885"/>
      <c r="JLV202" s="885"/>
      <c r="JLW202" s="885"/>
      <c r="JLX202" s="885"/>
      <c r="JLY202" s="885"/>
      <c r="JLZ202" s="885"/>
      <c r="JMA202" s="885"/>
      <c r="JMB202" s="885"/>
      <c r="JMC202" s="885"/>
      <c r="JMD202" s="885"/>
      <c r="JME202" s="885"/>
      <c r="JMF202" s="885"/>
      <c r="JMG202" s="885"/>
      <c r="JMH202" s="885"/>
      <c r="JMI202" s="885"/>
      <c r="JMJ202" s="885"/>
      <c r="JMK202" s="885"/>
      <c r="JML202" s="885"/>
      <c r="JMM202" s="885"/>
      <c r="JMN202" s="885"/>
      <c r="JMO202" s="885"/>
      <c r="JMP202" s="885"/>
      <c r="JMQ202" s="885"/>
      <c r="JMR202" s="885"/>
      <c r="JMS202" s="885"/>
      <c r="JMT202" s="885"/>
      <c r="JMU202" s="885"/>
      <c r="JMV202" s="885"/>
      <c r="JMW202" s="885"/>
      <c r="JMX202" s="885"/>
      <c r="JMY202" s="885"/>
      <c r="JMZ202" s="885"/>
      <c r="JNA202" s="885"/>
      <c r="JNB202" s="885"/>
      <c r="JNC202" s="885"/>
      <c r="JND202" s="885"/>
      <c r="JNE202" s="885"/>
      <c r="JNF202" s="885"/>
      <c r="JNG202" s="885"/>
      <c r="JNH202" s="885"/>
      <c r="JNI202" s="885"/>
      <c r="JNJ202" s="885"/>
      <c r="JNK202" s="885"/>
      <c r="JNL202" s="885"/>
      <c r="JNM202" s="885"/>
      <c r="JNN202" s="885"/>
      <c r="JNO202" s="885"/>
      <c r="JNP202" s="885"/>
      <c r="JNQ202" s="885"/>
      <c r="JNR202" s="885"/>
      <c r="JNS202" s="885"/>
      <c r="JNT202" s="885"/>
      <c r="JNU202" s="885"/>
      <c r="JNV202" s="885"/>
      <c r="JNW202" s="885"/>
      <c r="JNX202" s="885"/>
      <c r="JNY202" s="885"/>
      <c r="JNZ202" s="885"/>
      <c r="JOA202" s="885"/>
      <c r="JOB202" s="885"/>
      <c r="JOC202" s="885"/>
      <c r="JOD202" s="885"/>
      <c r="JOE202" s="885"/>
      <c r="JOF202" s="885"/>
      <c r="JOG202" s="885"/>
      <c r="JOH202" s="885"/>
      <c r="JOI202" s="885"/>
      <c r="JOJ202" s="885"/>
      <c r="JOK202" s="885"/>
      <c r="JOL202" s="885"/>
      <c r="JOM202" s="885"/>
      <c r="JON202" s="885"/>
      <c r="JOO202" s="885"/>
      <c r="JOP202" s="885"/>
      <c r="JOQ202" s="885"/>
      <c r="JOR202" s="885"/>
      <c r="JOS202" s="885"/>
      <c r="JOT202" s="885"/>
      <c r="JOU202" s="885"/>
      <c r="JOV202" s="885"/>
      <c r="JOW202" s="885"/>
      <c r="JOX202" s="885"/>
      <c r="JOY202" s="885"/>
      <c r="JOZ202" s="885"/>
      <c r="JPA202" s="885"/>
      <c r="JPB202" s="885"/>
      <c r="JPC202" s="885"/>
      <c r="JPD202" s="885"/>
      <c r="JPE202" s="885"/>
      <c r="JPF202" s="885"/>
      <c r="JPG202" s="885"/>
      <c r="JPH202" s="885"/>
      <c r="JPI202" s="885"/>
      <c r="JPJ202" s="885"/>
      <c r="JPK202" s="885"/>
      <c r="JPL202" s="885"/>
      <c r="JPM202" s="885"/>
      <c r="JPN202" s="885"/>
      <c r="JPO202" s="885"/>
      <c r="JPP202" s="885"/>
      <c r="JPQ202" s="885"/>
      <c r="JPR202" s="885"/>
      <c r="JPS202" s="885"/>
      <c r="JPT202" s="885"/>
      <c r="JPU202" s="885"/>
      <c r="JPV202" s="885"/>
      <c r="JPW202" s="885"/>
      <c r="JPX202" s="885"/>
      <c r="JPY202" s="885"/>
      <c r="JPZ202" s="885"/>
      <c r="JQA202" s="885"/>
      <c r="JQB202" s="885"/>
      <c r="JQC202" s="885"/>
      <c r="JQD202" s="885"/>
      <c r="JQE202" s="885"/>
      <c r="JQF202" s="885"/>
      <c r="JQG202" s="885"/>
      <c r="JQH202" s="885"/>
      <c r="JQI202" s="885"/>
      <c r="JQJ202" s="885"/>
      <c r="JQK202" s="885"/>
      <c r="JQL202" s="885"/>
      <c r="JQM202" s="885"/>
      <c r="JQN202" s="885"/>
      <c r="JQO202" s="885"/>
      <c r="JQP202" s="885"/>
      <c r="JQQ202" s="885"/>
      <c r="JQR202" s="885"/>
      <c r="JQS202" s="885"/>
      <c r="JQT202" s="885"/>
      <c r="JQU202" s="885"/>
      <c r="JQV202" s="885"/>
      <c r="JQW202" s="885"/>
      <c r="JQX202" s="885"/>
      <c r="JQY202" s="885"/>
      <c r="JQZ202" s="885"/>
      <c r="JRA202" s="885"/>
      <c r="JRB202" s="885"/>
      <c r="JRC202" s="885"/>
      <c r="JRD202" s="885"/>
      <c r="JRE202" s="885"/>
      <c r="JRF202" s="885"/>
      <c r="JRG202" s="885"/>
      <c r="JRH202" s="885"/>
      <c r="JRI202" s="885"/>
      <c r="JRJ202" s="885"/>
      <c r="JRK202" s="885"/>
      <c r="JRL202" s="885"/>
      <c r="JRM202" s="885"/>
      <c r="JRN202" s="885"/>
      <c r="JRO202" s="885"/>
      <c r="JRP202" s="885"/>
      <c r="JRQ202" s="885"/>
      <c r="JRR202" s="885"/>
      <c r="JRS202" s="885"/>
      <c r="JRT202" s="885"/>
      <c r="JRU202" s="885"/>
      <c r="JRV202" s="885"/>
      <c r="JRW202" s="885"/>
      <c r="JRX202" s="885"/>
      <c r="JRY202" s="885"/>
      <c r="JRZ202" s="885"/>
      <c r="JSA202" s="885"/>
      <c r="JSB202" s="885"/>
      <c r="JSC202" s="885"/>
      <c r="JSD202" s="885"/>
      <c r="JSE202" s="885"/>
      <c r="JSF202" s="885"/>
      <c r="JSG202" s="885"/>
      <c r="JSH202" s="885"/>
      <c r="JSI202" s="885"/>
      <c r="JSJ202" s="885"/>
      <c r="JSK202" s="885"/>
      <c r="JSL202" s="885"/>
      <c r="JSM202" s="885"/>
      <c r="JSN202" s="885"/>
      <c r="JSO202" s="885"/>
      <c r="JSP202" s="885"/>
      <c r="JSQ202" s="885"/>
      <c r="JSR202" s="885"/>
      <c r="JSS202" s="885"/>
      <c r="JST202" s="885"/>
      <c r="JSU202" s="885"/>
      <c r="JSV202" s="885"/>
      <c r="JSW202" s="885"/>
      <c r="JSX202" s="885"/>
      <c r="JSY202" s="885"/>
      <c r="JSZ202" s="885"/>
      <c r="JTA202" s="885"/>
      <c r="JTB202" s="885"/>
      <c r="JTC202" s="885"/>
      <c r="JTD202" s="885"/>
      <c r="JTE202" s="885"/>
      <c r="JTF202" s="885"/>
      <c r="JTG202" s="885"/>
      <c r="JTH202" s="885"/>
      <c r="JTI202" s="885"/>
      <c r="JTJ202" s="885"/>
      <c r="JTK202" s="885"/>
      <c r="JTL202" s="885"/>
      <c r="JTM202" s="885"/>
      <c r="JTN202" s="885"/>
      <c r="JTO202" s="885"/>
      <c r="JTP202" s="885"/>
      <c r="JTQ202" s="885"/>
      <c r="JTR202" s="885"/>
      <c r="JTS202" s="885"/>
      <c r="JTT202" s="885"/>
      <c r="JTU202" s="885"/>
      <c r="JTV202" s="885"/>
      <c r="JTW202" s="885"/>
      <c r="JTX202" s="885"/>
      <c r="JTY202" s="885"/>
      <c r="JTZ202" s="885"/>
      <c r="JUA202" s="885"/>
      <c r="JUB202" s="885"/>
      <c r="JUC202" s="885"/>
      <c r="JUD202" s="885"/>
      <c r="JUE202" s="885"/>
      <c r="JUF202" s="885"/>
      <c r="JUG202" s="885"/>
      <c r="JUH202" s="885"/>
      <c r="JUI202" s="885"/>
      <c r="JUJ202" s="885"/>
      <c r="JUK202" s="885"/>
      <c r="JUL202" s="885"/>
      <c r="JUM202" s="885"/>
      <c r="JUN202" s="885"/>
      <c r="JUO202" s="885"/>
      <c r="JUP202" s="885"/>
      <c r="JUQ202" s="885"/>
      <c r="JUR202" s="885"/>
      <c r="JUS202" s="885"/>
      <c r="JUT202" s="885"/>
      <c r="JUU202" s="885"/>
      <c r="JUV202" s="885"/>
      <c r="JUW202" s="885"/>
      <c r="JUX202" s="885"/>
      <c r="JUY202" s="885"/>
      <c r="JUZ202" s="885"/>
      <c r="JVA202" s="885"/>
      <c r="JVB202" s="885"/>
      <c r="JVC202" s="885"/>
      <c r="JVD202" s="885"/>
      <c r="JVE202" s="885"/>
      <c r="JVF202" s="885"/>
      <c r="JVG202" s="885"/>
      <c r="JVH202" s="885"/>
      <c r="JVI202" s="885"/>
      <c r="JVJ202" s="885"/>
      <c r="JVK202" s="885"/>
      <c r="JVL202" s="885"/>
      <c r="JVM202" s="885"/>
      <c r="JVN202" s="885"/>
      <c r="JVO202" s="885"/>
      <c r="JVP202" s="885"/>
      <c r="JVQ202" s="885"/>
      <c r="JVR202" s="885"/>
      <c r="JVS202" s="885"/>
      <c r="JVT202" s="885"/>
      <c r="JVU202" s="885"/>
      <c r="JVV202" s="885"/>
      <c r="JVW202" s="885"/>
      <c r="JVX202" s="885"/>
      <c r="JVY202" s="885"/>
      <c r="JVZ202" s="885"/>
      <c r="JWA202" s="885"/>
      <c r="JWB202" s="885"/>
      <c r="JWC202" s="885"/>
      <c r="JWD202" s="885"/>
      <c r="JWE202" s="885"/>
      <c r="JWF202" s="885"/>
      <c r="JWG202" s="885"/>
      <c r="JWH202" s="885"/>
      <c r="JWI202" s="885"/>
      <c r="JWJ202" s="885"/>
      <c r="JWK202" s="885"/>
      <c r="JWL202" s="885"/>
      <c r="JWM202" s="885"/>
      <c r="JWN202" s="885"/>
      <c r="JWO202" s="885"/>
      <c r="JWP202" s="885"/>
      <c r="JWQ202" s="885"/>
      <c r="JWR202" s="885"/>
      <c r="JWS202" s="885"/>
      <c r="JWT202" s="885"/>
      <c r="JWU202" s="885"/>
      <c r="JWV202" s="885"/>
      <c r="JWW202" s="885"/>
      <c r="JWX202" s="885"/>
      <c r="JWY202" s="885"/>
      <c r="JWZ202" s="885"/>
      <c r="JXA202" s="885"/>
      <c r="JXB202" s="885"/>
      <c r="JXC202" s="885"/>
      <c r="JXD202" s="885"/>
      <c r="JXE202" s="885"/>
      <c r="JXF202" s="885"/>
      <c r="JXG202" s="885"/>
      <c r="JXH202" s="885"/>
      <c r="JXI202" s="885"/>
      <c r="JXJ202" s="885"/>
      <c r="JXK202" s="885"/>
      <c r="JXL202" s="885"/>
      <c r="JXM202" s="885"/>
      <c r="JXN202" s="885"/>
      <c r="JXO202" s="885"/>
      <c r="JXP202" s="885"/>
      <c r="JXQ202" s="885"/>
      <c r="JXR202" s="885"/>
      <c r="JXS202" s="885"/>
      <c r="JXT202" s="885"/>
      <c r="JXU202" s="885"/>
      <c r="JXV202" s="885"/>
      <c r="JXW202" s="885"/>
      <c r="JXX202" s="885"/>
      <c r="JXY202" s="885"/>
      <c r="JXZ202" s="885"/>
      <c r="JYA202" s="885"/>
      <c r="JYB202" s="885"/>
      <c r="JYC202" s="885"/>
      <c r="JYD202" s="885"/>
      <c r="JYE202" s="885"/>
      <c r="JYF202" s="885"/>
      <c r="JYG202" s="885"/>
      <c r="JYH202" s="885"/>
      <c r="JYI202" s="885"/>
      <c r="JYJ202" s="885"/>
      <c r="JYK202" s="885"/>
      <c r="JYL202" s="885"/>
      <c r="JYM202" s="885"/>
      <c r="JYN202" s="885"/>
      <c r="JYO202" s="885"/>
      <c r="JYP202" s="885"/>
      <c r="JYQ202" s="885"/>
      <c r="JYR202" s="885"/>
      <c r="JYS202" s="885"/>
      <c r="JYT202" s="885"/>
      <c r="JYU202" s="885"/>
      <c r="JYV202" s="885"/>
      <c r="JYW202" s="885"/>
      <c r="JYX202" s="885"/>
      <c r="JYY202" s="885"/>
      <c r="JYZ202" s="885"/>
      <c r="JZA202" s="885"/>
      <c r="JZB202" s="885"/>
      <c r="JZC202" s="885"/>
      <c r="JZD202" s="885"/>
      <c r="JZE202" s="885"/>
      <c r="JZF202" s="885"/>
      <c r="JZG202" s="885"/>
      <c r="JZH202" s="885"/>
      <c r="JZI202" s="885"/>
      <c r="JZJ202" s="885"/>
      <c r="JZK202" s="885"/>
      <c r="JZL202" s="885"/>
      <c r="JZM202" s="885"/>
      <c r="JZN202" s="885"/>
      <c r="JZO202" s="885"/>
      <c r="JZP202" s="885"/>
      <c r="JZQ202" s="885"/>
      <c r="JZR202" s="885"/>
      <c r="JZS202" s="885"/>
      <c r="JZT202" s="885"/>
      <c r="JZU202" s="885"/>
      <c r="JZV202" s="885"/>
      <c r="JZW202" s="885"/>
      <c r="JZX202" s="885"/>
      <c r="JZY202" s="885"/>
      <c r="JZZ202" s="885"/>
      <c r="KAA202" s="885"/>
      <c r="KAB202" s="885"/>
      <c r="KAC202" s="885"/>
      <c r="KAD202" s="885"/>
      <c r="KAE202" s="885"/>
      <c r="KAF202" s="885"/>
      <c r="KAG202" s="885"/>
      <c r="KAH202" s="885"/>
      <c r="KAI202" s="885"/>
      <c r="KAJ202" s="885"/>
      <c r="KAK202" s="885"/>
      <c r="KAL202" s="885"/>
      <c r="KAM202" s="885"/>
      <c r="KAN202" s="885"/>
      <c r="KAO202" s="885"/>
      <c r="KAP202" s="885"/>
      <c r="KAQ202" s="885"/>
      <c r="KAR202" s="885"/>
      <c r="KAS202" s="885"/>
      <c r="KAT202" s="885"/>
      <c r="KAU202" s="885"/>
      <c r="KAV202" s="885"/>
      <c r="KAW202" s="885"/>
      <c r="KAX202" s="885"/>
      <c r="KAY202" s="885"/>
      <c r="KAZ202" s="885"/>
      <c r="KBA202" s="885"/>
      <c r="KBB202" s="885"/>
      <c r="KBC202" s="885"/>
      <c r="KBD202" s="885"/>
      <c r="KBE202" s="885"/>
      <c r="KBF202" s="885"/>
      <c r="KBG202" s="885"/>
      <c r="KBH202" s="885"/>
      <c r="KBI202" s="885"/>
      <c r="KBJ202" s="885"/>
      <c r="KBK202" s="885"/>
      <c r="KBL202" s="885"/>
      <c r="KBM202" s="885"/>
      <c r="KBN202" s="885"/>
      <c r="KBO202" s="885"/>
      <c r="KBP202" s="885"/>
      <c r="KBQ202" s="885"/>
      <c r="KBR202" s="885"/>
      <c r="KBS202" s="885"/>
      <c r="KBT202" s="885"/>
      <c r="KBU202" s="885"/>
      <c r="KBV202" s="885"/>
      <c r="KBW202" s="885"/>
      <c r="KBX202" s="885"/>
      <c r="KBY202" s="885"/>
      <c r="KBZ202" s="885"/>
      <c r="KCA202" s="885"/>
      <c r="KCB202" s="885"/>
      <c r="KCC202" s="885"/>
      <c r="KCD202" s="885"/>
      <c r="KCE202" s="885"/>
      <c r="KCF202" s="885"/>
      <c r="KCG202" s="885"/>
      <c r="KCH202" s="885"/>
      <c r="KCI202" s="885"/>
      <c r="KCJ202" s="885"/>
      <c r="KCK202" s="885"/>
      <c r="KCL202" s="885"/>
      <c r="KCM202" s="885"/>
      <c r="KCN202" s="885"/>
      <c r="KCO202" s="885"/>
      <c r="KCP202" s="885"/>
      <c r="KCQ202" s="885"/>
      <c r="KCR202" s="885"/>
      <c r="KCS202" s="885"/>
      <c r="KCT202" s="885"/>
      <c r="KCU202" s="885"/>
      <c r="KCV202" s="885"/>
      <c r="KCW202" s="885"/>
      <c r="KCX202" s="885"/>
      <c r="KCY202" s="885"/>
      <c r="KCZ202" s="885"/>
      <c r="KDA202" s="885"/>
      <c r="KDB202" s="885"/>
      <c r="KDC202" s="885"/>
      <c r="KDD202" s="885"/>
      <c r="KDE202" s="885"/>
      <c r="KDF202" s="885"/>
      <c r="KDG202" s="885"/>
      <c r="KDH202" s="885"/>
      <c r="KDI202" s="885"/>
      <c r="KDJ202" s="885"/>
      <c r="KDK202" s="885"/>
      <c r="KDL202" s="885"/>
      <c r="KDM202" s="885"/>
      <c r="KDN202" s="885"/>
      <c r="KDO202" s="885"/>
      <c r="KDP202" s="885"/>
      <c r="KDQ202" s="885"/>
      <c r="KDR202" s="885"/>
      <c r="KDS202" s="885"/>
      <c r="KDT202" s="885"/>
      <c r="KDU202" s="885"/>
      <c r="KDV202" s="885"/>
      <c r="KDW202" s="885"/>
      <c r="KDX202" s="885"/>
      <c r="KDY202" s="885"/>
      <c r="KDZ202" s="885"/>
      <c r="KEA202" s="885"/>
      <c r="KEB202" s="885"/>
      <c r="KEC202" s="885"/>
      <c r="KED202" s="885"/>
      <c r="KEE202" s="885"/>
      <c r="KEF202" s="885"/>
      <c r="KEG202" s="885"/>
      <c r="KEH202" s="885"/>
      <c r="KEI202" s="885"/>
      <c r="KEJ202" s="885"/>
      <c r="KEK202" s="885"/>
      <c r="KEL202" s="885"/>
      <c r="KEM202" s="885"/>
      <c r="KEN202" s="885"/>
      <c r="KEO202" s="885"/>
      <c r="KEP202" s="885"/>
      <c r="KEQ202" s="885"/>
      <c r="KER202" s="885"/>
      <c r="KES202" s="885"/>
      <c r="KET202" s="885"/>
      <c r="KEU202" s="885"/>
      <c r="KEV202" s="885"/>
      <c r="KEW202" s="885"/>
      <c r="KEX202" s="885"/>
      <c r="KEY202" s="885"/>
      <c r="KEZ202" s="885"/>
      <c r="KFA202" s="885"/>
      <c r="KFB202" s="885"/>
      <c r="KFC202" s="885"/>
      <c r="KFD202" s="885"/>
      <c r="KFE202" s="885"/>
      <c r="KFF202" s="885"/>
      <c r="KFG202" s="885"/>
      <c r="KFH202" s="885"/>
      <c r="KFI202" s="885"/>
      <c r="KFJ202" s="885"/>
      <c r="KFK202" s="885"/>
      <c r="KFL202" s="885"/>
      <c r="KFM202" s="885"/>
      <c r="KFN202" s="885"/>
      <c r="KFO202" s="885"/>
      <c r="KFP202" s="885"/>
      <c r="KFQ202" s="885"/>
      <c r="KFR202" s="885"/>
      <c r="KFS202" s="885"/>
      <c r="KFT202" s="885"/>
      <c r="KFU202" s="885"/>
      <c r="KFV202" s="885"/>
      <c r="KFW202" s="885"/>
      <c r="KFX202" s="885"/>
      <c r="KFY202" s="885"/>
      <c r="KFZ202" s="885"/>
      <c r="KGA202" s="885"/>
      <c r="KGB202" s="885"/>
      <c r="KGC202" s="885"/>
      <c r="KGD202" s="885"/>
      <c r="KGE202" s="885"/>
      <c r="KGF202" s="885"/>
      <c r="KGG202" s="885"/>
      <c r="KGH202" s="885"/>
      <c r="KGI202" s="885"/>
      <c r="KGJ202" s="885"/>
      <c r="KGK202" s="885"/>
      <c r="KGL202" s="885"/>
      <c r="KGM202" s="885"/>
      <c r="KGN202" s="885"/>
      <c r="KGO202" s="885"/>
      <c r="KGP202" s="885"/>
      <c r="KGQ202" s="885"/>
      <c r="KGR202" s="885"/>
      <c r="KGS202" s="885"/>
      <c r="KGT202" s="885"/>
      <c r="KGU202" s="885"/>
      <c r="KGV202" s="885"/>
      <c r="KGW202" s="885"/>
      <c r="KGX202" s="885"/>
      <c r="KGY202" s="885"/>
      <c r="KGZ202" s="885"/>
      <c r="KHA202" s="885"/>
      <c r="KHB202" s="885"/>
      <c r="KHC202" s="885"/>
      <c r="KHD202" s="885"/>
      <c r="KHE202" s="885"/>
      <c r="KHF202" s="885"/>
      <c r="KHG202" s="885"/>
      <c r="KHH202" s="885"/>
      <c r="KHI202" s="885"/>
      <c r="KHJ202" s="885"/>
      <c r="KHK202" s="885"/>
      <c r="KHL202" s="885"/>
      <c r="KHM202" s="885"/>
      <c r="KHN202" s="885"/>
      <c r="KHO202" s="885"/>
      <c r="KHP202" s="885"/>
      <c r="KHQ202" s="885"/>
      <c r="KHR202" s="885"/>
      <c r="KHS202" s="885"/>
      <c r="KHT202" s="885"/>
      <c r="KHU202" s="885"/>
      <c r="KHV202" s="885"/>
      <c r="KHW202" s="885"/>
      <c r="KHX202" s="885"/>
      <c r="KHY202" s="885"/>
      <c r="KHZ202" s="885"/>
      <c r="KIA202" s="885"/>
      <c r="KIB202" s="885"/>
      <c r="KIC202" s="885"/>
      <c r="KID202" s="885"/>
      <c r="KIE202" s="885"/>
      <c r="KIF202" s="885"/>
      <c r="KIG202" s="885"/>
      <c r="KIH202" s="885"/>
      <c r="KII202" s="885"/>
      <c r="KIJ202" s="885"/>
      <c r="KIK202" s="885"/>
      <c r="KIL202" s="885"/>
      <c r="KIM202" s="885"/>
      <c r="KIN202" s="885"/>
      <c r="KIO202" s="885"/>
      <c r="KIP202" s="885"/>
      <c r="KIQ202" s="885"/>
      <c r="KIR202" s="885"/>
      <c r="KIS202" s="885"/>
      <c r="KIT202" s="885"/>
      <c r="KIU202" s="885"/>
      <c r="KIV202" s="885"/>
      <c r="KIW202" s="885"/>
      <c r="KIX202" s="885"/>
      <c r="KIY202" s="885"/>
      <c r="KIZ202" s="885"/>
      <c r="KJA202" s="885"/>
      <c r="KJB202" s="885"/>
      <c r="KJC202" s="885"/>
      <c r="KJD202" s="885"/>
      <c r="KJE202" s="885"/>
      <c r="KJF202" s="885"/>
      <c r="KJG202" s="885"/>
      <c r="KJH202" s="885"/>
      <c r="KJI202" s="885"/>
      <c r="KJJ202" s="885"/>
      <c r="KJK202" s="885"/>
      <c r="KJL202" s="885"/>
      <c r="KJM202" s="885"/>
      <c r="KJN202" s="885"/>
      <c r="KJO202" s="885"/>
      <c r="KJP202" s="885"/>
      <c r="KJQ202" s="885"/>
      <c r="KJR202" s="885"/>
      <c r="KJS202" s="885"/>
      <c r="KJT202" s="885"/>
      <c r="KJU202" s="885"/>
      <c r="KJV202" s="885"/>
      <c r="KJW202" s="885"/>
      <c r="KJX202" s="885"/>
      <c r="KJY202" s="885"/>
      <c r="KJZ202" s="885"/>
      <c r="KKA202" s="885"/>
      <c r="KKB202" s="885"/>
      <c r="KKC202" s="885"/>
      <c r="KKD202" s="885"/>
      <c r="KKE202" s="885"/>
      <c r="KKF202" s="885"/>
      <c r="KKG202" s="885"/>
      <c r="KKH202" s="885"/>
      <c r="KKI202" s="885"/>
      <c r="KKJ202" s="885"/>
      <c r="KKK202" s="885"/>
      <c r="KKL202" s="885"/>
      <c r="KKM202" s="885"/>
      <c r="KKN202" s="885"/>
      <c r="KKO202" s="885"/>
      <c r="KKP202" s="885"/>
      <c r="KKQ202" s="885"/>
      <c r="KKR202" s="885"/>
      <c r="KKS202" s="885"/>
      <c r="KKT202" s="885"/>
      <c r="KKU202" s="885"/>
      <c r="KKV202" s="885"/>
      <c r="KKW202" s="885"/>
      <c r="KKX202" s="885"/>
      <c r="KKY202" s="885"/>
      <c r="KKZ202" s="885"/>
      <c r="KLA202" s="885"/>
      <c r="KLB202" s="885"/>
      <c r="KLC202" s="885"/>
      <c r="KLD202" s="885"/>
      <c r="KLE202" s="885"/>
      <c r="KLF202" s="885"/>
      <c r="KLG202" s="885"/>
      <c r="KLH202" s="885"/>
      <c r="KLI202" s="885"/>
      <c r="KLJ202" s="885"/>
      <c r="KLK202" s="885"/>
      <c r="KLL202" s="885"/>
      <c r="KLM202" s="885"/>
      <c r="KLN202" s="885"/>
      <c r="KLO202" s="885"/>
      <c r="KLP202" s="885"/>
      <c r="KLQ202" s="885"/>
      <c r="KLR202" s="885"/>
      <c r="KLS202" s="885"/>
      <c r="KLT202" s="885"/>
      <c r="KLU202" s="885"/>
      <c r="KLV202" s="885"/>
      <c r="KLW202" s="885"/>
      <c r="KLX202" s="885"/>
      <c r="KLY202" s="885"/>
      <c r="KLZ202" s="885"/>
      <c r="KMA202" s="885"/>
      <c r="KMB202" s="885"/>
      <c r="KMC202" s="885"/>
      <c r="KMD202" s="885"/>
      <c r="KME202" s="885"/>
      <c r="KMF202" s="885"/>
      <c r="KMG202" s="885"/>
      <c r="KMH202" s="885"/>
      <c r="KMI202" s="885"/>
      <c r="KMJ202" s="885"/>
      <c r="KMK202" s="885"/>
      <c r="KML202" s="885"/>
      <c r="KMM202" s="885"/>
      <c r="KMN202" s="885"/>
      <c r="KMO202" s="885"/>
      <c r="KMP202" s="885"/>
      <c r="KMQ202" s="885"/>
      <c r="KMR202" s="885"/>
      <c r="KMS202" s="885"/>
      <c r="KMT202" s="885"/>
      <c r="KMU202" s="885"/>
      <c r="KMV202" s="885"/>
      <c r="KMW202" s="885"/>
      <c r="KMX202" s="885"/>
      <c r="KMY202" s="885"/>
      <c r="KMZ202" s="885"/>
      <c r="KNA202" s="885"/>
      <c r="KNB202" s="885"/>
      <c r="KNC202" s="885"/>
      <c r="KND202" s="885"/>
      <c r="KNE202" s="885"/>
      <c r="KNF202" s="885"/>
      <c r="KNG202" s="885"/>
      <c r="KNH202" s="885"/>
      <c r="KNI202" s="885"/>
      <c r="KNJ202" s="885"/>
      <c r="KNK202" s="885"/>
      <c r="KNL202" s="885"/>
      <c r="KNM202" s="885"/>
      <c r="KNN202" s="885"/>
      <c r="KNO202" s="885"/>
      <c r="KNP202" s="885"/>
      <c r="KNQ202" s="885"/>
      <c r="KNR202" s="885"/>
      <c r="KNS202" s="885"/>
      <c r="KNT202" s="885"/>
      <c r="KNU202" s="885"/>
      <c r="KNV202" s="885"/>
      <c r="KNW202" s="885"/>
      <c r="KNX202" s="885"/>
      <c r="KNY202" s="885"/>
      <c r="KNZ202" s="885"/>
      <c r="KOA202" s="885"/>
      <c r="KOB202" s="885"/>
      <c r="KOC202" s="885"/>
      <c r="KOD202" s="885"/>
      <c r="KOE202" s="885"/>
      <c r="KOF202" s="885"/>
      <c r="KOG202" s="885"/>
      <c r="KOH202" s="885"/>
      <c r="KOI202" s="885"/>
      <c r="KOJ202" s="885"/>
      <c r="KOK202" s="885"/>
      <c r="KOL202" s="885"/>
      <c r="KOM202" s="885"/>
      <c r="KON202" s="885"/>
      <c r="KOO202" s="885"/>
      <c r="KOP202" s="885"/>
      <c r="KOQ202" s="885"/>
      <c r="KOR202" s="885"/>
      <c r="KOS202" s="885"/>
      <c r="KOT202" s="885"/>
      <c r="KOU202" s="885"/>
      <c r="KOV202" s="885"/>
      <c r="KOW202" s="885"/>
      <c r="KOX202" s="885"/>
      <c r="KOY202" s="885"/>
      <c r="KOZ202" s="885"/>
      <c r="KPA202" s="885"/>
      <c r="KPB202" s="885"/>
      <c r="KPC202" s="885"/>
      <c r="KPD202" s="885"/>
      <c r="KPE202" s="885"/>
      <c r="KPF202" s="885"/>
      <c r="KPG202" s="885"/>
      <c r="KPH202" s="885"/>
      <c r="KPI202" s="885"/>
      <c r="KPJ202" s="885"/>
      <c r="KPK202" s="885"/>
      <c r="KPL202" s="885"/>
      <c r="KPM202" s="885"/>
      <c r="KPN202" s="885"/>
      <c r="KPO202" s="885"/>
      <c r="KPP202" s="885"/>
      <c r="KPQ202" s="885"/>
      <c r="KPR202" s="885"/>
      <c r="KPS202" s="885"/>
      <c r="KPT202" s="885"/>
      <c r="KPU202" s="885"/>
      <c r="KPV202" s="885"/>
      <c r="KPW202" s="885"/>
      <c r="KPX202" s="885"/>
      <c r="KPY202" s="885"/>
      <c r="KPZ202" s="885"/>
      <c r="KQA202" s="885"/>
      <c r="KQB202" s="885"/>
      <c r="KQC202" s="885"/>
      <c r="KQD202" s="885"/>
      <c r="KQE202" s="885"/>
      <c r="KQF202" s="885"/>
      <c r="KQG202" s="885"/>
      <c r="KQH202" s="885"/>
      <c r="KQI202" s="885"/>
      <c r="KQJ202" s="885"/>
      <c r="KQK202" s="885"/>
      <c r="KQL202" s="885"/>
      <c r="KQM202" s="885"/>
      <c r="KQN202" s="885"/>
      <c r="KQO202" s="885"/>
      <c r="KQP202" s="885"/>
      <c r="KQQ202" s="885"/>
      <c r="KQR202" s="885"/>
      <c r="KQS202" s="885"/>
      <c r="KQT202" s="885"/>
      <c r="KQU202" s="885"/>
      <c r="KQV202" s="885"/>
      <c r="KQW202" s="885"/>
      <c r="KQX202" s="885"/>
      <c r="KQY202" s="885"/>
      <c r="KQZ202" s="885"/>
      <c r="KRA202" s="885"/>
      <c r="KRB202" s="885"/>
      <c r="KRC202" s="885"/>
      <c r="KRD202" s="885"/>
      <c r="KRE202" s="885"/>
      <c r="KRF202" s="885"/>
      <c r="KRG202" s="885"/>
      <c r="KRH202" s="885"/>
      <c r="KRI202" s="885"/>
      <c r="KRJ202" s="885"/>
      <c r="KRK202" s="885"/>
      <c r="KRL202" s="885"/>
      <c r="KRM202" s="885"/>
      <c r="KRN202" s="885"/>
      <c r="KRO202" s="885"/>
      <c r="KRP202" s="885"/>
      <c r="KRQ202" s="885"/>
      <c r="KRR202" s="885"/>
      <c r="KRS202" s="885"/>
      <c r="KRT202" s="885"/>
      <c r="KRU202" s="885"/>
      <c r="KRV202" s="885"/>
      <c r="KRW202" s="885"/>
      <c r="KRX202" s="885"/>
      <c r="KRY202" s="885"/>
      <c r="KRZ202" s="885"/>
      <c r="KSA202" s="885"/>
      <c r="KSB202" s="885"/>
      <c r="KSC202" s="885"/>
      <c r="KSD202" s="885"/>
      <c r="KSE202" s="885"/>
      <c r="KSF202" s="885"/>
      <c r="KSG202" s="885"/>
      <c r="KSH202" s="885"/>
      <c r="KSI202" s="885"/>
      <c r="KSJ202" s="885"/>
      <c r="KSK202" s="885"/>
      <c r="KSL202" s="885"/>
      <c r="KSM202" s="885"/>
      <c r="KSN202" s="885"/>
      <c r="KSO202" s="885"/>
      <c r="KSP202" s="885"/>
      <c r="KSQ202" s="885"/>
      <c r="KSR202" s="885"/>
      <c r="KSS202" s="885"/>
      <c r="KST202" s="885"/>
      <c r="KSU202" s="885"/>
      <c r="KSV202" s="885"/>
      <c r="KSW202" s="885"/>
      <c r="KSX202" s="885"/>
      <c r="KSY202" s="885"/>
      <c r="KSZ202" s="885"/>
      <c r="KTA202" s="885"/>
      <c r="KTB202" s="885"/>
      <c r="KTC202" s="885"/>
      <c r="KTD202" s="885"/>
      <c r="KTE202" s="885"/>
      <c r="KTF202" s="885"/>
      <c r="KTG202" s="885"/>
      <c r="KTH202" s="885"/>
      <c r="KTI202" s="885"/>
      <c r="KTJ202" s="885"/>
      <c r="KTK202" s="885"/>
      <c r="KTL202" s="885"/>
      <c r="KTM202" s="885"/>
      <c r="KTN202" s="885"/>
      <c r="KTO202" s="885"/>
      <c r="KTP202" s="885"/>
      <c r="KTQ202" s="885"/>
      <c r="KTR202" s="885"/>
      <c r="KTS202" s="885"/>
      <c r="KTT202" s="885"/>
      <c r="KTU202" s="885"/>
      <c r="KTV202" s="885"/>
      <c r="KTW202" s="885"/>
      <c r="KTX202" s="885"/>
      <c r="KTY202" s="885"/>
      <c r="KTZ202" s="885"/>
      <c r="KUA202" s="885"/>
      <c r="KUB202" s="885"/>
      <c r="KUC202" s="885"/>
      <c r="KUD202" s="885"/>
      <c r="KUE202" s="885"/>
      <c r="KUF202" s="885"/>
      <c r="KUG202" s="885"/>
      <c r="KUH202" s="885"/>
      <c r="KUI202" s="885"/>
      <c r="KUJ202" s="885"/>
      <c r="KUK202" s="885"/>
      <c r="KUL202" s="885"/>
      <c r="KUM202" s="885"/>
      <c r="KUN202" s="885"/>
      <c r="KUO202" s="885"/>
      <c r="KUP202" s="885"/>
      <c r="KUQ202" s="885"/>
      <c r="KUR202" s="885"/>
      <c r="KUS202" s="885"/>
      <c r="KUT202" s="885"/>
      <c r="KUU202" s="885"/>
      <c r="KUV202" s="885"/>
      <c r="KUW202" s="885"/>
      <c r="KUX202" s="885"/>
      <c r="KUY202" s="885"/>
      <c r="KUZ202" s="885"/>
      <c r="KVA202" s="885"/>
      <c r="KVB202" s="885"/>
      <c r="KVC202" s="885"/>
      <c r="KVD202" s="885"/>
      <c r="KVE202" s="885"/>
      <c r="KVF202" s="885"/>
      <c r="KVG202" s="885"/>
      <c r="KVH202" s="885"/>
      <c r="KVI202" s="885"/>
      <c r="KVJ202" s="885"/>
      <c r="KVK202" s="885"/>
      <c r="KVL202" s="885"/>
      <c r="KVM202" s="885"/>
      <c r="KVN202" s="885"/>
      <c r="KVO202" s="885"/>
      <c r="KVP202" s="885"/>
      <c r="KVQ202" s="885"/>
      <c r="KVR202" s="885"/>
      <c r="KVS202" s="885"/>
      <c r="KVT202" s="885"/>
      <c r="KVU202" s="885"/>
      <c r="KVV202" s="885"/>
      <c r="KVW202" s="885"/>
      <c r="KVX202" s="885"/>
      <c r="KVY202" s="885"/>
      <c r="KVZ202" s="885"/>
      <c r="KWA202" s="885"/>
      <c r="KWB202" s="885"/>
      <c r="KWC202" s="885"/>
      <c r="KWD202" s="885"/>
      <c r="KWE202" s="885"/>
      <c r="KWF202" s="885"/>
      <c r="KWG202" s="885"/>
      <c r="KWH202" s="885"/>
      <c r="KWI202" s="885"/>
      <c r="KWJ202" s="885"/>
      <c r="KWK202" s="885"/>
      <c r="KWL202" s="885"/>
      <c r="KWM202" s="885"/>
      <c r="KWN202" s="885"/>
      <c r="KWO202" s="885"/>
      <c r="KWP202" s="885"/>
      <c r="KWQ202" s="885"/>
      <c r="KWR202" s="885"/>
      <c r="KWS202" s="885"/>
      <c r="KWT202" s="885"/>
      <c r="KWU202" s="885"/>
      <c r="KWV202" s="885"/>
      <c r="KWW202" s="885"/>
      <c r="KWX202" s="885"/>
      <c r="KWY202" s="885"/>
      <c r="KWZ202" s="885"/>
      <c r="KXA202" s="885"/>
      <c r="KXB202" s="885"/>
      <c r="KXC202" s="885"/>
      <c r="KXD202" s="885"/>
      <c r="KXE202" s="885"/>
      <c r="KXF202" s="885"/>
      <c r="KXG202" s="885"/>
      <c r="KXH202" s="885"/>
      <c r="KXI202" s="885"/>
      <c r="KXJ202" s="885"/>
      <c r="KXK202" s="885"/>
      <c r="KXL202" s="885"/>
      <c r="KXM202" s="885"/>
      <c r="KXN202" s="885"/>
      <c r="KXO202" s="885"/>
      <c r="KXP202" s="885"/>
      <c r="KXQ202" s="885"/>
      <c r="KXR202" s="885"/>
      <c r="KXS202" s="885"/>
      <c r="KXT202" s="885"/>
      <c r="KXU202" s="885"/>
      <c r="KXV202" s="885"/>
      <c r="KXW202" s="885"/>
      <c r="KXX202" s="885"/>
      <c r="KXY202" s="885"/>
      <c r="KXZ202" s="885"/>
      <c r="KYA202" s="885"/>
      <c r="KYB202" s="885"/>
      <c r="KYC202" s="885"/>
      <c r="KYD202" s="885"/>
      <c r="KYE202" s="885"/>
      <c r="KYF202" s="885"/>
      <c r="KYG202" s="885"/>
      <c r="KYH202" s="885"/>
      <c r="KYI202" s="885"/>
      <c r="KYJ202" s="885"/>
      <c r="KYK202" s="885"/>
      <c r="KYL202" s="885"/>
      <c r="KYM202" s="885"/>
      <c r="KYN202" s="885"/>
      <c r="KYO202" s="885"/>
      <c r="KYP202" s="885"/>
      <c r="KYQ202" s="885"/>
      <c r="KYR202" s="885"/>
      <c r="KYS202" s="885"/>
      <c r="KYT202" s="885"/>
      <c r="KYU202" s="885"/>
      <c r="KYV202" s="885"/>
      <c r="KYW202" s="885"/>
      <c r="KYX202" s="885"/>
      <c r="KYY202" s="885"/>
      <c r="KYZ202" s="885"/>
      <c r="KZA202" s="885"/>
      <c r="KZB202" s="885"/>
      <c r="KZC202" s="885"/>
      <c r="KZD202" s="885"/>
      <c r="KZE202" s="885"/>
      <c r="KZF202" s="885"/>
      <c r="KZG202" s="885"/>
      <c r="KZH202" s="885"/>
      <c r="KZI202" s="885"/>
      <c r="KZJ202" s="885"/>
      <c r="KZK202" s="885"/>
      <c r="KZL202" s="885"/>
      <c r="KZM202" s="885"/>
      <c r="KZN202" s="885"/>
      <c r="KZO202" s="885"/>
      <c r="KZP202" s="885"/>
      <c r="KZQ202" s="885"/>
      <c r="KZR202" s="885"/>
      <c r="KZS202" s="885"/>
      <c r="KZT202" s="885"/>
      <c r="KZU202" s="885"/>
      <c r="KZV202" s="885"/>
      <c r="KZW202" s="885"/>
      <c r="KZX202" s="885"/>
      <c r="KZY202" s="885"/>
      <c r="KZZ202" s="885"/>
      <c r="LAA202" s="885"/>
      <c r="LAB202" s="885"/>
      <c r="LAC202" s="885"/>
      <c r="LAD202" s="885"/>
      <c r="LAE202" s="885"/>
      <c r="LAF202" s="885"/>
      <c r="LAG202" s="885"/>
      <c r="LAH202" s="885"/>
      <c r="LAI202" s="885"/>
      <c r="LAJ202" s="885"/>
      <c r="LAK202" s="885"/>
      <c r="LAL202" s="885"/>
      <c r="LAM202" s="885"/>
      <c r="LAN202" s="885"/>
      <c r="LAO202" s="885"/>
      <c r="LAP202" s="885"/>
      <c r="LAQ202" s="885"/>
      <c r="LAR202" s="885"/>
      <c r="LAS202" s="885"/>
      <c r="LAT202" s="885"/>
      <c r="LAU202" s="885"/>
      <c r="LAV202" s="885"/>
      <c r="LAW202" s="885"/>
      <c r="LAX202" s="885"/>
      <c r="LAY202" s="885"/>
      <c r="LAZ202" s="885"/>
      <c r="LBA202" s="885"/>
      <c r="LBB202" s="885"/>
      <c r="LBC202" s="885"/>
      <c r="LBD202" s="885"/>
      <c r="LBE202" s="885"/>
      <c r="LBF202" s="885"/>
      <c r="LBG202" s="885"/>
      <c r="LBH202" s="885"/>
      <c r="LBI202" s="885"/>
      <c r="LBJ202" s="885"/>
      <c r="LBK202" s="885"/>
      <c r="LBL202" s="885"/>
      <c r="LBM202" s="885"/>
      <c r="LBN202" s="885"/>
      <c r="LBO202" s="885"/>
      <c r="LBP202" s="885"/>
      <c r="LBQ202" s="885"/>
      <c r="LBR202" s="885"/>
      <c r="LBS202" s="885"/>
      <c r="LBT202" s="885"/>
      <c r="LBU202" s="885"/>
      <c r="LBV202" s="885"/>
      <c r="LBW202" s="885"/>
      <c r="LBX202" s="885"/>
      <c r="LBY202" s="885"/>
      <c r="LBZ202" s="885"/>
      <c r="LCA202" s="885"/>
      <c r="LCB202" s="885"/>
      <c r="LCC202" s="885"/>
      <c r="LCD202" s="885"/>
      <c r="LCE202" s="885"/>
      <c r="LCF202" s="885"/>
      <c r="LCG202" s="885"/>
      <c r="LCH202" s="885"/>
      <c r="LCI202" s="885"/>
      <c r="LCJ202" s="885"/>
      <c r="LCK202" s="885"/>
      <c r="LCL202" s="885"/>
      <c r="LCM202" s="885"/>
      <c r="LCN202" s="885"/>
      <c r="LCO202" s="885"/>
      <c r="LCP202" s="885"/>
      <c r="LCQ202" s="885"/>
      <c r="LCR202" s="885"/>
      <c r="LCS202" s="885"/>
      <c r="LCT202" s="885"/>
      <c r="LCU202" s="885"/>
      <c r="LCV202" s="885"/>
      <c r="LCW202" s="885"/>
      <c r="LCX202" s="885"/>
      <c r="LCY202" s="885"/>
      <c r="LCZ202" s="885"/>
      <c r="LDA202" s="885"/>
      <c r="LDB202" s="885"/>
      <c r="LDC202" s="885"/>
      <c r="LDD202" s="885"/>
      <c r="LDE202" s="885"/>
      <c r="LDF202" s="885"/>
      <c r="LDG202" s="885"/>
      <c r="LDH202" s="885"/>
      <c r="LDI202" s="885"/>
      <c r="LDJ202" s="885"/>
      <c r="LDK202" s="885"/>
      <c r="LDL202" s="885"/>
      <c r="LDM202" s="885"/>
      <c r="LDN202" s="885"/>
      <c r="LDO202" s="885"/>
      <c r="LDP202" s="885"/>
      <c r="LDQ202" s="885"/>
      <c r="LDR202" s="885"/>
      <c r="LDS202" s="885"/>
      <c r="LDT202" s="885"/>
      <c r="LDU202" s="885"/>
      <c r="LDV202" s="885"/>
      <c r="LDW202" s="885"/>
      <c r="LDX202" s="885"/>
      <c r="LDY202" s="885"/>
      <c r="LDZ202" s="885"/>
      <c r="LEA202" s="885"/>
      <c r="LEB202" s="885"/>
      <c r="LEC202" s="885"/>
      <c r="LED202" s="885"/>
      <c r="LEE202" s="885"/>
      <c r="LEF202" s="885"/>
      <c r="LEG202" s="885"/>
      <c r="LEH202" s="885"/>
      <c r="LEI202" s="885"/>
      <c r="LEJ202" s="885"/>
      <c r="LEK202" s="885"/>
      <c r="LEL202" s="885"/>
      <c r="LEM202" s="885"/>
      <c r="LEN202" s="885"/>
      <c r="LEO202" s="885"/>
      <c r="LEP202" s="885"/>
      <c r="LEQ202" s="885"/>
      <c r="LER202" s="885"/>
      <c r="LES202" s="885"/>
      <c r="LET202" s="885"/>
      <c r="LEU202" s="885"/>
      <c r="LEV202" s="885"/>
      <c r="LEW202" s="885"/>
      <c r="LEX202" s="885"/>
      <c r="LEY202" s="885"/>
      <c r="LEZ202" s="885"/>
      <c r="LFA202" s="885"/>
      <c r="LFB202" s="885"/>
      <c r="LFC202" s="885"/>
      <c r="LFD202" s="885"/>
      <c r="LFE202" s="885"/>
      <c r="LFF202" s="885"/>
      <c r="LFG202" s="885"/>
      <c r="LFH202" s="885"/>
      <c r="LFI202" s="885"/>
      <c r="LFJ202" s="885"/>
      <c r="LFK202" s="885"/>
      <c r="LFL202" s="885"/>
      <c r="LFM202" s="885"/>
      <c r="LFN202" s="885"/>
      <c r="LFO202" s="885"/>
      <c r="LFP202" s="885"/>
      <c r="LFQ202" s="885"/>
      <c r="LFR202" s="885"/>
      <c r="LFS202" s="885"/>
      <c r="LFT202" s="885"/>
      <c r="LFU202" s="885"/>
      <c r="LFV202" s="885"/>
      <c r="LFW202" s="885"/>
      <c r="LFX202" s="885"/>
      <c r="LFY202" s="885"/>
      <c r="LFZ202" s="885"/>
      <c r="LGA202" s="885"/>
      <c r="LGB202" s="885"/>
      <c r="LGC202" s="885"/>
      <c r="LGD202" s="885"/>
      <c r="LGE202" s="885"/>
      <c r="LGF202" s="885"/>
      <c r="LGG202" s="885"/>
      <c r="LGH202" s="885"/>
      <c r="LGI202" s="885"/>
      <c r="LGJ202" s="885"/>
      <c r="LGK202" s="885"/>
      <c r="LGL202" s="885"/>
      <c r="LGM202" s="885"/>
      <c r="LGN202" s="885"/>
      <c r="LGO202" s="885"/>
      <c r="LGP202" s="885"/>
      <c r="LGQ202" s="885"/>
      <c r="LGR202" s="885"/>
      <c r="LGS202" s="885"/>
      <c r="LGT202" s="885"/>
      <c r="LGU202" s="885"/>
      <c r="LGV202" s="885"/>
      <c r="LGW202" s="885"/>
      <c r="LGX202" s="885"/>
      <c r="LGY202" s="885"/>
      <c r="LGZ202" s="885"/>
      <c r="LHA202" s="885"/>
      <c r="LHB202" s="885"/>
      <c r="LHC202" s="885"/>
      <c r="LHD202" s="885"/>
      <c r="LHE202" s="885"/>
      <c r="LHF202" s="885"/>
      <c r="LHG202" s="885"/>
      <c r="LHH202" s="885"/>
      <c r="LHI202" s="885"/>
      <c r="LHJ202" s="885"/>
      <c r="LHK202" s="885"/>
      <c r="LHL202" s="885"/>
      <c r="LHM202" s="885"/>
      <c r="LHN202" s="885"/>
      <c r="LHO202" s="885"/>
      <c r="LHP202" s="885"/>
      <c r="LHQ202" s="885"/>
      <c r="LHR202" s="885"/>
      <c r="LHS202" s="885"/>
      <c r="LHT202" s="885"/>
      <c r="LHU202" s="885"/>
      <c r="LHV202" s="885"/>
      <c r="LHW202" s="885"/>
      <c r="LHX202" s="885"/>
      <c r="LHY202" s="885"/>
      <c r="LHZ202" s="885"/>
      <c r="LIA202" s="885"/>
      <c r="LIB202" s="885"/>
      <c r="LIC202" s="885"/>
      <c r="LID202" s="885"/>
      <c r="LIE202" s="885"/>
      <c r="LIF202" s="885"/>
      <c r="LIG202" s="885"/>
      <c r="LIH202" s="885"/>
      <c r="LII202" s="885"/>
      <c r="LIJ202" s="885"/>
      <c r="LIK202" s="885"/>
      <c r="LIL202" s="885"/>
      <c r="LIM202" s="885"/>
      <c r="LIN202" s="885"/>
      <c r="LIO202" s="885"/>
      <c r="LIP202" s="885"/>
      <c r="LIQ202" s="885"/>
      <c r="LIR202" s="885"/>
      <c r="LIS202" s="885"/>
      <c r="LIT202" s="885"/>
      <c r="LIU202" s="885"/>
      <c r="LIV202" s="885"/>
      <c r="LIW202" s="885"/>
      <c r="LIX202" s="885"/>
      <c r="LIY202" s="885"/>
      <c r="LIZ202" s="885"/>
      <c r="LJA202" s="885"/>
      <c r="LJB202" s="885"/>
      <c r="LJC202" s="885"/>
      <c r="LJD202" s="885"/>
      <c r="LJE202" s="885"/>
      <c r="LJF202" s="885"/>
      <c r="LJG202" s="885"/>
      <c r="LJH202" s="885"/>
      <c r="LJI202" s="885"/>
      <c r="LJJ202" s="885"/>
      <c r="LJK202" s="885"/>
      <c r="LJL202" s="885"/>
      <c r="LJM202" s="885"/>
      <c r="LJN202" s="885"/>
      <c r="LJO202" s="885"/>
      <c r="LJP202" s="885"/>
      <c r="LJQ202" s="885"/>
      <c r="LJR202" s="885"/>
      <c r="LJS202" s="885"/>
      <c r="LJT202" s="885"/>
      <c r="LJU202" s="885"/>
      <c r="LJV202" s="885"/>
      <c r="LJW202" s="885"/>
      <c r="LJX202" s="885"/>
      <c r="LJY202" s="885"/>
      <c r="LJZ202" s="885"/>
      <c r="LKA202" s="885"/>
      <c r="LKB202" s="885"/>
      <c r="LKC202" s="885"/>
      <c r="LKD202" s="885"/>
      <c r="LKE202" s="885"/>
      <c r="LKF202" s="885"/>
      <c r="LKG202" s="885"/>
      <c r="LKH202" s="885"/>
      <c r="LKI202" s="885"/>
      <c r="LKJ202" s="885"/>
      <c r="LKK202" s="885"/>
      <c r="LKL202" s="885"/>
      <c r="LKM202" s="885"/>
      <c r="LKN202" s="885"/>
      <c r="LKO202" s="885"/>
      <c r="LKP202" s="885"/>
      <c r="LKQ202" s="885"/>
      <c r="LKR202" s="885"/>
      <c r="LKS202" s="885"/>
      <c r="LKT202" s="885"/>
      <c r="LKU202" s="885"/>
      <c r="LKV202" s="885"/>
      <c r="LKW202" s="885"/>
      <c r="LKX202" s="885"/>
      <c r="LKY202" s="885"/>
      <c r="LKZ202" s="885"/>
      <c r="LLA202" s="885"/>
      <c r="LLB202" s="885"/>
      <c r="LLC202" s="885"/>
      <c r="LLD202" s="885"/>
      <c r="LLE202" s="885"/>
      <c r="LLF202" s="885"/>
      <c r="LLG202" s="885"/>
      <c r="LLH202" s="885"/>
      <c r="LLI202" s="885"/>
      <c r="LLJ202" s="885"/>
      <c r="LLK202" s="885"/>
      <c r="LLL202" s="885"/>
      <c r="LLM202" s="885"/>
      <c r="LLN202" s="885"/>
      <c r="LLO202" s="885"/>
      <c r="LLP202" s="885"/>
      <c r="LLQ202" s="885"/>
      <c r="LLR202" s="885"/>
      <c r="LLS202" s="885"/>
      <c r="LLT202" s="885"/>
      <c r="LLU202" s="885"/>
      <c r="LLV202" s="885"/>
      <c r="LLW202" s="885"/>
      <c r="LLX202" s="885"/>
      <c r="LLY202" s="885"/>
      <c r="LLZ202" s="885"/>
      <c r="LMA202" s="885"/>
      <c r="LMB202" s="885"/>
      <c r="LMC202" s="885"/>
      <c r="LMD202" s="885"/>
      <c r="LME202" s="885"/>
      <c r="LMF202" s="885"/>
      <c r="LMG202" s="885"/>
      <c r="LMH202" s="885"/>
      <c r="LMI202" s="885"/>
      <c r="LMJ202" s="885"/>
      <c r="LMK202" s="885"/>
      <c r="LML202" s="885"/>
      <c r="LMM202" s="885"/>
      <c r="LMN202" s="885"/>
      <c r="LMO202" s="885"/>
      <c r="LMP202" s="885"/>
      <c r="LMQ202" s="885"/>
      <c r="LMR202" s="885"/>
      <c r="LMS202" s="885"/>
      <c r="LMT202" s="885"/>
      <c r="LMU202" s="885"/>
      <c r="LMV202" s="885"/>
      <c r="LMW202" s="885"/>
      <c r="LMX202" s="885"/>
      <c r="LMY202" s="885"/>
      <c r="LMZ202" s="885"/>
      <c r="LNA202" s="885"/>
      <c r="LNB202" s="885"/>
      <c r="LNC202" s="885"/>
      <c r="LND202" s="885"/>
      <c r="LNE202" s="885"/>
      <c r="LNF202" s="885"/>
      <c r="LNG202" s="885"/>
      <c r="LNH202" s="885"/>
      <c r="LNI202" s="885"/>
      <c r="LNJ202" s="885"/>
      <c r="LNK202" s="885"/>
      <c r="LNL202" s="885"/>
      <c r="LNM202" s="885"/>
      <c r="LNN202" s="885"/>
      <c r="LNO202" s="885"/>
      <c r="LNP202" s="885"/>
      <c r="LNQ202" s="885"/>
      <c r="LNR202" s="885"/>
      <c r="LNS202" s="885"/>
      <c r="LNT202" s="885"/>
      <c r="LNU202" s="885"/>
      <c r="LNV202" s="885"/>
      <c r="LNW202" s="885"/>
      <c r="LNX202" s="885"/>
      <c r="LNY202" s="885"/>
      <c r="LNZ202" s="885"/>
      <c r="LOA202" s="885"/>
      <c r="LOB202" s="885"/>
      <c r="LOC202" s="885"/>
      <c r="LOD202" s="885"/>
      <c r="LOE202" s="885"/>
      <c r="LOF202" s="885"/>
      <c r="LOG202" s="885"/>
      <c r="LOH202" s="885"/>
      <c r="LOI202" s="885"/>
      <c r="LOJ202" s="885"/>
      <c r="LOK202" s="885"/>
      <c r="LOL202" s="885"/>
      <c r="LOM202" s="885"/>
      <c r="LON202" s="885"/>
      <c r="LOO202" s="885"/>
      <c r="LOP202" s="885"/>
      <c r="LOQ202" s="885"/>
      <c r="LOR202" s="885"/>
      <c r="LOS202" s="885"/>
      <c r="LOT202" s="885"/>
      <c r="LOU202" s="885"/>
      <c r="LOV202" s="885"/>
      <c r="LOW202" s="885"/>
      <c r="LOX202" s="885"/>
      <c r="LOY202" s="885"/>
      <c r="LOZ202" s="885"/>
      <c r="LPA202" s="885"/>
      <c r="LPB202" s="885"/>
      <c r="LPC202" s="885"/>
      <c r="LPD202" s="885"/>
      <c r="LPE202" s="885"/>
      <c r="LPF202" s="885"/>
      <c r="LPG202" s="885"/>
      <c r="LPH202" s="885"/>
      <c r="LPI202" s="885"/>
      <c r="LPJ202" s="885"/>
      <c r="LPK202" s="885"/>
      <c r="LPL202" s="885"/>
      <c r="LPM202" s="885"/>
      <c r="LPN202" s="885"/>
      <c r="LPO202" s="885"/>
      <c r="LPP202" s="885"/>
      <c r="LPQ202" s="885"/>
      <c r="LPR202" s="885"/>
      <c r="LPS202" s="885"/>
      <c r="LPT202" s="885"/>
      <c r="LPU202" s="885"/>
      <c r="LPV202" s="885"/>
      <c r="LPW202" s="885"/>
      <c r="LPX202" s="885"/>
      <c r="LPY202" s="885"/>
      <c r="LPZ202" s="885"/>
      <c r="LQA202" s="885"/>
      <c r="LQB202" s="885"/>
      <c r="LQC202" s="885"/>
      <c r="LQD202" s="885"/>
      <c r="LQE202" s="885"/>
      <c r="LQF202" s="885"/>
      <c r="LQG202" s="885"/>
      <c r="LQH202" s="885"/>
      <c r="LQI202" s="885"/>
      <c r="LQJ202" s="885"/>
      <c r="LQK202" s="885"/>
      <c r="LQL202" s="885"/>
      <c r="LQM202" s="885"/>
      <c r="LQN202" s="885"/>
      <c r="LQO202" s="885"/>
      <c r="LQP202" s="885"/>
      <c r="LQQ202" s="885"/>
      <c r="LQR202" s="885"/>
      <c r="LQS202" s="885"/>
      <c r="LQT202" s="885"/>
      <c r="LQU202" s="885"/>
      <c r="LQV202" s="885"/>
      <c r="LQW202" s="885"/>
      <c r="LQX202" s="885"/>
      <c r="LQY202" s="885"/>
      <c r="LQZ202" s="885"/>
      <c r="LRA202" s="885"/>
      <c r="LRB202" s="885"/>
      <c r="LRC202" s="885"/>
      <c r="LRD202" s="885"/>
      <c r="LRE202" s="885"/>
      <c r="LRF202" s="885"/>
      <c r="LRG202" s="885"/>
      <c r="LRH202" s="885"/>
      <c r="LRI202" s="885"/>
      <c r="LRJ202" s="885"/>
      <c r="LRK202" s="885"/>
      <c r="LRL202" s="885"/>
      <c r="LRM202" s="885"/>
      <c r="LRN202" s="885"/>
      <c r="LRO202" s="885"/>
      <c r="LRP202" s="885"/>
      <c r="LRQ202" s="885"/>
      <c r="LRR202" s="885"/>
      <c r="LRS202" s="885"/>
      <c r="LRT202" s="885"/>
      <c r="LRU202" s="885"/>
      <c r="LRV202" s="885"/>
      <c r="LRW202" s="885"/>
      <c r="LRX202" s="885"/>
      <c r="LRY202" s="885"/>
      <c r="LRZ202" s="885"/>
      <c r="LSA202" s="885"/>
      <c r="LSB202" s="885"/>
      <c r="LSC202" s="885"/>
      <c r="LSD202" s="885"/>
      <c r="LSE202" s="885"/>
      <c r="LSF202" s="885"/>
      <c r="LSG202" s="885"/>
      <c r="LSH202" s="885"/>
      <c r="LSI202" s="885"/>
      <c r="LSJ202" s="885"/>
      <c r="LSK202" s="885"/>
      <c r="LSL202" s="885"/>
      <c r="LSM202" s="885"/>
      <c r="LSN202" s="885"/>
      <c r="LSO202" s="885"/>
      <c r="LSP202" s="885"/>
      <c r="LSQ202" s="885"/>
      <c r="LSR202" s="885"/>
      <c r="LSS202" s="885"/>
      <c r="LST202" s="885"/>
      <c r="LSU202" s="885"/>
      <c r="LSV202" s="885"/>
      <c r="LSW202" s="885"/>
      <c r="LSX202" s="885"/>
      <c r="LSY202" s="885"/>
      <c r="LSZ202" s="885"/>
      <c r="LTA202" s="885"/>
      <c r="LTB202" s="885"/>
      <c r="LTC202" s="885"/>
      <c r="LTD202" s="885"/>
      <c r="LTE202" s="885"/>
      <c r="LTF202" s="885"/>
      <c r="LTG202" s="885"/>
      <c r="LTH202" s="885"/>
      <c r="LTI202" s="885"/>
      <c r="LTJ202" s="885"/>
      <c r="LTK202" s="885"/>
      <c r="LTL202" s="885"/>
      <c r="LTM202" s="885"/>
      <c r="LTN202" s="885"/>
      <c r="LTO202" s="885"/>
      <c r="LTP202" s="885"/>
      <c r="LTQ202" s="885"/>
      <c r="LTR202" s="885"/>
      <c r="LTS202" s="885"/>
      <c r="LTT202" s="885"/>
      <c r="LTU202" s="885"/>
      <c r="LTV202" s="885"/>
      <c r="LTW202" s="885"/>
      <c r="LTX202" s="885"/>
      <c r="LTY202" s="885"/>
      <c r="LTZ202" s="885"/>
      <c r="LUA202" s="885"/>
      <c r="LUB202" s="885"/>
      <c r="LUC202" s="885"/>
      <c r="LUD202" s="885"/>
      <c r="LUE202" s="885"/>
      <c r="LUF202" s="885"/>
      <c r="LUG202" s="885"/>
      <c r="LUH202" s="885"/>
      <c r="LUI202" s="885"/>
      <c r="LUJ202" s="885"/>
      <c r="LUK202" s="885"/>
      <c r="LUL202" s="885"/>
      <c r="LUM202" s="885"/>
      <c r="LUN202" s="885"/>
      <c r="LUO202" s="885"/>
      <c r="LUP202" s="885"/>
      <c r="LUQ202" s="885"/>
      <c r="LUR202" s="885"/>
      <c r="LUS202" s="885"/>
      <c r="LUT202" s="885"/>
      <c r="LUU202" s="885"/>
      <c r="LUV202" s="885"/>
      <c r="LUW202" s="885"/>
      <c r="LUX202" s="885"/>
      <c r="LUY202" s="885"/>
      <c r="LUZ202" s="885"/>
      <c r="LVA202" s="885"/>
      <c r="LVB202" s="885"/>
      <c r="LVC202" s="885"/>
      <c r="LVD202" s="885"/>
      <c r="LVE202" s="885"/>
      <c r="LVF202" s="885"/>
      <c r="LVG202" s="885"/>
      <c r="LVH202" s="885"/>
      <c r="LVI202" s="885"/>
      <c r="LVJ202" s="885"/>
      <c r="LVK202" s="885"/>
      <c r="LVL202" s="885"/>
      <c r="LVM202" s="885"/>
      <c r="LVN202" s="885"/>
      <c r="LVO202" s="885"/>
      <c r="LVP202" s="885"/>
      <c r="LVQ202" s="885"/>
      <c r="LVR202" s="885"/>
      <c r="LVS202" s="885"/>
      <c r="LVT202" s="885"/>
      <c r="LVU202" s="885"/>
      <c r="LVV202" s="885"/>
      <c r="LVW202" s="885"/>
      <c r="LVX202" s="885"/>
      <c r="LVY202" s="885"/>
      <c r="LVZ202" s="885"/>
      <c r="LWA202" s="885"/>
      <c r="LWB202" s="885"/>
      <c r="LWC202" s="885"/>
      <c r="LWD202" s="885"/>
      <c r="LWE202" s="885"/>
      <c r="LWF202" s="885"/>
      <c r="LWG202" s="885"/>
      <c r="LWH202" s="885"/>
      <c r="LWI202" s="885"/>
      <c r="LWJ202" s="885"/>
      <c r="LWK202" s="885"/>
      <c r="LWL202" s="885"/>
      <c r="LWM202" s="885"/>
      <c r="LWN202" s="885"/>
      <c r="LWO202" s="885"/>
      <c r="LWP202" s="885"/>
      <c r="LWQ202" s="885"/>
      <c r="LWR202" s="885"/>
      <c r="LWS202" s="885"/>
      <c r="LWT202" s="885"/>
      <c r="LWU202" s="885"/>
      <c r="LWV202" s="885"/>
      <c r="LWW202" s="885"/>
      <c r="LWX202" s="885"/>
      <c r="LWY202" s="885"/>
      <c r="LWZ202" s="885"/>
      <c r="LXA202" s="885"/>
      <c r="LXB202" s="885"/>
      <c r="LXC202" s="885"/>
      <c r="LXD202" s="885"/>
      <c r="LXE202" s="885"/>
      <c r="LXF202" s="885"/>
      <c r="LXG202" s="885"/>
      <c r="LXH202" s="885"/>
      <c r="LXI202" s="885"/>
      <c r="LXJ202" s="885"/>
      <c r="LXK202" s="885"/>
      <c r="LXL202" s="885"/>
      <c r="LXM202" s="885"/>
      <c r="LXN202" s="885"/>
      <c r="LXO202" s="885"/>
      <c r="LXP202" s="885"/>
      <c r="LXQ202" s="885"/>
      <c r="LXR202" s="885"/>
      <c r="LXS202" s="885"/>
      <c r="LXT202" s="885"/>
      <c r="LXU202" s="885"/>
      <c r="LXV202" s="885"/>
      <c r="LXW202" s="885"/>
      <c r="LXX202" s="885"/>
      <c r="LXY202" s="885"/>
      <c r="LXZ202" s="885"/>
      <c r="LYA202" s="885"/>
      <c r="LYB202" s="885"/>
      <c r="LYC202" s="885"/>
      <c r="LYD202" s="885"/>
      <c r="LYE202" s="885"/>
      <c r="LYF202" s="885"/>
      <c r="LYG202" s="885"/>
      <c r="LYH202" s="885"/>
      <c r="LYI202" s="885"/>
      <c r="LYJ202" s="885"/>
      <c r="LYK202" s="885"/>
      <c r="LYL202" s="885"/>
      <c r="LYM202" s="885"/>
      <c r="LYN202" s="885"/>
      <c r="LYO202" s="885"/>
      <c r="LYP202" s="885"/>
      <c r="LYQ202" s="885"/>
      <c r="LYR202" s="885"/>
      <c r="LYS202" s="885"/>
      <c r="LYT202" s="885"/>
      <c r="LYU202" s="885"/>
      <c r="LYV202" s="885"/>
      <c r="LYW202" s="885"/>
      <c r="LYX202" s="885"/>
      <c r="LYY202" s="885"/>
      <c r="LYZ202" s="885"/>
      <c r="LZA202" s="885"/>
      <c r="LZB202" s="885"/>
      <c r="LZC202" s="885"/>
      <c r="LZD202" s="885"/>
      <c r="LZE202" s="885"/>
      <c r="LZF202" s="885"/>
      <c r="LZG202" s="885"/>
      <c r="LZH202" s="885"/>
      <c r="LZI202" s="885"/>
      <c r="LZJ202" s="885"/>
      <c r="LZK202" s="885"/>
      <c r="LZL202" s="885"/>
      <c r="LZM202" s="885"/>
      <c r="LZN202" s="885"/>
      <c r="LZO202" s="885"/>
      <c r="LZP202" s="885"/>
      <c r="LZQ202" s="885"/>
      <c r="LZR202" s="885"/>
      <c r="LZS202" s="885"/>
      <c r="LZT202" s="885"/>
      <c r="LZU202" s="885"/>
      <c r="LZV202" s="885"/>
      <c r="LZW202" s="885"/>
      <c r="LZX202" s="885"/>
      <c r="LZY202" s="885"/>
      <c r="LZZ202" s="885"/>
      <c r="MAA202" s="885"/>
      <c r="MAB202" s="885"/>
      <c r="MAC202" s="885"/>
      <c r="MAD202" s="885"/>
      <c r="MAE202" s="885"/>
      <c r="MAF202" s="885"/>
      <c r="MAG202" s="885"/>
      <c r="MAH202" s="885"/>
      <c r="MAI202" s="885"/>
      <c r="MAJ202" s="885"/>
      <c r="MAK202" s="885"/>
      <c r="MAL202" s="885"/>
      <c r="MAM202" s="885"/>
      <c r="MAN202" s="885"/>
      <c r="MAO202" s="885"/>
      <c r="MAP202" s="885"/>
      <c r="MAQ202" s="885"/>
      <c r="MAR202" s="885"/>
      <c r="MAS202" s="885"/>
      <c r="MAT202" s="885"/>
      <c r="MAU202" s="885"/>
      <c r="MAV202" s="885"/>
      <c r="MAW202" s="885"/>
      <c r="MAX202" s="885"/>
      <c r="MAY202" s="885"/>
      <c r="MAZ202" s="885"/>
      <c r="MBA202" s="885"/>
      <c r="MBB202" s="885"/>
      <c r="MBC202" s="885"/>
      <c r="MBD202" s="885"/>
      <c r="MBE202" s="885"/>
      <c r="MBF202" s="885"/>
      <c r="MBG202" s="885"/>
      <c r="MBH202" s="885"/>
      <c r="MBI202" s="885"/>
      <c r="MBJ202" s="885"/>
      <c r="MBK202" s="885"/>
      <c r="MBL202" s="885"/>
      <c r="MBM202" s="885"/>
      <c r="MBN202" s="885"/>
      <c r="MBO202" s="885"/>
      <c r="MBP202" s="885"/>
      <c r="MBQ202" s="885"/>
      <c r="MBR202" s="885"/>
      <c r="MBS202" s="885"/>
      <c r="MBT202" s="885"/>
      <c r="MBU202" s="885"/>
      <c r="MBV202" s="885"/>
      <c r="MBW202" s="885"/>
      <c r="MBX202" s="885"/>
      <c r="MBY202" s="885"/>
      <c r="MBZ202" s="885"/>
      <c r="MCA202" s="885"/>
      <c r="MCB202" s="885"/>
      <c r="MCC202" s="885"/>
      <c r="MCD202" s="885"/>
      <c r="MCE202" s="885"/>
      <c r="MCF202" s="885"/>
      <c r="MCG202" s="885"/>
      <c r="MCH202" s="885"/>
      <c r="MCI202" s="885"/>
      <c r="MCJ202" s="885"/>
      <c r="MCK202" s="885"/>
      <c r="MCL202" s="885"/>
      <c r="MCM202" s="885"/>
      <c r="MCN202" s="885"/>
      <c r="MCO202" s="885"/>
      <c r="MCP202" s="885"/>
      <c r="MCQ202" s="885"/>
      <c r="MCR202" s="885"/>
      <c r="MCS202" s="885"/>
      <c r="MCT202" s="885"/>
      <c r="MCU202" s="885"/>
      <c r="MCV202" s="885"/>
      <c r="MCW202" s="885"/>
      <c r="MCX202" s="885"/>
      <c r="MCY202" s="885"/>
      <c r="MCZ202" s="885"/>
      <c r="MDA202" s="885"/>
      <c r="MDB202" s="885"/>
      <c r="MDC202" s="885"/>
      <c r="MDD202" s="885"/>
      <c r="MDE202" s="885"/>
      <c r="MDF202" s="885"/>
      <c r="MDG202" s="885"/>
      <c r="MDH202" s="885"/>
      <c r="MDI202" s="885"/>
      <c r="MDJ202" s="885"/>
      <c r="MDK202" s="885"/>
      <c r="MDL202" s="885"/>
      <c r="MDM202" s="885"/>
      <c r="MDN202" s="885"/>
      <c r="MDO202" s="885"/>
      <c r="MDP202" s="885"/>
      <c r="MDQ202" s="885"/>
      <c r="MDR202" s="885"/>
      <c r="MDS202" s="885"/>
      <c r="MDT202" s="885"/>
      <c r="MDU202" s="885"/>
      <c r="MDV202" s="885"/>
      <c r="MDW202" s="885"/>
      <c r="MDX202" s="885"/>
      <c r="MDY202" s="885"/>
      <c r="MDZ202" s="885"/>
      <c r="MEA202" s="885"/>
      <c r="MEB202" s="885"/>
      <c r="MEC202" s="885"/>
      <c r="MED202" s="885"/>
      <c r="MEE202" s="885"/>
      <c r="MEF202" s="885"/>
      <c r="MEG202" s="885"/>
      <c r="MEH202" s="885"/>
      <c r="MEI202" s="885"/>
      <c r="MEJ202" s="885"/>
      <c r="MEK202" s="885"/>
      <c r="MEL202" s="885"/>
      <c r="MEM202" s="885"/>
      <c r="MEN202" s="885"/>
      <c r="MEO202" s="885"/>
      <c r="MEP202" s="885"/>
      <c r="MEQ202" s="885"/>
      <c r="MER202" s="885"/>
      <c r="MES202" s="885"/>
      <c r="MET202" s="885"/>
      <c r="MEU202" s="885"/>
      <c r="MEV202" s="885"/>
      <c r="MEW202" s="885"/>
      <c r="MEX202" s="885"/>
      <c r="MEY202" s="885"/>
      <c r="MEZ202" s="885"/>
      <c r="MFA202" s="885"/>
      <c r="MFB202" s="885"/>
      <c r="MFC202" s="885"/>
      <c r="MFD202" s="885"/>
      <c r="MFE202" s="885"/>
      <c r="MFF202" s="885"/>
      <c r="MFG202" s="885"/>
      <c r="MFH202" s="885"/>
      <c r="MFI202" s="885"/>
      <c r="MFJ202" s="885"/>
      <c r="MFK202" s="885"/>
      <c r="MFL202" s="885"/>
      <c r="MFM202" s="885"/>
      <c r="MFN202" s="885"/>
      <c r="MFO202" s="885"/>
      <c r="MFP202" s="885"/>
      <c r="MFQ202" s="885"/>
      <c r="MFR202" s="885"/>
      <c r="MFS202" s="885"/>
      <c r="MFT202" s="885"/>
      <c r="MFU202" s="885"/>
      <c r="MFV202" s="885"/>
      <c r="MFW202" s="885"/>
      <c r="MFX202" s="885"/>
      <c r="MFY202" s="885"/>
      <c r="MFZ202" s="885"/>
      <c r="MGA202" s="885"/>
      <c r="MGB202" s="885"/>
      <c r="MGC202" s="885"/>
      <c r="MGD202" s="885"/>
      <c r="MGE202" s="885"/>
      <c r="MGF202" s="885"/>
      <c r="MGG202" s="885"/>
      <c r="MGH202" s="885"/>
      <c r="MGI202" s="885"/>
      <c r="MGJ202" s="885"/>
      <c r="MGK202" s="885"/>
      <c r="MGL202" s="885"/>
      <c r="MGM202" s="885"/>
      <c r="MGN202" s="885"/>
      <c r="MGO202" s="885"/>
      <c r="MGP202" s="885"/>
      <c r="MGQ202" s="885"/>
      <c r="MGR202" s="885"/>
      <c r="MGS202" s="885"/>
      <c r="MGT202" s="885"/>
      <c r="MGU202" s="885"/>
      <c r="MGV202" s="885"/>
      <c r="MGW202" s="885"/>
      <c r="MGX202" s="885"/>
      <c r="MGY202" s="885"/>
      <c r="MGZ202" s="885"/>
      <c r="MHA202" s="885"/>
      <c r="MHB202" s="885"/>
      <c r="MHC202" s="885"/>
      <c r="MHD202" s="885"/>
      <c r="MHE202" s="885"/>
      <c r="MHF202" s="885"/>
      <c r="MHG202" s="885"/>
      <c r="MHH202" s="885"/>
      <c r="MHI202" s="885"/>
      <c r="MHJ202" s="885"/>
      <c r="MHK202" s="885"/>
      <c r="MHL202" s="885"/>
      <c r="MHM202" s="885"/>
      <c r="MHN202" s="885"/>
      <c r="MHO202" s="885"/>
      <c r="MHP202" s="885"/>
      <c r="MHQ202" s="885"/>
      <c r="MHR202" s="885"/>
      <c r="MHS202" s="885"/>
      <c r="MHT202" s="885"/>
      <c r="MHU202" s="885"/>
      <c r="MHV202" s="885"/>
      <c r="MHW202" s="885"/>
      <c r="MHX202" s="885"/>
      <c r="MHY202" s="885"/>
      <c r="MHZ202" s="885"/>
      <c r="MIA202" s="885"/>
      <c r="MIB202" s="885"/>
      <c r="MIC202" s="885"/>
      <c r="MID202" s="885"/>
      <c r="MIE202" s="885"/>
      <c r="MIF202" s="885"/>
      <c r="MIG202" s="885"/>
      <c r="MIH202" s="885"/>
      <c r="MII202" s="885"/>
      <c r="MIJ202" s="885"/>
      <c r="MIK202" s="885"/>
      <c r="MIL202" s="885"/>
      <c r="MIM202" s="885"/>
      <c r="MIN202" s="885"/>
      <c r="MIO202" s="885"/>
      <c r="MIP202" s="885"/>
      <c r="MIQ202" s="885"/>
      <c r="MIR202" s="885"/>
      <c r="MIS202" s="885"/>
      <c r="MIT202" s="885"/>
      <c r="MIU202" s="885"/>
      <c r="MIV202" s="885"/>
      <c r="MIW202" s="885"/>
      <c r="MIX202" s="885"/>
      <c r="MIY202" s="885"/>
      <c r="MIZ202" s="885"/>
      <c r="MJA202" s="885"/>
      <c r="MJB202" s="885"/>
      <c r="MJC202" s="885"/>
      <c r="MJD202" s="885"/>
      <c r="MJE202" s="885"/>
      <c r="MJF202" s="885"/>
      <c r="MJG202" s="885"/>
      <c r="MJH202" s="885"/>
      <c r="MJI202" s="885"/>
      <c r="MJJ202" s="885"/>
      <c r="MJK202" s="885"/>
      <c r="MJL202" s="885"/>
      <c r="MJM202" s="885"/>
      <c r="MJN202" s="885"/>
      <c r="MJO202" s="885"/>
      <c r="MJP202" s="885"/>
      <c r="MJQ202" s="885"/>
      <c r="MJR202" s="885"/>
      <c r="MJS202" s="885"/>
      <c r="MJT202" s="885"/>
      <c r="MJU202" s="885"/>
      <c r="MJV202" s="885"/>
      <c r="MJW202" s="885"/>
      <c r="MJX202" s="885"/>
      <c r="MJY202" s="885"/>
      <c r="MJZ202" s="885"/>
      <c r="MKA202" s="885"/>
      <c r="MKB202" s="885"/>
      <c r="MKC202" s="885"/>
      <c r="MKD202" s="885"/>
      <c r="MKE202" s="885"/>
      <c r="MKF202" s="885"/>
      <c r="MKG202" s="885"/>
      <c r="MKH202" s="885"/>
      <c r="MKI202" s="885"/>
      <c r="MKJ202" s="885"/>
      <c r="MKK202" s="885"/>
      <c r="MKL202" s="885"/>
      <c r="MKM202" s="885"/>
      <c r="MKN202" s="885"/>
      <c r="MKO202" s="885"/>
      <c r="MKP202" s="885"/>
      <c r="MKQ202" s="885"/>
      <c r="MKR202" s="885"/>
      <c r="MKS202" s="885"/>
      <c r="MKT202" s="885"/>
      <c r="MKU202" s="885"/>
      <c r="MKV202" s="885"/>
      <c r="MKW202" s="885"/>
      <c r="MKX202" s="885"/>
      <c r="MKY202" s="885"/>
      <c r="MKZ202" s="885"/>
      <c r="MLA202" s="885"/>
      <c r="MLB202" s="885"/>
      <c r="MLC202" s="885"/>
      <c r="MLD202" s="885"/>
      <c r="MLE202" s="885"/>
      <c r="MLF202" s="885"/>
      <c r="MLG202" s="885"/>
      <c r="MLH202" s="885"/>
      <c r="MLI202" s="885"/>
      <c r="MLJ202" s="885"/>
      <c r="MLK202" s="885"/>
      <c r="MLL202" s="885"/>
      <c r="MLM202" s="885"/>
      <c r="MLN202" s="885"/>
      <c r="MLO202" s="885"/>
      <c r="MLP202" s="885"/>
      <c r="MLQ202" s="885"/>
      <c r="MLR202" s="885"/>
      <c r="MLS202" s="885"/>
      <c r="MLT202" s="885"/>
      <c r="MLU202" s="885"/>
      <c r="MLV202" s="885"/>
      <c r="MLW202" s="885"/>
      <c r="MLX202" s="885"/>
      <c r="MLY202" s="885"/>
      <c r="MLZ202" s="885"/>
      <c r="MMA202" s="885"/>
      <c r="MMB202" s="885"/>
      <c r="MMC202" s="885"/>
      <c r="MMD202" s="885"/>
      <c r="MME202" s="885"/>
      <c r="MMF202" s="885"/>
      <c r="MMG202" s="885"/>
      <c r="MMH202" s="885"/>
      <c r="MMI202" s="885"/>
      <c r="MMJ202" s="885"/>
      <c r="MMK202" s="885"/>
      <c r="MML202" s="885"/>
      <c r="MMM202" s="885"/>
      <c r="MMN202" s="885"/>
      <c r="MMO202" s="885"/>
      <c r="MMP202" s="885"/>
      <c r="MMQ202" s="885"/>
      <c r="MMR202" s="885"/>
      <c r="MMS202" s="885"/>
      <c r="MMT202" s="885"/>
      <c r="MMU202" s="885"/>
      <c r="MMV202" s="885"/>
      <c r="MMW202" s="885"/>
      <c r="MMX202" s="885"/>
      <c r="MMY202" s="885"/>
      <c r="MMZ202" s="885"/>
      <c r="MNA202" s="885"/>
      <c r="MNB202" s="885"/>
      <c r="MNC202" s="885"/>
      <c r="MND202" s="885"/>
      <c r="MNE202" s="885"/>
      <c r="MNF202" s="885"/>
      <c r="MNG202" s="885"/>
      <c r="MNH202" s="885"/>
      <c r="MNI202" s="885"/>
      <c r="MNJ202" s="885"/>
      <c r="MNK202" s="885"/>
      <c r="MNL202" s="885"/>
      <c r="MNM202" s="885"/>
      <c r="MNN202" s="885"/>
      <c r="MNO202" s="885"/>
      <c r="MNP202" s="885"/>
      <c r="MNQ202" s="885"/>
      <c r="MNR202" s="885"/>
      <c r="MNS202" s="885"/>
      <c r="MNT202" s="885"/>
      <c r="MNU202" s="885"/>
      <c r="MNV202" s="885"/>
      <c r="MNW202" s="885"/>
      <c r="MNX202" s="885"/>
      <c r="MNY202" s="885"/>
      <c r="MNZ202" s="885"/>
      <c r="MOA202" s="885"/>
      <c r="MOB202" s="885"/>
      <c r="MOC202" s="885"/>
      <c r="MOD202" s="885"/>
      <c r="MOE202" s="885"/>
      <c r="MOF202" s="885"/>
      <c r="MOG202" s="885"/>
      <c r="MOH202" s="885"/>
      <c r="MOI202" s="885"/>
      <c r="MOJ202" s="885"/>
      <c r="MOK202" s="885"/>
      <c r="MOL202" s="885"/>
      <c r="MOM202" s="885"/>
      <c r="MON202" s="885"/>
      <c r="MOO202" s="885"/>
      <c r="MOP202" s="885"/>
      <c r="MOQ202" s="885"/>
      <c r="MOR202" s="885"/>
      <c r="MOS202" s="885"/>
      <c r="MOT202" s="885"/>
      <c r="MOU202" s="885"/>
      <c r="MOV202" s="885"/>
      <c r="MOW202" s="885"/>
      <c r="MOX202" s="885"/>
      <c r="MOY202" s="885"/>
      <c r="MOZ202" s="885"/>
      <c r="MPA202" s="885"/>
      <c r="MPB202" s="885"/>
      <c r="MPC202" s="885"/>
      <c r="MPD202" s="885"/>
      <c r="MPE202" s="885"/>
      <c r="MPF202" s="885"/>
      <c r="MPG202" s="885"/>
      <c r="MPH202" s="885"/>
      <c r="MPI202" s="885"/>
      <c r="MPJ202" s="885"/>
      <c r="MPK202" s="885"/>
      <c r="MPL202" s="885"/>
      <c r="MPM202" s="885"/>
      <c r="MPN202" s="885"/>
      <c r="MPO202" s="885"/>
      <c r="MPP202" s="885"/>
      <c r="MPQ202" s="885"/>
      <c r="MPR202" s="885"/>
      <c r="MPS202" s="885"/>
      <c r="MPT202" s="885"/>
      <c r="MPU202" s="885"/>
      <c r="MPV202" s="885"/>
      <c r="MPW202" s="885"/>
      <c r="MPX202" s="885"/>
      <c r="MPY202" s="885"/>
      <c r="MPZ202" s="885"/>
      <c r="MQA202" s="885"/>
      <c r="MQB202" s="885"/>
      <c r="MQC202" s="885"/>
      <c r="MQD202" s="885"/>
      <c r="MQE202" s="885"/>
      <c r="MQF202" s="885"/>
      <c r="MQG202" s="885"/>
      <c r="MQH202" s="885"/>
      <c r="MQI202" s="885"/>
      <c r="MQJ202" s="885"/>
      <c r="MQK202" s="885"/>
      <c r="MQL202" s="885"/>
      <c r="MQM202" s="885"/>
      <c r="MQN202" s="885"/>
      <c r="MQO202" s="885"/>
      <c r="MQP202" s="885"/>
      <c r="MQQ202" s="885"/>
      <c r="MQR202" s="885"/>
      <c r="MQS202" s="885"/>
      <c r="MQT202" s="885"/>
      <c r="MQU202" s="885"/>
      <c r="MQV202" s="885"/>
      <c r="MQW202" s="885"/>
      <c r="MQX202" s="885"/>
      <c r="MQY202" s="885"/>
      <c r="MQZ202" s="885"/>
      <c r="MRA202" s="885"/>
      <c r="MRB202" s="885"/>
      <c r="MRC202" s="885"/>
      <c r="MRD202" s="885"/>
      <c r="MRE202" s="885"/>
      <c r="MRF202" s="885"/>
      <c r="MRG202" s="885"/>
      <c r="MRH202" s="885"/>
      <c r="MRI202" s="885"/>
      <c r="MRJ202" s="885"/>
      <c r="MRK202" s="885"/>
      <c r="MRL202" s="885"/>
      <c r="MRM202" s="885"/>
      <c r="MRN202" s="885"/>
      <c r="MRO202" s="885"/>
      <c r="MRP202" s="885"/>
      <c r="MRQ202" s="885"/>
      <c r="MRR202" s="885"/>
      <c r="MRS202" s="885"/>
      <c r="MRT202" s="885"/>
      <c r="MRU202" s="885"/>
      <c r="MRV202" s="885"/>
      <c r="MRW202" s="885"/>
      <c r="MRX202" s="885"/>
      <c r="MRY202" s="885"/>
      <c r="MRZ202" s="885"/>
      <c r="MSA202" s="885"/>
      <c r="MSB202" s="885"/>
      <c r="MSC202" s="885"/>
      <c r="MSD202" s="885"/>
      <c r="MSE202" s="885"/>
      <c r="MSF202" s="885"/>
      <c r="MSG202" s="885"/>
      <c r="MSH202" s="885"/>
      <c r="MSI202" s="885"/>
      <c r="MSJ202" s="885"/>
      <c r="MSK202" s="885"/>
      <c r="MSL202" s="885"/>
      <c r="MSM202" s="885"/>
      <c r="MSN202" s="885"/>
      <c r="MSO202" s="885"/>
      <c r="MSP202" s="885"/>
      <c r="MSQ202" s="885"/>
      <c r="MSR202" s="885"/>
      <c r="MSS202" s="885"/>
      <c r="MST202" s="885"/>
      <c r="MSU202" s="885"/>
      <c r="MSV202" s="885"/>
      <c r="MSW202" s="885"/>
      <c r="MSX202" s="885"/>
      <c r="MSY202" s="885"/>
      <c r="MSZ202" s="885"/>
      <c r="MTA202" s="885"/>
      <c r="MTB202" s="885"/>
      <c r="MTC202" s="885"/>
      <c r="MTD202" s="885"/>
      <c r="MTE202" s="885"/>
      <c r="MTF202" s="885"/>
      <c r="MTG202" s="885"/>
      <c r="MTH202" s="885"/>
      <c r="MTI202" s="885"/>
      <c r="MTJ202" s="885"/>
      <c r="MTK202" s="885"/>
      <c r="MTL202" s="885"/>
      <c r="MTM202" s="885"/>
      <c r="MTN202" s="885"/>
      <c r="MTO202" s="885"/>
      <c r="MTP202" s="885"/>
      <c r="MTQ202" s="885"/>
      <c r="MTR202" s="885"/>
      <c r="MTS202" s="885"/>
      <c r="MTT202" s="885"/>
      <c r="MTU202" s="885"/>
      <c r="MTV202" s="885"/>
      <c r="MTW202" s="885"/>
      <c r="MTX202" s="885"/>
      <c r="MTY202" s="885"/>
      <c r="MTZ202" s="885"/>
      <c r="MUA202" s="885"/>
      <c r="MUB202" s="885"/>
      <c r="MUC202" s="885"/>
      <c r="MUD202" s="885"/>
      <c r="MUE202" s="885"/>
      <c r="MUF202" s="885"/>
      <c r="MUG202" s="885"/>
      <c r="MUH202" s="885"/>
      <c r="MUI202" s="885"/>
      <c r="MUJ202" s="885"/>
      <c r="MUK202" s="885"/>
      <c r="MUL202" s="885"/>
      <c r="MUM202" s="885"/>
      <c r="MUN202" s="885"/>
      <c r="MUO202" s="885"/>
      <c r="MUP202" s="885"/>
      <c r="MUQ202" s="885"/>
      <c r="MUR202" s="885"/>
      <c r="MUS202" s="885"/>
      <c r="MUT202" s="885"/>
      <c r="MUU202" s="885"/>
      <c r="MUV202" s="885"/>
      <c r="MUW202" s="885"/>
      <c r="MUX202" s="885"/>
      <c r="MUY202" s="885"/>
      <c r="MUZ202" s="885"/>
      <c r="MVA202" s="885"/>
      <c r="MVB202" s="885"/>
      <c r="MVC202" s="885"/>
      <c r="MVD202" s="885"/>
      <c r="MVE202" s="885"/>
      <c r="MVF202" s="885"/>
      <c r="MVG202" s="885"/>
      <c r="MVH202" s="885"/>
      <c r="MVI202" s="885"/>
      <c r="MVJ202" s="885"/>
      <c r="MVK202" s="885"/>
      <c r="MVL202" s="885"/>
      <c r="MVM202" s="885"/>
      <c r="MVN202" s="885"/>
      <c r="MVO202" s="885"/>
      <c r="MVP202" s="885"/>
      <c r="MVQ202" s="885"/>
      <c r="MVR202" s="885"/>
      <c r="MVS202" s="885"/>
      <c r="MVT202" s="885"/>
      <c r="MVU202" s="885"/>
      <c r="MVV202" s="885"/>
      <c r="MVW202" s="885"/>
      <c r="MVX202" s="885"/>
      <c r="MVY202" s="885"/>
      <c r="MVZ202" s="885"/>
      <c r="MWA202" s="885"/>
      <c r="MWB202" s="885"/>
      <c r="MWC202" s="885"/>
      <c r="MWD202" s="885"/>
      <c r="MWE202" s="885"/>
      <c r="MWF202" s="885"/>
      <c r="MWG202" s="885"/>
      <c r="MWH202" s="885"/>
      <c r="MWI202" s="885"/>
      <c r="MWJ202" s="885"/>
      <c r="MWK202" s="885"/>
      <c r="MWL202" s="885"/>
      <c r="MWM202" s="885"/>
      <c r="MWN202" s="885"/>
      <c r="MWO202" s="885"/>
      <c r="MWP202" s="885"/>
      <c r="MWQ202" s="885"/>
      <c r="MWR202" s="885"/>
      <c r="MWS202" s="885"/>
      <c r="MWT202" s="885"/>
      <c r="MWU202" s="885"/>
      <c r="MWV202" s="885"/>
      <c r="MWW202" s="885"/>
      <c r="MWX202" s="885"/>
      <c r="MWY202" s="885"/>
      <c r="MWZ202" s="885"/>
      <c r="MXA202" s="885"/>
      <c r="MXB202" s="885"/>
      <c r="MXC202" s="885"/>
      <c r="MXD202" s="885"/>
      <c r="MXE202" s="885"/>
      <c r="MXF202" s="885"/>
      <c r="MXG202" s="885"/>
      <c r="MXH202" s="885"/>
      <c r="MXI202" s="885"/>
      <c r="MXJ202" s="885"/>
      <c r="MXK202" s="885"/>
      <c r="MXL202" s="885"/>
      <c r="MXM202" s="885"/>
      <c r="MXN202" s="885"/>
      <c r="MXO202" s="885"/>
      <c r="MXP202" s="885"/>
      <c r="MXQ202" s="885"/>
      <c r="MXR202" s="885"/>
      <c r="MXS202" s="885"/>
      <c r="MXT202" s="885"/>
      <c r="MXU202" s="885"/>
      <c r="MXV202" s="885"/>
      <c r="MXW202" s="885"/>
      <c r="MXX202" s="885"/>
      <c r="MXY202" s="885"/>
      <c r="MXZ202" s="885"/>
      <c r="MYA202" s="885"/>
      <c r="MYB202" s="885"/>
      <c r="MYC202" s="885"/>
      <c r="MYD202" s="885"/>
      <c r="MYE202" s="885"/>
      <c r="MYF202" s="885"/>
      <c r="MYG202" s="885"/>
      <c r="MYH202" s="885"/>
      <c r="MYI202" s="885"/>
      <c r="MYJ202" s="885"/>
      <c r="MYK202" s="885"/>
      <c r="MYL202" s="885"/>
      <c r="MYM202" s="885"/>
      <c r="MYN202" s="885"/>
      <c r="MYO202" s="885"/>
      <c r="MYP202" s="885"/>
      <c r="MYQ202" s="885"/>
      <c r="MYR202" s="885"/>
      <c r="MYS202" s="885"/>
      <c r="MYT202" s="885"/>
      <c r="MYU202" s="885"/>
      <c r="MYV202" s="885"/>
      <c r="MYW202" s="885"/>
      <c r="MYX202" s="885"/>
      <c r="MYY202" s="885"/>
      <c r="MYZ202" s="885"/>
      <c r="MZA202" s="885"/>
      <c r="MZB202" s="885"/>
      <c r="MZC202" s="885"/>
      <c r="MZD202" s="885"/>
      <c r="MZE202" s="885"/>
      <c r="MZF202" s="885"/>
      <c r="MZG202" s="885"/>
      <c r="MZH202" s="885"/>
      <c r="MZI202" s="885"/>
      <c r="MZJ202" s="885"/>
      <c r="MZK202" s="885"/>
      <c r="MZL202" s="885"/>
      <c r="MZM202" s="885"/>
      <c r="MZN202" s="885"/>
      <c r="MZO202" s="885"/>
      <c r="MZP202" s="885"/>
      <c r="MZQ202" s="885"/>
      <c r="MZR202" s="885"/>
      <c r="MZS202" s="885"/>
      <c r="MZT202" s="885"/>
      <c r="MZU202" s="885"/>
      <c r="MZV202" s="885"/>
      <c r="MZW202" s="885"/>
      <c r="MZX202" s="885"/>
      <c r="MZY202" s="885"/>
      <c r="MZZ202" s="885"/>
      <c r="NAA202" s="885"/>
      <c r="NAB202" s="885"/>
      <c r="NAC202" s="885"/>
      <c r="NAD202" s="885"/>
      <c r="NAE202" s="885"/>
      <c r="NAF202" s="885"/>
      <c r="NAG202" s="885"/>
      <c r="NAH202" s="885"/>
      <c r="NAI202" s="885"/>
      <c r="NAJ202" s="885"/>
      <c r="NAK202" s="885"/>
      <c r="NAL202" s="885"/>
      <c r="NAM202" s="885"/>
      <c r="NAN202" s="885"/>
      <c r="NAO202" s="885"/>
      <c r="NAP202" s="885"/>
      <c r="NAQ202" s="885"/>
      <c r="NAR202" s="885"/>
      <c r="NAS202" s="885"/>
      <c r="NAT202" s="885"/>
      <c r="NAU202" s="885"/>
      <c r="NAV202" s="885"/>
      <c r="NAW202" s="885"/>
      <c r="NAX202" s="885"/>
      <c r="NAY202" s="885"/>
      <c r="NAZ202" s="885"/>
      <c r="NBA202" s="885"/>
      <c r="NBB202" s="885"/>
      <c r="NBC202" s="885"/>
      <c r="NBD202" s="885"/>
      <c r="NBE202" s="885"/>
      <c r="NBF202" s="885"/>
      <c r="NBG202" s="885"/>
      <c r="NBH202" s="885"/>
      <c r="NBI202" s="885"/>
      <c r="NBJ202" s="885"/>
      <c r="NBK202" s="885"/>
      <c r="NBL202" s="885"/>
      <c r="NBM202" s="885"/>
      <c r="NBN202" s="885"/>
      <c r="NBO202" s="885"/>
      <c r="NBP202" s="885"/>
      <c r="NBQ202" s="885"/>
      <c r="NBR202" s="885"/>
      <c r="NBS202" s="885"/>
      <c r="NBT202" s="885"/>
      <c r="NBU202" s="885"/>
      <c r="NBV202" s="885"/>
      <c r="NBW202" s="885"/>
      <c r="NBX202" s="885"/>
      <c r="NBY202" s="885"/>
      <c r="NBZ202" s="885"/>
      <c r="NCA202" s="885"/>
      <c r="NCB202" s="885"/>
      <c r="NCC202" s="885"/>
      <c r="NCD202" s="885"/>
      <c r="NCE202" s="885"/>
      <c r="NCF202" s="885"/>
      <c r="NCG202" s="885"/>
      <c r="NCH202" s="885"/>
      <c r="NCI202" s="885"/>
      <c r="NCJ202" s="885"/>
      <c r="NCK202" s="885"/>
      <c r="NCL202" s="885"/>
      <c r="NCM202" s="885"/>
      <c r="NCN202" s="885"/>
      <c r="NCO202" s="885"/>
      <c r="NCP202" s="885"/>
      <c r="NCQ202" s="885"/>
      <c r="NCR202" s="885"/>
      <c r="NCS202" s="885"/>
      <c r="NCT202" s="885"/>
      <c r="NCU202" s="885"/>
      <c r="NCV202" s="885"/>
      <c r="NCW202" s="885"/>
      <c r="NCX202" s="885"/>
      <c r="NCY202" s="885"/>
      <c r="NCZ202" s="885"/>
      <c r="NDA202" s="885"/>
      <c r="NDB202" s="885"/>
      <c r="NDC202" s="885"/>
      <c r="NDD202" s="885"/>
      <c r="NDE202" s="885"/>
      <c r="NDF202" s="885"/>
      <c r="NDG202" s="885"/>
      <c r="NDH202" s="885"/>
      <c r="NDI202" s="885"/>
      <c r="NDJ202" s="885"/>
      <c r="NDK202" s="885"/>
      <c r="NDL202" s="885"/>
      <c r="NDM202" s="885"/>
      <c r="NDN202" s="885"/>
      <c r="NDO202" s="885"/>
      <c r="NDP202" s="885"/>
      <c r="NDQ202" s="885"/>
      <c r="NDR202" s="885"/>
      <c r="NDS202" s="885"/>
      <c r="NDT202" s="885"/>
      <c r="NDU202" s="885"/>
      <c r="NDV202" s="885"/>
      <c r="NDW202" s="885"/>
      <c r="NDX202" s="885"/>
      <c r="NDY202" s="885"/>
      <c r="NDZ202" s="885"/>
      <c r="NEA202" s="885"/>
      <c r="NEB202" s="885"/>
      <c r="NEC202" s="885"/>
      <c r="NED202" s="885"/>
      <c r="NEE202" s="885"/>
      <c r="NEF202" s="885"/>
      <c r="NEG202" s="885"/>
      <c r="NEH202" s="885"/>
      <c r="NEI202" s="885"/>
      <c r="NEJ202" s="885"/>
      <c r="NEK202" s="885"/>
      <c r="NEL202" s="885"/>
      <c r="NEM202" s="885"/>
      <c r="NEN202" s="885"/>
      <c r="NEO202" s="885"/>
      <c r="NEP202" s="885"/>
      <c r="NEQ202" s="885"/>
      <c r="NER202" s="885"/>
      <c r="NES202" s="885"/>
      <c r="NET202" s="885"/>
      <c r="NEU202" s="885"/>
      <c r="NEV202" s="885"/>
      <c r="NEW202" s="885"/>
      <c r="NEX202" s="885"/>
      <c r="NEY202" s="885"/>
      <c r="NEZ202" s="885"/>
      <c r="NFA202" s="885"/>
      <c r="NFB202" s="885"/>
      <c r="NFC202" s="885"/>
      <c r="NFD202" s="885"/>
      <c r="NFE202" s="885"/>
      <c r="NFF202" s="885"/>
      <c r="NFG202" s="885"/>
      <c r="NFH202" s="885"/>
      <c r="NFI202" s="885"/>
      <c r="NFJ202" s="885"/>
      <c r="NFK202" s="885"/>
      <c r="NFL202" s="885"/>
      <c r="NFM202" s="885"/>
      <c r="NFN202" s="885"/>
      <c r="NFO202" s="885"/>
      <c r="NFP202" s="885"/>
      <c r="NFQ202" s="885"/>
      <c r="NFR202" s="885"/>
      <c r="NFS202" s="885"/>
      <c r="NFT202" s="885"/>
      <c r="NFU202" s="885"/>
      <c r="NFV202" s="885"/>
      <c r="NFW202" s="885"/>
      <c r="NFX202" s="885"/>
      <c r="NFY202" s="885"/>
      <c r="NFZ202" s="885"/>
      <c r="NGA202" s="885"/>
      <c r="NGB202" s="885"/>
      <c r="NGC202" s="885"/>
      <c r="NGD202" s="885"/>
      <c r="NGE202" s="885"/>
      <c r="NGF202" s="885"/>
      <c r="NGG202" s="885"/>
      <c r="NGH202" s="885"/>
      <c r="NGI202" s="885"/>
      <c r="NGJ202" s="885"/>
      <c r="NGK202" s="885"/>
      <c r="NGL202" s="885"/>
      <c r="NGM202" s="885"/>
      <c r="NGN202" s="885"/>
      <c r="NGO202" s="885"/>
      <c r="NGP202" s="885"/>
      <c r="NGQ202" s="885"/>
      <c r="NGR202" s="885"/>
      <c r="NGS202" s="885"/>
      <c r="NGT202" s="885"/>
      <c r="NGU202" s="885"/>
      <c r="NGV202" s="885"/>
      <c r="NGW202" s="885"/>
      <c r="NGX202" s="885"/>
      <c r="NGY202" s="885"/>
      <c r="NGZ202" s="885"/>
      <c r="NHA202" s="885"/>
      <c r="NHB202" s="885"/>
      <c r="NHC202" s="885"/>
      <c r="NHD202" s="885"/>
      <c r="NHE202" s="885"/>
      <c r="NHF202" s="885"/>
      <c r="NHG202" s="885"/>
      <c r="NHH202" s="885"/>
      <c r="NHI202" s="885"/>
      <c r="NHJ202" s="885"/>
      <c r="NHK202" s="885"/>
      <c r="NHL202" s="885"/>
      <c r="NHM202" s="885"/>
      <c r="NHN202" s="885"/>
      <c r="NHO202" s="885"/>
      <c r="NHP202" s="885"/>
      <c r="NHQ202" s="885"/>
      <c r="NHR202" s="885"/>
      <c r="NHS202" s="885"/>
      <c r="NHT202" s="885"/>
      <c r="NHU202" s="885"/>
      <c r="NHV202" s="885"/>
      <c r="NHW202" s="885"/>
      <c r="NHX202" s="885"/>
      <c r="NHY202" s="885"/>
      <c r="NHZ202" s="885"/>
      <c r="NIA202" s="885"/>
      <c r="NIB202" s="885"/>
      <c r="NIC202" s="885"/>
      <c r="NID202" s="885"/>
      <c r="NIE202" s="885"/>
      <c r="NIF202" s="885"/>
      <c r="NIG202" s="885"/>
      <c r="NIH202" s="885"/>
      <c r="NII202" s="885"/>
      <c r="NIJ202" s="885"/>
      <c r="NIK202" s="885"/>
      <c r="NIL202" s="885"/>
      <c r="NIM202" s="885"/>
      <c r="NIN202" s="885"/>
      <c r="NIO202" s="885"/>
      <c r="NIP202" s="885"/>
      <c r="NIQ202" s="885"/>
      <c r="NIR202" s="885"/>
      <c r="NIS202" s="885"/>
      <c r="NIT202" s="885"/>
      <c r="NIU202" s="885"/>
      <c r="NIV202" s="885"/>
      <c r="NIW202" s="885"/>
      <c r="NIX202" s="885"/>
      <c r="NIY202" s="885"/>
      <c r="NIZ202" s="885"/>
      <c r="NJA202" s="885"/>
      <c r="NJB202" s="885"/>
      <c r="NJC202" s="885"/>
      <c r="NJD202" s="885"/>
      <c r="NJE202" s="885"/>
      <c r="NJF202" s="885"/>
      <c r="NJG202" s="885"/>
      <c r="NJH202" s="885"/>
      <c r="NJI202" s="885"/>
      <c r="NJJ202" s="885"/>
      <c r="NJK202" s="885"/>
      <c r="NJL202" s="885"/>
      <c r="NJM202" s="885"/>
      <c r="NJN202" s="885"/>
      <c r="NJO202" s="885"/>
      <c r="NJP202" s="885"/>
      <c r="NJQ202" s="885"/>
      <c r="NJR202" s="885"/>
      <c r="NJS202" s="885"/>
      <c r="NJT202" s="885"/>
      <c r="NJU202" s="885"/>
      <c r="NJV202" s="885"/>
      <c r="NJW202" s="885"/>
      <c r="NJX202" s="885"/>
      <c r="NJY202" s="885"/>
      <c r="NJZ202" s="885"/>
      <c r="NKA202" s="885"/>
      <c r="NKB202" s="885"/>
      <c r="NKC202" s="885"/>
      <c r="NKD202" s="885"/>
      <c r="NKE202" s="885"/>
      <c r="NKF202" s="885"/>
      <c r="NKG202" s="885"/>
      <c r="NKH202" s="885"/>
      <c r="NKI202" s="885"/>
      <c r="NKJ202" s="885"/>
      <c r="NKK202" s="885"/>
      <c r="NKL202" s="885"/>
      <c r="NKM202" s="885"/>
      <c r="NKN202" s="885"/>
      <c r="NKO202" s="885"/>
      <c r="NKP202" s="885"/>
      <c r="NKQ202" s="885"/>
      <c r="NKR202" s="885"/>
      <c r="NKS202" s="885"/>
      <c r="NKT202" s="885"/>
      <c r="NKU202" s="885"/>
      <c r="NKV202" s="885"/>
      <c r="NKW202" s="885"/>
      <c r="NKX202" s="885"/>
      <c r="NKY202" s="885"/>
      <c r="NKZ202" s="885"/>
      <c r="NLA202" s="885"/>
      <c r="NLB202" s="885"/>
      <c r="NLC202" s="885"/>
      <c r="NLD202" s="885"/>
      <c r="NLE202" s="885"/>
      <c r="NLF202" s="885"/>
      <c r="NLG202" s="885"/>
      <c r="NLH202" s="885"/>
      <c r="NLI202" s="885"/>
      <c r="NLJ202" s="885"/>
      <c r="NLK202" s="885"/>
      <c r="NLL202" s="885"/>
      <c r="NLM202" s="885"/>
      <c r="NLN202" s="885"/>
      <c r="NLO202" s="885"/>
      <c r="NLP202" s="885"/>
      <c r="NLQ202" s="885"/>
      <c r="NLR202" s="885"/>
      <c r="NLS202" s="885"/>
      <c r="NLT202" s="885"/>
      <c r="NLU202" s="885"/>
      <c r="NLV202" s="885"/>
      <c r="NLW202" s="885"/>
      <c r="NLX202" s="885"/>
      <c r="NLY202" s="885"/>
      <c r="NLZ202" s="885"/>
      <c r="NMA202" s="885"/>
      <c r="NMB202" s="885"/>
      <c r="NMC202" s="885"/>
      <c r="NMD202" s="885"/>
      <c r="NME202" s="885"/>
      <c r="NMF202" s="885"/>
      <c r="NMG202" s="885"/>
      <c r="NMH202" s="885"/>
      <c r="NMI202" s="885"/>
      <c r="NMJ202" s="885"/>
      <c r="NMK202" s="885"/>
      <c r="NML202" s="885"/>
      <c r="NMM202" s="885"/>
      <c r="NMN202" s="885"/>
      <c r="NMO202" s="885"/>
      <c r="NMP202" s="885"/>
      <c r="NMQ202" s="885"/>
      <c r="NMR202" s="885"/>
      <c r="NMS202" s="885"/>
      <c r="NMT202" s="885"/>
      <c r="NMU202" s="885"/>
      <c r="NMV202" s="885"/>
      <c r="NMW202" s="885"/>
      <c r="NMX202" s="885"/>
      <c r="NMY202" s="885"/>
      <c r="NMZ202" s="885"/>
      <c r="NNA202" s="885"/>
      <c r="NNB202" s="885"/>
      <c r="NNC202" s="885"/>
      <c r="NND202" s="885"/>
      <c r="NNE202" s="885"/>
      <c r="NNF202" s="885"/>
      <c r="NNG202" s="885"/>
      <c r="NNH202" s="885"/>
      <c r="NNI202" s="885"/>
      <c r="NNJ202" s="885"/>
      <c r="NNK202" s="885"/>
      <c r="NNL202" s="885"/>
      <c r="NNM202" s="885"/>
      <c r="NNN202" s="885"/>
      <c r="NNO202" s="885"/>
      <c r="NNP202" s="885"/>
      <c r="NNQ202" s="885"/>
      <c r="NNR202" s="885"/>
      <c r="NNS202" s="885"/>
      <c r="NNT202" s="885"/>
      <c r="NNU202" s="885"/>
      <c r="NNV202" s="885"/>
      <c r="NNW202" s="885"/>
      <c r="NNX202" s="885"/>
      <c r="NNY202" s="885"/>
      <c r="NNZ202" s="885"/>
      <c r="NOA202" s="885"/>
      <c r="NOB202" s="885"/>
      <c r="NOC202" s="885"/>
      <c r="NOD202" s="885"/>
      <c r="NOE202" s="885"/>
      <c r="NOF202" s="885"/>
      <c r="NOG202" s="885"/>
      <c r="NOH202" s="885"/>
      <c r="NOI202" s="885"/>
      <c r="NOJ202" s="885"/>
      <c r="NOK202" s="885"/>
      <c r="NOL202" s="885"/>
      <c r="NOM202" s="885"/>
      <c r="NON202" s="885"/>
      <c r="NOO202" s="885"/>
      <c r="NOP202" s="885"/>
      <c r="NOQ202" s="885"/>
      <c r="NOR202" s="885"/>
      <c r="NOS202" s="885"/>
      <c r="NOT202" s="885"/>
      <c r="NOU202" s="885"/>
      <c r="NOV202" s="885"/>
      <c r="NOW202" s="885"/>
      <c r="NOX202" s="885"/>
      <c r="NOY202" s="885"/>
      <c r="NOZ202" s="885"/>
      <c r="NPA202" s="885"/>
      <c r="NPB202" s="885"/>
      <c r="NPC202" s="885"/>
      <c r="NPD202" s="885"/>
      <c r="NPE202" s="885"/>
      <c r="NPF202" s="885"/>
      <c r="NPG202" s="885"/>
      <c r="NPH202" s="885"/>
      <c r="NPI202" s="885"/>
      <c r="NPJ202" s="885"/>
      <c r="NPK202" s="885"/>
      <c r="NPL202" s="885"/>
      <c r="NPM202" s="885"/>
      <c r="NPN202" s="885"/>
      <c r="NPO202" s="885"/>
      <c r="NPP202" s="885"/>
      <c r="NPQ202" s="885"/>
      <c r="NPR202" s="885"/>
      <c r="NPS202" s="885"/>
      <c r="NPT202" s="885"/>
      <c r="NPU202" s="885"/>
      <c r="NPV202" s="885"/>
      <c r="NPW202" s="885"/>
      <c r="NPX202" s="885"/>
      <c r="NPY202" s="885"/>
      <c r="NPZ202" s="885"/>
      <c r="NQA202" s="885"/>
      <c r="NQB202" s="885"/>
      <c r="NQC202" s="885"/>
      <c r="NQD202" s="885"/>
      <c r="NQE202" s="885"/>
      <c r="NQF202" s="885"/>
      <c r="NQG202" s="885"/>
      <c r="NQH202" s="885"/>
      <c r="NQI202" s="885"/>
      <c r="NQJ202" s="885"/>
      <c r="NQK202" s="885"/>
      <c r="NQL202" s="885"/>
      <c r="NQM202" s="885"/>
      <c r="NQN202" s="885"/>
      <c r="NQO202" s="885"/>
      <c r="NQP202" s="885"/>
      <c r="NQQ202" s="885"/>
      <c r="NQR202" s="885"/>
      <c r="NQS202" s="885"/>
      <c r="NQT202" s="885"/>
      <c r="NQU202" s="885"/>
      <c r="NQV202" s="885"/>
      <c r="NQW202" s="885"/>
      <c r="NQX202" s="885"/>
      <c r="NQY202" s="885"/>
      <c r="NQZ202" s="885"/>
      <c r="NRA202" s="885"/>
      <c r="NRB202" s="885"/>
      <c r="NRC202" s="885"/>
      <c r="NRD202" s="885"/>
      <c r="NRE202" s="885"/>
      <c r="NRF202" s="885"/>
      <c r="NRG202" s="885"/>
      <c r="NRH202" s="885"/>
      <c r="NRI202" s="885"/>
      <c r="NRJ202" s="885"/>
      <c r="NRK202" s="885"/>
      <c r="NRL202" s="885"/>
      <c r="NRM202" s="885"/>
      <c r="NRN202" s="885"/>
      <c r="NRO202" s="885"/>
      <c r="NRP202" s="885"/>
      <c r="NRQ202" s="885"/>
      <c r="NRR202" s="885"/>
      <c r="NRS202" s="885"/>
      <c r="NRT202" s="885"/>
      <c r="NRU202" s="885"/>
      <c r="NRV202" s="885"/>
      <c r="NRW202" s="885"/>
      <c r="NRX202" s="885"/>
      <c r="NRY202" s="885"/>
      <c r="NRZ202" s="885"/>
      <c r="NSA202" s="885"/>
      <c r="NSB202" s="885"/>
      <c r="NSC202" s="885"/>
      <c r="NSD202" s="885"/>
      <c r="NSE202" s="885"/>
      <c r="NSF202" s="885"/>
      <c r="NSG202" s="885"/>
      <c r="NSH202" s="885"/>
      <c r="NSI202" s="885"/>
      <c r="NSJ202" s="885"/>
      <c r="NSK202" s="885"/>
      <c r="NSL202" s="885"/>
      <c r="NSM202" s="885"/>
      <c r="NSN202" s="885"/>
      <c r="NSO202" s="885"/>
      <c r="NSP202" s="885"/>
      <c r="NSQ202" s="885"/>
      <c r="NSR202" s="885"/>
      <c r="NSS202" s="885"/>
      <c r="NST202" s="885"/>
      <c r="NSU202" s="885"/>
      <c r="NSV202" s="885"/>
      <c r="NSW202" s="885"/>
      <c r="NSX202" s="885"/>
      <c r="NSY202" s="885"/>
      <c r="NSZ202" s="885"/>
      <c r="NTA202" s="885"/>
      <c r="NTB202" s="885"/>
      <c r="NTC202" s="885"/>
      <c r="NTD202" s="885"/>
      <c r="NTE202" s="885"/>
      <c r="NTF202" s="885"/>
      <c r="NTG202" s="885"/>
      <c r="NTH202" s="885"/>
      <c r="NTI202" s="885"/>
      <c r="NTJ202" s="885"/>
      <c r="NTK202" s="885"/>
      <c r="NTL202" s="885"/>
      <c r="NTM202" s="885"/>
      <c r="NTN202" s="885"/>
      <c r="NTO202" s="885"/>
      <c r="NTP202" s="885"/>
      <c r="NTQ202" s="885"/>
      <c r="NTR202" s="885"/>
      <c r="NTS202" s="885"/>
      <c r="NTT202" s="885"/>
      <c r="NTU202" s="885"/>
      <c r="NTV202" s="885"/>
      <c r="NTW202" s="885"/>
      <c r="NTX202" s="885"/>
      <c r="NTY202" s="885"/>
      <c r="NTZ202" s="885"/>
      <c r="NUA202" s="885"/>
      <c r="NUB202" s="885"/>
      <c r="NUC202" s="885"/>
      <c r="NUD202" s="885"/>
      <c r="NUE202" s="885"/>
      <c r="NUF202" s="885"/>
      <c r="NUG202" s="885"/>
      <c r="NUH202" s="885"/>
      <c r="NUI202" s="885"/>
      <c r="NUJ202" s="885"/>
      <c r="NUK202" s="885"/>
      <c r="NUL202" s="885"/>
      <c r="NUM202" s="885"/>
      <c r="NUN202" s="885"/>
      <c r="NUO202" s="885"/>
      <c r="NUP202" s="885"/>
      <c r="NUQ202" s="885"/>
      <c r="NUR202" s="885"/>
      <c r="NUS202" s="885"/>
      <c r="NUT202" s="885"/>
      <c r="NUU202" s="885"/>
      <c r="NUV202" s="885"/>
      <c r="NUW202" s="885"/>
      <c r="NUX202" s="885"/>
      <c r="NUY202" s="885"/>
      <c r="NUZ202" s="885"/>
      <c r="NVA202" s="885"/>
      <c r="NVB202" s="885"/>
      <c r="NVC202" s="885"/>
      <c r="NVD202" s="885"/>
      <c r="NVE202" s="885"/>
      <c r="NVF202" s="885"/>
      <c r="NVG202" s="885"/>
      <c r="NVH202" s="885"/>
      <c r="NVI202" s="885"/>
      <c r="NVJ202" s="885"/>
      <c r="NVK202" s="885"/>
      <c r="NVL202" s="885"/>
      <c r="NVM202" s="885"/>
      <c r="NVN202" s="885"/>
      <c r="NVO202" s="885"/>
      <c r="NVP202" s="885"/>
      <c r="NVQ202" s="885"/>
      <c r="NVR202" s="885"/>
      <c r="NVS202" s="885"/>
      <c r="NVT202" s="885"/>
      <c r="NVU202" s="885"/>
      <c r="NVV202" s="885"/>
      <c r="NVW202" s="885"/>
      <c r="NVX202" s="885"/>
      <c r="NVY202" s="885"/>
      <c r="NVZ202" s="885"/>
      <c r="NWA202" s="885"/>
      <c r="NWB202" s="885"/>
      <c r="NWC202" s="885"/>
      <c r="NWD202" s="885"/>
      <c r="NWE202" s="885"/>
      <c r="NWF202" s="885"/>
      <c r="NWG202" s="885"/>
      <c r="NWH202" s="885"/>
      <c r="NWI202" s="885"/>
      <c r="NWJ202" s="885"/>
      <c r="NWK202" s="885"/>
      <c r="NWL202" s="885"/>
      <c r="NWM202" s="885"/>
      <c r="NWN202" s="885"/>
      <c r="NWO202" s="885"/>
      <c r="NWP202" s="885"/>
      <c r="NWQ202" s="885"/>
      <c r="NWR202" s="885"/>
      <c r="NWS202" s="885"/>
      <c r="NWT202" s="885"/>
      <c r="NWU202" s="885"/>
      <c r="NWV202" s="885"/>
      <c r="NWW202" s="885"/>
      <c r="NWX202" s="885"/>
      <c r="NWY202" s="885"/>
      <c r="NWZ202" s="885"/>
      <c r="NXA202" s="885"/>
      <c r="NXB202" s="885"/>
      <c r="NXC202" s="885"/>
      <c r="NXD202" s="885"/>
      <c r="NXE202" s="885"/>
      <c r="NXF202" s="885"/>
      <c r="NXG202" s="885"/>
      <c r="NXH202" s="885"/>
      <c r="NXI202" s="885"/>
      <c r="NXJ202" s="885"/>
      <c r="NXK202" s="885"/>
      <c r="NXL202" s="885"/>
      <c r="NXM202" s="885"/>
      <c r="NXN202" s="885"/>
      <c r="NXO202" s="885"/>
      <c r="NXP202" s="885"/>
      <c r="NXQ202" s="885"/>
      <c r="NXR202" s="885"/>
      <c r="NXS202" s="885"/>
      <c r="NXT202" s="885"/>
      <c r="NXU202" s="885"/>
      <c r="NXV202" s="885"/>
      <c r="NXW202" s="885"/>
      <c r="NXX202" s="885"/>
      <c r="NXY202" s="885"/>
      <c r="NXZ202" s="885"/>
      <c r="NYA202" s="885"/>
      <c r="NYB202" s="885"/>
      <c r="NYC202" s="885"/>
      <c r="NYD202" s="885"/>
      <c r="NYE202" s="885"/>
      <c r="NYF202" s="885"/>
      <c r="NYG202" s="885"/>
      <c r="NYH202" s="885"/>
      <c r="NYI202" s="885"/>
      <c r="NYJ202" s="885"/>
      <c r="NYK202" s="885"/>
      <c r="NYL202" s="885"/>
      <c r="NYM202" s="885"/>
      <c r="NYN202" s="885"/>
      <c r="NYO202" s="885"/>
      <c r="NYP202" s="885"/>
      <c r="NYQ202" s="885"/>
      <c r="NYR202" s="885"/>
      <c r="NYS202" s="885"/>
      <c r="NYT202" s="885"/>
      <c r="NYU202" s="885"/>
      <c r="NYV202" s="885"/>
      <c r="NYW202" s="885"/>
      <c r="NYX202" s="885"/>
      <c r="NYY202" s="885"/>
      <c r="NYZ202" s="885"/>
      <c r="NZA202" s="885"/>
      <c r="NZB202" s="885"/>
      <c r="NZC202" s="885"/>
      <c r="NZD202" s="885"/>
      <c r="NZE202" s="885"/>
      <c r="NZF202" s="885"/>
      <c r="NZG202" s="885"/>
      <c r="NZH202" s="885"/>
      <c r="NZI202" s="885"/>
      <c r="NZJ202" s="885"/>
      <c r="NZK202" s="885"/>
      <c r="NZL202" s="885"/>
      <c r="NZM202" s="885"/>
      <c r="NZN202" s="885"/>
      <c r="NZO202" s="885"/>
      <c r="NZP202" s="885"/>
      <c r="NZQ202" s="885"/>
      <c r="NZR202" s="885"/>
      <c r="NZS202" s="885"/>
      <c r="NZT202" s="885"/>
      <c r="NZU202" s="885"/>
      <c r="NZV202" s="885"/>
      <c r="NZW202" s="885"/>
      <c r="NZX202" s="885"/>
      <c r="NZY202" s="885"/>
      <c r="NZZ202" s="885"/>
      <c r="OAA202" s="885"/>
      <c r="OAB202" s="885"/>
      <c r="OAC202" s="885"/>
      <c r="OAD202" s="885"/>
      <c r="OAE202" s="885"/>
      <c r="OAF202" s="885"/>
      <c r="OAG202" s="885"/>
      <c r="OAH202" s="885"/>
      <c r="OAI202" s="885"/>
      <c r="OAJ202" s="885"/>
      <c r="OAK202" s="885"/>
      <c r="OAL202" s="885"/>
      <c r="OAM202" s="885"/>
      <c r="OAN202" s="885"/>
      <c r="OAO202" s="885"/>
      <c r="OAP202" s="885"/>
      <c r="OAQ202" s="885"/>
      <c r="OAR202" s="885"/>
      <c r="OAS202" s="885"/>
      <c r="OAT202" s="885"/>
      <c r="OAU202" s="885"/>
      <c r="OAV202" s="885"/>
      <c r="OAW202" s="885"/>
      <c r="OAX202" s="885"/>
      <c r="OAY202" s="885"/>
      <c r="OAZ202" s="885"/>
      <c r="OBA202" s="885"/>
      <c r="OBB202" s="885"/>
      <c r="OBC202" s="885"/>
      <c r="OBD202" s="885"/>
      <c r="OBE202" s="885"/>
      <c r="OBF202" s="885"/>
      <c r="OBG202" s="885"/>
      <c r="OBH202" s="885"/>
      <c r="OBI202" s="885"/>
      <c r="OBJ202" s="885"/>
      <c r="OBK202" s="885"/>
      <c r="OBL202" s="885"/>
      <c r="OBM202" s="885"/>
      <c r="OBN202" s="885"/>
      <c r="OBO202" s="885"/>
      <c r="OBP202" s="885"/>
      <c r="OBQ202" s="885"/>
      <c r="OBR202" s="885"/>
      <c r="OBS202" s="885"/>
      <c r="OBT202" s="885"/>
      <c r="OBU202" s="885"/>
      <c r="OBV202" s="885"/>
      <c r="OBW202" s="885"/>
      <c r="OBX202" s="885"/>
      <c r="OBY202" s="885"/>
      <c r="OBZ202" s="885"/>
      <c r="OCA202" s="885"/>
      <c r="OCB202" s="885"/>
      <c r="OCC202" s="885"/>
      <c r="OCD202" s="885"/>
      <c r="OCE202" s="885"/>
      <c r="OCF202" s="885"/>
      <c r="OCG202" s="885"/>
      <c r="OCH202" s="885"/>
      <c r="OCI202" s="885"/>
      <c r="OCJ202" s="885"/>
      <c r="OCK202" s="885"/>
      <c r="OCL202" s="885"/>
      <c r="OCM202" s="885"/>
      <c r="OCN202" s="885"/>
      <c r="OCO202" s="885"/>
      <c r="OCP202" s="885"/>
      <c r="OCQ202" s="885"/>
      <c r="OCR202" s="885"/>
      <c r="OCS202" s="885"/>
      <c r="OCT202" s="885"/>
      <c r="OCU202" s="885"/>
      <c r="OCV202" s="885"/>
      <c r="OCW202" s="885"/>
      <c r="OCX202" s="885"/>
      <c r="OCY202" s="885"/>
      <c r="OCZ202" s="885"/>
      <c r="ODA202" s="885"/>
      <c r="ODB202" s="885"/>
      <c r="ODC202" s="885"/>
      <c r="ODD202" s="885"/>
      <c r="ODE202" s="885"/>
      <c r="ODF202" s="885"/>
      <c r="ODG202" s="885"/>
      <c r="ODH202" s="885"/>
      <c r="ODI202" s="885"/>
      <c r="ODJ202" s="885"/>
      <c r="ODK202" s="885"/>
      <c r="ODL202" s="885"/>
      <c r="ODM202" s="885"/>
      <c r="ODN202" s="885"/>
      <c r="ODO202" s="885"/>
      <c r="ODP202" s="885"/>
      <c r="ODQ202" s="885"/>
      <c r="ODR202" s="885"/>
      <c r="ODS202" s="885"/>
      <c r="ODT202" s="885"/>
      <c r="ODU202" s="885"/>
      <c r="ODV202" s="885"/>
      <c r="ODW202" s="885"/>
      <c r="ODX202" s="885"/>
      <c r="ODY202" s="885"/>
      <c r="ODZ202" s="885"/>
      <c r="OEA202" s="885"/>
      <c r="OEB202" s="885"/>
      <c r="OEC202" s="885"/>
      <c r="OED202" s="885"/>
      <c r="OEE202" s="885"/>
      <c r="OEF202" s="885"/>
      <c r="OEG202" s="885"/>
      <c r="OEH202" s="885"/>
      <c r="OEI202" s="885"/>
      <c r="OEJ202" s="885"/>
      <c r="OEK202" s="885"/>
      <c r="OEL202" s="885"/>
      <c r="OEM202" s="885"/>
      <c r="OEN202" s="885"/>
      <c r="OEO202" s="885"/>
      <c r="OEP202" s="885"/>
      <c r="OEQ202" s="885"/>
      <c r="OER202" s="885"/>
      <c r="OES202" s="885"/>
      <c r="OET202" s="885"/>
      <c r="OEU202" s="885"/>
      <c r="OEV202" s="885"/>
      <c r="OEW202" s="885"/>
      <c r="OEX202" s="885"/>
      <c r="OEY202" s="885"/>
      <c r="OEZ202" s="885"/>
      <c r="OFA202" s="885"/>
      <c r="OFB202" s="885"/>
      <c r="OFC202" s="885"/>
      <c r="OFD202" s="885"/>
      <c r="OFE202" s="885"/>
      <c r="OFF202" s="885"/>
      <c r="OFG202" s="885"/>
      <c r="OFH202" s="885"/>
      <c r="OFI202" s="885"/>
      <c r="OFJ202" s="885"/>
      <c r="OFK202" s="885"/>
      <c r="OFL202" s="885"/>
      <c r="OFM202" s="885"/>
      <c r="OFN202" s="885"/>
      <c r="OFO202" s="885"/>
      <c r="OFP202" s="885"/>
      <c r="OFQ202" s="885"/>
      <c r="OFR202" s="885"/>
      <c r="OFS202" s="885"/>
      <c r="OFT202" s="885"/>
      <c r="OFU202" s="885"/>
      <c r="OFV202" s="885"/>
      <c r="OFW202" s="885"/>
      <c r="OFX202" s="885"/>
      <c r="OFY202" s="885"/>
      <c r="OFZ202" s="885"/>
      <c r="OGA202" s="885"/>
      <c r="OGB202" s="885"/>
      <c r="OGC202" s="885"/>
      <c r="OGD202" s="885"/>
      <c r="OGE202" s="885"/>
      <c r="OGF202" s="885"/>
      <c r="OGG202" s="885"/>
      <c r="OGH202" s="885"/>
      <c r="OGI202" s="885"/>
      <c r="OGJ202" s="885"/>
      <c r="OGK202" s="885"/>
      <c r="OGL202" s="885"/>
      <c r="OGM202" s="885"/>
      <c r="OGN202" s="885"/>
      <c r="OGO202" s="885"/>
      <c r="OGP202" s="885"/>
      <c r="OGQ202" s="885"/>
      <c r="OGR202" s="885"/>
      <c r="OGS202" s="885"/>
      <c r="OGT202" s="885"/>
      <c r="OGU202" s="885"/>
      <c r="OGV202" s="885"/>
      <c r="OGW202" s="885"/>
      <c r="OGX202" s="885"/>
      <c r="OGY202" s="885"/>
      <c r="OGZ202" s="885"/>
      <c r="OHA202" s="885"/>
      <c r="OHB202" s="885"/>
      <c r="OHC202" s="885"/>
      <c r="OHD202" s="885"/>
      <c r="OHE202" s="885"/>
      <c r="OHF202" s="885"/>
      <c r="OHG202" s="885"/>
      <c r="OHH202" s="885"/>
      <c r="OHI202" s="885"/>
      <c r="OHJ202" s="885"/>
      <c r="OHK202" s="885"/>
      <c r="OHL202" s="885"/>
      <c r="OHM202" s="885"/>
      <c r="OHN202" s="885"/>
      <c r="OHO202" s="885"/>
      <c r="OHP202" s="885"/>
      <c r="OHQ202" s="885"/>
      <c r="OHR202" s="885"/>
      <c r="OHS202" s="885"/>
      <c r="OHT202" s="885"/>
      <c r="OHU202" s="885"/>
      <c r="OHV202" s="885"/>
      <c r="OHW202" s="885"/>
      <c r="OHX202" s="885"/>
      <c r="OHY202" s="885"/>
      <c r="OHZ202" s="885"/>
      <c r="OIA202" s="885"/>
      <c r="OIB202" s="885"/>
      <c r="OIC202" s="885"/>
      <c r="OID202" s="885"/>
      <c r="OIE202" s="885"/>
      <c r="OIF202" s="885"/>
      <c r="OIG202" s="885"/>
      <c r="OIH202" s="885"/>
      <c r="OII202" s="885"/>
      <c r="OIJ202" s="885"/>
      <c r="OIK202" s="885"/>
      <c r="OIL202" s="885"/>
      <c r="OIM202" s="885"/>
      <c r="OIN202" s="885"/>
      <c r="OIO202" s="885"/>
      <c r="OIP202" s="885"/>
      <c r="OIQ202" s="885"/>
      <c r="OIR202" s="885"/>
      <c r="OIS202" s="885"/>
      <c r="OIT202" s="885"/>
      <c r="OIU202" s="885"/>
      <c r="OIV202" s="885"/>
      <c r="OIW202" s="885"/>
      <c r="OIX202" s="885"/>
      <c r="OIY202" s="885"/>
      <c r="OIZ202" s="885"/>
      <c r="OJA202" s="885"/>
      <c r="OJB202" s="885"/>
      <c r="OJC202" s="885"/>
      <c r="OJD202" s="885"/>
      <c r="OJE202" s="885"/>
      <c r="OJF202" s="885"/>
      <c r="OJG202" s="885"/>
      <c r="OJH202" s="885"/>
      <c r="OJI202" s="885"/>
      <c r="OJJ202" s="885"/>
      <c r="OJK202" s="885"/>
      <c r="OJL202" s="885"/>
      <c r="OJM202" s="885"/>
      <c r="OJN202" s="885"/>
      <c r="OJO202" s="885"/>
      <c r="OJP202" s="885"/>
      <c r="OJQ202" s="885"/>
      <c r="OJR202" s="885"/>
      <c r="OJS202" s="885"/>
      <c r="OJT202" s="885"/>
      <c r="OJU202" s="885"/>
      <c r="OJV202" s="885"/>
      <c r="OJW202" s="885"/>
      <c r="OJX202" s="885"/>
      <c r="OJY202" s="885"/>
      <c r="OJZ202" s="885"/>
      <c r="OKA202" s="885"/>
      <c r="OKB202" s="885"/>
      <c r="OKC202" s="885"/>
      <c r="OKD202" s="885"/>
      <c r="OKE202" s="885"/>
      <c r="OKF202" s="885"/>
      <c r="OKG202" s="885"/>
      <c r="OKH202" s="885"/>
      <c r="OKI202" s="885"/>
      <c r="OKJ202" s="885"/>
      <c r="OKK202" s="885"/>
      <c r="OKL202" s="885"/>
      <c r="OKM202" s="885"/>
      <c r="OKN202" s="885"/>
      <c r="OKO202" s="885"/>
      <c r="OKP202" s="885"/>
      <c r="OKQ202" s="885"/>
      <c r="OKR202" s="885"/>
      <c r="OKS202" s="885"/>
      <c r="OKT202" s="885"/>
      <c r="OKU202" s="885"/>
      <c r="OKV202" s="885"/>
      <c r="OKW202" s="885"/>
      <c r="OKX202" s="885"/>
      <c r="OKY202" s="885"/>
      <c r="OKZ202" s="885"/>
      <c r="OLA202" s="885"/>
      <c r="OLB202" s="885"/>
      <c r="OLC202" s="885"/>
      <c r="OLD202" s="885"/>
      <c r="OLE202" s="885"/>
      <c r="OLF202" s="885"/>
      <c r="OLG202" s="885"/>
      <c r="OLH202" s="885"/>
      <c r="OLI202" s="885"/>
      <c r="OLJ202" s="885"/>
      <c r="OLK202" s="885"/>
      <c r="OLL202" s="885"/>
      <c r="OLM202" s="885"/>
      <c r="OLN202" s="885"/>
      <c r="OLO202" s="885"/>
      <c r="OLP202" s="885"/>
      <c r="OLQ202" s="885"/>
      <c r="OLR202" s="885"/>
      <c r="OLS202" s="885"/>
      <c r="OLT202" s="885"/>
      <c r="OLU202" s="885"/>
      <c r="OLV202" s="885"/>
      <c r="OLW202" s="885"/>
      <c r="OLX202" s="885"/>
      <c r="OLY202" s="885"/>
      <c r="OLZ202" s="885"/>
      <c r="OMA202" s="885"/>
      <c r="OMB202" s="885"/>
      <c r="OMC202" s="885"/>
      <c r="OMD202" s="885"/>
      <c r="OME202" s="885"/>
      <c r="OMF202" s="885"/>
      <c r="OMG202" s="885"/>
      <c r="OMH202" s="885"/>
      <c r="OMI202" s="885"/>
      <c r="OMJ202" s="885"/>
      <c r="OMK202" s="885"/>
      <c r="OML202" s="885"/>
      <c r="OMM202" s="885"/>
      <c r="OMN202" s="885"/>
      <c r="OMO202" s="885"/>
      <c r="OMP202" s="885"/>
      <c r="OMQ202" s="885"/>
      <c r="OMR202" s="885"/>
      <c r="OMS202" s="885"/>
      <c r="OMT202" s="885"/>
      <c r="OMU202" s="885"/>
      <c r="OMV202" s="885"/>
      <c r="OMW202" s="885"/>
      <c r="OMX202" s="885"/>
      <c r="OMY202" s="885"/>
      <c r="OMZ202" s="885"/>
      <c r="ONA202" s="885"/>
      <c r="ONB202" s="885"/>
      <c r="ONC202" s="885"/>
      <c r="OND202" s="885"/>
      <c r="ONE202" s="885"/>
      <c r="ONF202" s="885"/>
      <c r="ONG202" s="885"/>
      <c r="ONH202" s="885"/>
      <c r="ONI202" s="885"/>
      <c r="ONJ202" s="885"/>
      <c r="ONK202" s="885"/>
      <c r="ONL202" s="885"/>
      <c r="ONM202" s="885"/>
      <c r="ONN202" s="885"/>
      <c r="ONO202" s="885"/>
      <c r="ONP202" s="885"/>
      <c r="ONQ202" s="885"/>
      <c r="ONR202" s="885"/>
      <c r="ONS202" s="885"/>
      <c r="ONT202" s="885"/>
      <c r="ONU202" s="885"/>
      <c r="ONV202" s="885"/>
      <c r="ONW202" s="885"/>
      <c r="ONX202" s="885"/>
      <c r="ONY202" s="885"/>
      <c r="ONZ202" s="885"/>
      <c r="OOA202" s="885"/>
      <c r="OOB202" s="885"/>
      <c r="OOC202" s="885"/>
      <c r="OOD202" s="885"/>
      <c r="OOE202" s="885"/>
      <c r="OOF202" s="885"/>
      <c r="OOG202" s="885"/>
      <c r="OOH202" s="885"/>
      <c r="OOI202" s="885"/>
      <c r="OOJ202" s="885"/>
      <c r="OOK202" s="885"/>
      <c r="OOL202" s="885"/>
      <c r="OOM202" s="885"/>
      <c r="OON202" s="885"/>
      <c r="OOO202" s="885"/>
      <c r="OOP202" s="885"/>
      <c r="OOQ202" s="885"/>
      <c r="OOR202" s="885"/>
      <c r="OOS202" s="885"/>
      <c r="OOT202" s="885"/>
      <c r="OOU202" s="885"/>
      <c r="OOV202" s="885"/>
      <c r="OOW202" s="885"/>
      <c r="OOX202" s="885"/>
      <c r="OOY202" s="885"/>
      <c r="OOZ202" s="885"/>
      <c r="OPA202" s="885"/>
      <c r="OPB202" s="885"/>
      <c r="OPC202" s="885"/>
      <c r="OPD202" s="885"/>
      <c r="OPE202" s="885"/>
      <c r="OPF202" s="885"/>
      <c r="OPG202" s="885"/>
      <c r="OPH202" s="885"/>
      <c r="OPI202" s="885"/>
      <c r="OPJ202" s="885"/>
      <c r="OPK202" s="885"/>
      <c r="OPL202" s="885"/>
      <c r="OPM202" s="885"/>
      <c r="OPN202" s="885"/>
      <c r="OPO202" s="885"/>
      <c r="OPP202" s="885"/>
      <c r="OPQ202" s="885"/>
      <c r="OPR202" s="885"/>
      <c r="OPS202" s="885"/>
      <c r="OPT202" s="885"/>
      <c r="OPU202" s="885"/>
      <c r="OPV202" s="885"/>
      <c r="OPW202" s="885"/>
      <c r="OPX202" s="885"/>
      <c r="OPY202" s="885"/>
      <c r="OPZ202" s="885"/>
      <c r="OQA202" s="885"/>
      <c r="OQB202" s="885"/>
      <c r="OQC202" s="885"/>
      <c r="OQD202" s="885"/>
      <c r="OQE202" s="885"/>
      <c r="OQF202" s="885"/>
      <c r="OQG202" s="885"/>
      <c r="OQH202" s="885"/>
      <c r="OQI202" s="885"/>
      <c r="OQJ202" s="885"/>
      <c r="OQK202" s="885"/>
      <c r="OQL202" s="885"/>
      <c r="OQM202" s="885"/>
      <c r="OQN202" s="885"/>
      <c r="OQO202" s="885"/>
      <c r="OQP202" s="885"/>
      <c r="OQQ202" s="885"/>
      <c r="OQR202" s="885"/>
      <c r="OQS202" s="885"/>
      <c r="OQT202" s="885"/>
      <c r="OQU202" s="885"/>
      <c r="OQV202" s="885"/>
      <c r="OQW202" s="885"/>
      <c r="OQX202" s="885"/>
      <c r="OQY202" s="885"/>
      <c r="OQZ202" s="885"/>
      <c r="ORA202" s="885"/>
      <c r="ORB202" s="885"/>
      <c r="ORC202" s="885"/>
      <c r="ORD202" s="885"/>
      <c r="ORE202" s="885"/>
      <c r="ORF202" s="885"/>
      <c r="ORG202" s="885"/>
      <c r="ORH202" s="885"/>
      <c r="ORI202" s="885"/>
      <c r="ORJ202" s="885"/>
      <c r="ORK202" s="885"/>
      <c r="ORL202" s="885"/>
      <c r="ORM202" s="885"/>
      <c r="ORN202" s="885"/>
      <c r="ORO202" s="885"/>
      <c r="ORP202" s="885"/>
      <c r="ORQ202" s="885"/>
      <c r="ORR202" s="885"/>
      <c r="ORS202" s="885"/>
      <c r="ORT202" s="885"/>
      <c r="ORU202" s="885"/>
      <c r="ORV202" s="885"/>
      <c r="ORW202" s="885"/>
      <c r="ORX202" s="885"/>
      <c r="ORY202" s="885"/>
      <c r="ORZ202" s="885"/>
      <c r="OSA202" s="885"/>
      <c r="OSB202" s="885"/>
      <c r="OSC202" s="885"/>
      <c r="OSD202" s="885"/>
      <c r="OSE202" s="885"/>
      <c r="OSF202" s="885"/>
      <c r="OSG202" s="885"/>
      <c r="OSH202" s="885"/>
      <c r="OSI202" s="885"/>
      <c r="OSJ202" s="885"/>
      <c r="OSK202" s="885"/>
      <c r="OSL202" s="885"/>
      <c r="OSM202" s="885"/>
      <c r="OSN202" s="885"/>
      <c r="OSO202" s="885"/>
      <c r="OSP202" s="885"/>
      <c r="OSQ202" s="885"/>
      <c r="OSR202" s="885"/>
      <c r="OSS202" s="885"/>
      <c r="OST202" s="885"/>
      <c r="OSU202" s="885"/>
      <c r="OSV202" s="885"/>
      <c r="OSW202" s="885"/>
      <c r="OSX202" s="885"/>
      <c r="OSY202" s="885"/>
      <c r="OSZ202" s="885"/>
      <c r="OTA202" s="885"/>
      <c r="OTB202" s="885"/>
      <c r="OTC202" s="885"/>
      <c r="OTD202" s="885"/>
      <c r="OTE202" s="885"/>
      <c r="OTF202" s="885"/>
      <c r="OTG202" s="885"/>
      <c r="OTH202" s="885"/>
      <c r="OTI202" s="885"/>
      <c r="OTJ202" s="885"/>
      <c r="OTK202" s="885"/>
      <c r="OTL202" s="885"/>
      <c r="OTM202" s="885"/>
      <c r="OTN202" s="885"/>
      <c r="OTO202" s="885"/>
      <c r="OTP202" s="885"/>
      <c r="OTQ202" s="885"/>
      <c r="OTR202" s="885"/>
      <c r="OTS202" s="885"/>
      <c r="OTT202" s="885"/>
      <c r="OTU202" s="885"/>
      <c r="OTV202" s="885"/>
      <c r="OTW202" s="885"/>
      <c r="OTX202" s="885"/>
      <c r="OTY202" s="885"/>
      <c r="OTZ202" s="885"/>
      <c r="OUA202" s="885"/>
      <c r="OUB202" s="885"/>
      <c r="OUC202" s="885"/>
      <c r="OUD202" s="885"/>
      <c r="OUE202" s="885"/>
      <c r="OUF202" s="885"/>
      <c r="OUG202" s="885"/>
      <c r="OUH202" s="885"/>
      <c r="OUI202" s="885"/>
      <c r="OUJ202" s="885"/>
      <c r="OUK202" s="885"/>
      <c r="OUL202" s="885"/>
      <c r="OUM202" s="885"/>
      <c r="OUN202" s="885"/>
      <c r="OUO202" s="885"/>
      <c r="OUP202" s="885"/>
      <c r="OUQ202" s="885"/>
      <c r="OUR202" s="885"/>
      <c r="OUS202" s="885"/>
      <c r="OUT202" s="885"/>
      <c r="OUU202" s="885"/>
      <c r="OUV202" s="885"/>
      <c r="OUW202" s="885"/>
      <c r="OUX202" s="885"/>
      <c r="OUY202" s="885"/>
      <c r="OUZ202" s="885"/>
      <c r="OVA202" s="885"/>
      <c r="OVB202" s="885"/>
      <c r="OVC202" s="885"/>
      <c r="OVD202" s="885"/>
      <c r="OVE202" s="885"/>
      <c r="OVF202" s="885"/>
      <c r="OVG202" s="885"/>
      <c r="OVH202" s="885"/>
      <c r="OVI202" s="885"/>
      <c r="OVJ202" s="885"/>
      <c r="OVK202" s="885"/>
      <c r="OVL202" s="885"/>
      <c r="OVM202" s="885"/>
      <c r="OVN202" s="885"/>
      <c r="OVO202" s="885"/>
      <c r="OVP202" s="885"/>
      <c r="OVQ202" s="885"/>
      <c r="OVR202" s="885"/>
      <c r="OVS202" s="885"/>
      <c r="OVT202" s="885"/>
      <c r="OVU202" s="885"/>
      <c r="OVV202" s="885"/>
      <c r="OVW202" s="885"/>
      <c r="OVX202" s="885"/>
      <c r="OVY202" s="885"/>
      <c r="OVZ202" s="885"/>
      <c r="OWA202" s="885"/>
      <c r="OWB202" s="885"/>
      <c r="OWC202" s="885"/>
      <c r="OWD202" s="885"/>
      <c r="OWE202" s="885"/>
      <c r="OWF202" s="885"/>
      <c r="OWG202" s="885"/>
      <c r="OWH202" s="885"/>
      <c r="OWI202" s="885"/>
      <c r="OWJ202" s="885"/>
      <c r="OWK202" s="885"/>
      <c r="OWL202" s="885"/>
      <c r="OWM202" s="885"/>
      <c r="OWN202" s="885"/>
      <c r="OWO202" s="885"/>
      <c r="OWP202" s="885"/>
      <c r="OWQ202" s="885"/>
      <c r="OWR202" s="885"/>
      <c r="OWS202" s="885"/>
      <c r="OWT202" s="885"/>
      <c r="OWU202" s="885"/>
      <c r="OWV202" s="885"/>
      <c r="OWW202" s="885"/>
      <c r="OWX202" s="885"/>
      <c r="OWY202" s="885"/>
      <c r="OWZ202" s="885"/>
      <c r="OXA202" s="885"/>
      <c r="OXB202" s="885"/>
      <c r="OXC202" s="885"/>
      <c r="OXD202" s="885"/>
      <c r="OXE202" s="885"/>
      <c r="OXF202" s="885"/>
      <c r="OXG202" s="885"/>
      <c r="OXH202" s="885"/>
      <c r="OXI202" s="885"/>
      <c r="OXJ202" s="885"/>
      <c r="OXK202" s="885"/>
      <c r="OXL202" s="885"/>
      <c r="OXM202" s="885"/>
      <c r="OXN202" s="885"/>
      <c r="OXO202" s="885"/>
      <c r="OXP202" s="885"/>
      <c r="OXQ202" s="885"/>
      <c r="OXR202" s="885"/>
      <c r="OXS202" s="885"/>
      <c r="OXT202" s="885"/>
      <c r="OXU202" s="885"/>
      <c r="OXV202" s="885"/>
      <c r="OXW202" s="885"/>
      <c r="OXX202" s="885"/>
      <c r="OXY202" s="885"/>
      <c r="OXZ202" s="885"/>
      <c r="OYA202" s="885"/>
      <c r="OYB202" s="885"/>
      <c r="OYC202" s="885"/>
      <c r="OYD202" s="885"/>
      <c r="OYE202" s="885"/>
      <c r="OYF202" s="885"/>
      <c r="OYG202" s="885"/>
      <c r="OYH202" s="885"/>
      <c r="OYI202" s="885"/>
      <c r="OYJ202" s="885"/>
      <c r="OYK202" s="885"/>
      <c r="OYL202" s="885"/>
      <c r="OYM202" s="885"/>
      <c r="OYN202" s="885"/>
      <c r="OYO202" s="885"/>
      <c r="OYP202" s="885"/>
      <c r="OYQ202" s="885"/>
      <c r="OYR202" s="885"/>
      <c r="OYS202" s="885"/>
      <c r="OYT202" s="885"/>
      <c r="OYU202" s="885"/>
      <c r="OYV202" s="885"/>
      <c r="OYW202" s="885"/>
      <c r="OYX202" s="885"/>
      <c r="OYY202" s="885"/>
      <c r="OYZ202" s="885"/>
      <c r="OZA202" s="885"/>
      <c r="OZB202" s="885"/>
      <c r="OZC202" s="885"/>
      <c r="OZD202" s="885"/>
      <c r="OZE202" s="885"/>
      <c r="OZF202" s="885"/>
      <c r="OZG202" s="885"/>
      <c r="OZH202" s="885"/>
      <c r="OZI202" s="885"/>
      <c r="OZJ202" s="885"/>
      <c r="OZK202" s="885"/>
      <c r="OZL202" s="885"/>
      <c r="OZM202" s="885"/>
      <c r="OZN202" s="885"/>
      <c r="OZO202" s="885"/>
      <c r="OZP202" s="885"/>
      <c r="OZQ202" s="885"/>
      <c r="OZR202" s="885"/>
      <c r="OZS202" s="885"/>
      <c r="OZT202" s="885"/>
      <c r="OZU202" s="885"/>
      <c r="OZV202" s="885"/>
      <c r="OZW202" s="885"/>
      <c r="OZX202" s="885"/>
      <c r="OZY202" s="885"/>
      <c r="OZZ202" s="885"/>
      <c r="PAA202" s="885"/>
      <c r="PAB202" s="885"/>
      <c r="PAC202" s="885"/>
      <c r="PAD202" s="885"/>
      <c r="PAE202" s="885"/>
      <c r="PAF202" s="885"/>
      <c r="PAG202" s="885"/>
      <c r="PAH202" s="885"/>
      <c r="PAI202" s="885"/>
      <c r="PAJ202" s="885"/>
      <c r="PAK202" s="885"/>
      <c r="PAL202" s="885"/>
      <c r="PAM202" s="885"/>
      <c r="PAN202" s="885"/>
      <c r="PAO202" s="885"/>
      <c r="PAP202" s="885"/>
      <c r="PAQ202" s="885"/>
      <c r="PAR202" s="885"/>
      <c r="PAS202" s="885"/>
      <c r="PAT202" s="885"/>
      <c r="PAU202" s="885"/>
      <c r="PAV202" s="885"/>
      <c r="PAW202" s="885"/>
      <c r="PAX202" s="885"/>
      <c r="PAY202" s="885"/>
      <c r="PAZ202" s="885"/>
      <c r="PBA202" s="885"/>
      <c r="PBB202" s="885"/>
      <c r="PBC202" s="885"/>
      <c r="PBD202" s="885"/>
      <c r="PBE202" s="885"/>
      <c r="PBF202" s="885"/>
      <c r="PBG202" s="885"/>
      <c r="PBH202" s="885"/>
      <c r="PBI202" s="885"/>
      <c r="PBJ202" s="885"/>
      <c r="PBK202" s="885"/>
      <c r="PBL202" s="885"/>
      <c r="PBM202" s="885"/>
      <c r="PBN202" s="885"/>
      <c r="PBO202" s="885"/>
      <c r="PBP202" s="885"/>
      <c r="PBQ202" s="885"/>
      <c r="PBR202" s="885"/>
      <c r="PBS202" s="885"/>
      <c r="PBT202" s="885"/>
      <c r="PBU202" s="885"/>
      <c r="PBV202" s="885"/>
      <c r="PBW202" s="885"/>
      <c r="PBX202" s="885"/>
      <c r="PBY202" s="885"/>
      <c r="PBZ202" s="885"/>
      <c r="PCA202" s="885"/>
      <c r="PCB202" s="885"/>
      <c r="PCC202" s="885"/>
      <c r="PCD202" s="885"/>
      <c r="PCE202" s="885"/>
      <c r="PCF202" s="885"/>
      <c r="PCG202" s="885"/>
      <c r="PCH202" s="885"/>
      <c r="PCI202" s="885"/>
      <c r="PCJ202" s="885"/>
      <c r="PCK202" s="885"/>
      <c r="PCL202" s="885"/>
      <c r="PCM202" s="885"/>
      <c r="PCN202" s="885"/>
      <c r="PCO202" s="885"/>
      <c r="PCP202" s="885"/>
      <c r="PCQ202" s="885"/>
      <c r="PCR202" s="885"/>
      <c r="PCS202" s="885"/>
      <c r="PCT202" s="885"/>
      <c r="PCU202" s="885"/>
      <c r="PCV202" s="885"/>
      <c r="PCW202" s="885"/>
      <c r="PCX202" s="885"/>
      <c r="PCY202" s="885"/>
      <c r="PCZ202" s="885"/>
      <c r="PDA202" s="885"/>
      <c r="PDB202" s="885"/>
      <c r="PDC202" s="885"/>
      <c r="PDD202" s="885"/>
      <c r="PDE202" s="885"/>
      <c r="PDF202" s="885"/>
      <c r="PDG202" s="885"/>
      <c r="PDH202" s="885"/>
      <c r="PDI202" s="885"/>
      <c r="PDJ202" s="885"/>
      <c r="PDK202" s="885"/>
      <c r="PDL202" s="885"/>
      <c r="PDM202" s="885"/>
      <c r="PDN202" s="885"/>
      <c r="PDO202" s="885"/>
      <c r="PDP202" s="885"/>
      <c r="PDQ202" s="885"/>
      <c r="PDR202" s="885"/>
      <c r="PDS202" s="885"/>
      <c r="PDT202" s="885"/>
      <c r="PDU202" s="885"/>
      <c r="PDV202" s="885"/>
      <c r="PDW202" s="885"/>
      <c r="PDX202" s="885"/>
      <c r="PDY202" s="885"/>
      <c r="PDZ202" s="885"/>
      <c r="PEA202" s="885"/>
      <c r="PEB202" s="885"/>
      <c r="PEC202" s="885"/>
      <c r="PED202" s="885"/>
      <c r="PEE202" s="885"/>
      <c r="PEF202" s="885"/>
      <c r="PEG202" s="885"/>
      <c r="PEH202" s="885"/>
      <c r="PEI202" s="885"/>
      <c r="PEJ202" s="885"/>
      <c r="PEK202" s="885"/>
      <c r="PEL202" s="885"/>
      <c r="PEM202" s="885"/>
      <c r="PEN202" s="885"/>
      <c r="PEO202" s="885"/>
      <c r="PEP202" s="885"/>
      <c r="PEQ202" s="885"/>
      <c r="PER202" s="885"/>
      <c r="PES202" s="885"/>
      <c r="PET202" s="885"/>
      <c r="PEU202" s="885"/>
      <c r="PEV202" s="885"/>
      <c r="PEW202" s="885"/>
      <c r="PEX202" s="885"/>
      <c r="PEY202" s="885"/>
      <c r="PEZ202" s="885"/>
      <c r="PFA202" s="885"/>
      <c r="PFB202" s="885"/>
      <c r="PFC202" s="885"/>
      <c r="PFD202" s="885"/>
      <c r="PFE202" s="885"/>
      <c r="PFF202" s="885"/>
      <c r="PFG202" s="885"/>
      <c r="PFH202" s="885"/>
      <c r="PFI202" s="885"/>
      <c r="PFJ202" s="885"/>
      <c r="PFK202" s="885"/>
      <c r="PFL202" s="885"/>
      <c r="PFM202" s="885"/>
      <c r="PFN202" s="885"/>
      <c r="PFO202" s="885"/>
      <c r="PFP202" s="885"/>
      <c r="PFQ202" s="885"/>
      <c r="PFR202" s="885"/>
      <c r="PFS202" s="885"/>
      <c r="PFT202" s="885"/>
      <c r="PFU202" s="885"/>
      <c r="PFV202" s="885"/>
      <c r="PFW202" s="885"/>
      <c r="PFX202" s="885"/>
      <c r="PFY202" s="885"/>
      <c r="PFZ202" s="885"/>
      <c r="PGA202" s="885"/>
      <c r="PGB202" s="885"/>
      <c r="PGC202" s="885"/>
      <c r="PGD202" s="885"/>
      <c r="PGE202" s="885"/>
      <c r="PGF202" s="885"/>
      <c r="PGG202" s="885"/>
      <c r="PGH202" s="885"/>
      <c r="PGI202" s="885"/>
      <c r="PGJ202" s="885"/>
      <c r="PGK202" s="885"/>
      <c r="PGL202" s="885"/>
      <c r="PGM202" s="885"/>
      <c r="PGN202" s="885"/>
      <c r="PGO202" s="885"/>
      <c r="PGP202" s="885"/>
      <c r="PGQ202" s="885"/>
      <c r="PGR202" s="885"/>
      <c r="PGS202" s="885"/>
      <c r="PGT202" s="885"/>
      <c r="PGU202" s="885"/>
      <c r="PGV202" s="885"/>
      <c r="PGW202" s="885"/>
      <c r="PGX202" s="885"/>
      <c r="PGY202" s="885"/>
      <c r="PGZ202" s="885"/>
      <c r="PHA202" s="885"/>
      <c r="PHB202" s="885"/>
      <c r="PHC202" s="885"/>
      <c r="PHD202" s="885"/>
      <c r="PHE202" s="885"/>
      <c r="PHF202" s="885"/>
      <c r="PHG202" s="885"/>
      <c r="PHH202" s="885"/>
      <c r="PHI202" s="885"/>
      <c r="PHJ202" s="885"/>
      <c r="PHK202" s="885"/>
      <c r="PHL202" s="885"/>
      <c r="PHM202" s="885"/>
      <c r="PHN202" s="885"/>
      <c r="PHO202" s="885"/>
      <c r="PHP202" s="885"/>
      <c r="PHQ202" s="885"/>
      <c r="PHR202" s="885"/>
      <c r="PHS202" s="885"/>
      <c r="PHT202" s="885"/>
      <c r="PHU202" s="885"/>
      <c r="PHV202" s="885"/>
      <c r="PHW202" s="885"/>
      <c r="PHX202" s="885"/>
      <c r="PHY202" s="885"/>
      <c r="PHZ202" s="885"/>
      <c r="PIA202" s="885"/>
      <c r="PIB202" s="885"/>
      <c r="PIC202" s="885"/>
      <c r="PID202" s="885"/>
      <c r="PIE202" s="885"/>
      <c r="PIF202" s="885"/>
      <c r="PIG202" s="885"/>
      <c r="PIH202" s="885"/>
      <c r="PII202" s="885"/>
      <c r="PIJ202" s="885"/>
      <c r="PIK202" s="885"/>
      <c r="PIL202" s="885"/>
      <c r="PIM202" s="885"/>
      <c r="PIN202" s="885"/>
      <c r="PIO202" s="885"/>
      <c r="PIP202" s="885"/>
      <c r="PIQ202" s="885"/>
      <c r="PIR202" s="885"/>
      <c r="PIS202" s="885"/>
      <c r="PIT202" s="885"/>
      <c r="PIU202" s="885"/>
      <c r="PIV202" s="885"/>
      <c r="PIW202" s="885"/>
      <c r="PIX202" s="885"/>
      <c r="PIY202" s="885"/>
      <c r="PIZ202" s="885"/>
      <c r="PJA202" s="885"/>
      <c r="PJB202" s="885"/>
      <c r="PJC202" s="885"/>
      <c r="PJD202" s="885"/>
      <c r="PJE202" s="885"/>
      <c r="PJF202" s="885"/>
      <c r="PJG202" s="885"/>
      <c r="PJH202" s="885"/>
      <c r="PJI202" s="885"/>
      <c r="PJJ202" s="885"/>
      <c r="PJK202" s="885"/>
      <c r="PJL202" s="885"/>
      <c r="PJM202" s="885"/>
      <c r="PJN202" s="885"/>
      <c r="PJO202" s="885"/>
      <c r="PJP202" s="885"/>
      <c r="PJQ202" s="885"/>
      <c r="PJR202" s="885"/>
      <c r="PJS202" s="885"/>
      <c r="PJT202" s="885"/>
      <c r="PJU202" s="885"/>
      <c r="PJV202" s="885"/>
      <c r="PJW202" s="885"/>
      <c r="PJX202" s="885"/>
      <c r="PJY202" s="885"/>
      <c r="PJZ202" s="885"/>
      <c r="PKA202" s="885"/>
      <c r="PKB202" s="885"/>
      <c r="PKC202" s="885"/>
      <c r="PKD202" s="885"/>
      <c r="PKE202" s="885"/>
      <c r="PKF202" s="885"/>
      <c r="PKG202" s="885"/>
      <c r="PKH202" s="885"/>
      <c r="PKI202" s="885"/>
      <c r="PKJ202" s="885"/>
      <c r="PKK202" s="885"/>
      <c r="PKL202" s="885"/>
      <c r="PKM202" s="885"/>
      <c r="PKN202" s="885"/>
      <c r="PKO202" s="885"/>
      <c r="PKP202" s="885"/>
      <c r="PKQ202" s="885"/>
      <c r="PKR202" s="885"/>
      <c r="PKS202" s="885"/>
      <c r="PKT202" s="885"/>
      <c r="PKU202" s="885"/>
      <c r="PKV202" s="885"/>
      <c r="PKW202" s="885"/>
      <c r="PKX202" s="885"/>
      <c r="PKY202" s="885"/>
      <c r="PKZ202" s="885"/>
      <c r="PLA202" s="885"/>
      <c r="PLB202" s="885"/>
      <c r="PLC202" s="885"/>
      <c r="PLD202" s="885"/>
      <c r="PLE202" s="885"/>
      <c r="PLF202" s="885"/>
      <c r="PLG202" s="885"/>
      <c r="PLH202" s="885"/>
      <c r="PLI202" s="885"/>
      <c r="PLJ202" s="885"/>
      <c r="PLK202" s="885"/>
      <c r="PLL202" s="885"/>
      <c r="PLM202" s="885"/>
      <c r="PLN202" s="885"/>
      <c r="PLO202" s="885"/>
      <c r="PLP202" s="885"/>
      <c r="PLQ202" s="885"/>
      <c r="PLR202" s="885"/>
      <c r="PLS202" s="885"/>
      <c r="PLT202" s="885"/>
      <c r="PLU202" s="885"/>
      <c r="PLV202" s="885"/>
      <c r="PLW202" s="885"/>
      <c r="PLX202" s="885"/>
      <c r="PLY202" s="885"/>
      <c r="PLZ202" s="885"/>
      <c r="PMA202" s="885"/>
      <c r="PMB202" s="885"/>
      <c r="PMC202" s="885"/>
      <c r="PMD202" s="885"/>
      <c r="PME202" s="885"/>
      <c r="PMF202" s="885"/>
      <c r="PMG202" s="885"/>
      <c r="PMH202" s="885"/>
      <c r="PMI202" s="885"/>
      <c r="PMJ202" s="885"/>
      <c r="PMK202" s="885"/>
      <c r="PML202" s="885"/>
      <c r="PMM202" s="885"/>
      <c r="PMN202" s="885"/>
      <c r="PMO202" s="885"/>
      <c r="PMP202" s="885"/>
      <c r="PMQ202" s="885"/>
      <c r="PMR202" s="885"/>
      <c r="PMS202" s="885"/>
      <c r="PMT202" s="885"/>
      <c r="PMU202" s="885"/>
      <c r="PMV202" s="885"/>
      <c r="PMW202" s="885"/>
      <c r="PMX202" s="885"/>
      <c r="PMY202" s="885"/>
      <c r="PMZ202" s="885"/>
      <c r="PNA202" s="885"/>
      <c r="PNB202" s="885"/>
      <c r="PNC202" s="885"/>
      <c r="PND202" s="885"/>
      <c r="PNE202" s="885"/>
      <c r="PNF202" s="885"/>
      <c r="PNG202" s="885"/>
      <c r="PNH202" s="885"/>
      <c r="PNI202" s="885"/>
      <c r="PNJ202" s="885"/>
      <c r="PNK202" s="885"/>
      <c r="PNL202" s="885"/>
      <c r="PNM202" s="885"/>
      <c r="PNN202" s="885"/>
      <c r="PNO202" s="885"/>
      <c r="PNP202" s="885"/>
      <c r="PNQ202" s="885"/>
      <c r="PNR202" s="885"/>
      <c r="PNS202" s="885"/>
      <c r="PNT202" s="885"/>
      <c r="PNU202" s="885"/>
      <c r="PNV202" s="885"/>
      <c r="PNW202" s="885"/>
      <c r="PNX202" s="885"/>
      <c r="PNY202" s="885"/>
      <c r="PNZ202" s="885"/>
      <c r="POA202" s="885"/>
      <c r="POB202" s="885"/>
      <c r="POC202" s="885"/>
      <c r="POD202" s="885"/>
      <c r="POE202" s="885"/>
      <c r="POF202" s="885"/>
      <c r="POG202" s="885"/>
      <c r="POH202" s="885"/>
      <c r="POI202" s="885"/>
      <c r="POJ202" s="885"/>
      <c r="POK202" s="885"/>
      <c r="POL202" s="885"/>
      <c r="POM202" s="885"/>
      <c r="PON202" s="885"/>
      <c r="POO202" s="885"/>
      <c r="POP202" s="885"/>
      <c r="POQ202" s="885"/>
      <c r="POR202" s="885"/>
      <c r="POS202" s="885"/>
      <c r="POT202" s="885"/>
      <c r="POU202" s="885"/>
      <c r="POV202" s="885"/>
      <c r="POW202" s="885"/>
      <c r="POX202" s="885"/>
      <c r="POY202" s="885"/>
      <c r="POZ202" s="885"/>
      <c r="PPA202" s="885"/>
      <c r="PPB202" s="885"/>
      <c r="PPC202" s="885"/>
      <c r="PPD202" s="885"/>
      <c r="PPE202" s="885"/>
      <c r="PPF202" s="885"/>
      <c r="PPG202" s="885"/>
      <c r="PPH202" s="885"/>
      <c r="PPI202" s="885"/>
      <c r="PPJ202" s="885"/>
      <c r="PPK202" s="885"/>
      <c r="PPL202" s="885"/>
      <c r="PPM202" s="885"/>
      <c r="PPN202" s="885"/>
      <c r="PPO202" s="885"/>
      <c r="PPP202" s="885"/>
      <c r="PPQ202" s="885"/>
      <c r="PPR202" s="885"/>
      <c r="PPS202" s="885"/>
      <c r="PPT202" s="885"/>
      <c r="PPU202" s="885"/>
      <c r="PPV202" s="885"/>
      <c r="PPW202" s="885"/>
      <c r="PPX202" s="885"/>
      <c r="PPY202" s="885"/>
      <c r="PPZ202" s="885"/>
      <c r="PQA202" s="885"/>
      <c r="PQB202" s="885"/>
      <c r="PQC202" s="885"/>
      <c r="PQD202" s="885"/>
      <c r="PQE202" s="885"/>
      <c r="PQF202" s="885"/>
      <c r="PQG202" s="885"/>
      <c r="PQH202" s="885"/>
      <c r="PQI202" s="885"/>
      <c r="PQJ202" s="885"/>
      <c r="PQK202" s="885"/>
      <c r="PQL202" s="885"/>
      <c r="PQM202" s="885"/>
      <c r="PQN202" s="885"/>
      <c r="PQO202" s="885"/>
      <c r="PQP202" s="885"/>
      <c r="PQQ202" s="885"/>
      <c r="PQR202" s="885"/>
      <c r="PQS202" s="885"/>
      <c r="PQT202" s="885"/>
      <c r="PQU202" s="885"/>
      <c r="PQV202" s="885"/>
      <c r="PQW202" s="885"/>
      <c r="PQX202" s="885"/>
      <c r="PQY202" s="885"/>
      <c r="PQZ202" s="885"/>
      <c r="PRA202" s="885"/>
      <c r="PRB202" s="885"/>
      <c r="PRC202" s="885"/>
      <c r="PRD202" s="885"/>
      <c r="PRE202" s="885"/>
      <c r="PRF202" s="885"/>
      <c r="PRG202" s="885"/>
      <c r="PRH202" s="885"/>
      <c r="PRI202" s="885"/>
      <c r="PRJ202" s="885"/>
      <c r="PRK202" s="885"/>
      <c r="PRL202" s="885"/>
      <c r="PRM202" s="885"/>
      <c r="PRN202" s="885"/>
      <c r="PRO202" s="885"/>
      <c r="PRP202" s="885"/>
      <c r="PRQ202" s="885"/>
      <c r="PRR202" s="885"/>
      <c r="PRS202" s="885"/>
      <c r="PRT202" s="885"/>
      <c r="PRU202" s="885"/>
      <c r="PRV202" s="885"/>
      <c r="PRW202" s="885"/>
      <c r="PRX202" s="885"/>
      <c r="PRY202" s="885"/>
      <c r="PRZ202" s="885"/>
      <c r="PSA202" s="885"/>
      <c r="PSB202" s="885"/>
      <c r="PSC202" s="885"/>
      <c r="PSD202" s="885"/>
      <c r="PSE202" s="885"/>
      <c r="PSF202" s="885"/>
      <c r="PSG202" s="885"/>
      <c r="PSH202" s="885"/>
      <c r="PSI202" s="885"/>
      <c r="PSJ202" s="885"/>
      <c r="PSK202" s="885"/>
      <c r="PSL202" s="885"/>
      <c r="PSM202" s="885"/>
      <c r="PSN202" s="885"/>
      <c r="PSO202" s="885"/>
      <c r="PSP202" s="885"/>
      <c r="PSQ202" s="885"/>
      <c r="PSR202" s="885"/>
      <c r="PSS202" s="885"/>
      <c r="PST202" s="885"/>
      <c r="PSU202" s="885"/>
      <c r="PSV202" s="885"/>
      <c r="PSW202" s="885"/>
      <c r="PSX202" s="885"/>
      <c r="PSY202" s="885"/>
      <c r="PSZ202" s="885"/>
      <c r="PTA202" s="885"/>
      <c r="PTB202" s="885"/>
      <c r="PTC202" s="885"/>
      <c r="PTD202" s="885"/>
      <c r="PTE202" s="885"/>
      <c r="PTF202" s="885"/>
      <c r="PTG202" s="885"/>
      <c r="PTH202" s="885"/>
      <c r="PTI202" s="885"/>
      <c r="PTJ202" s="885"/>
      <c r="PTK202" s="885"/>
      <c r="PTL202" s="885"/>
      <c r="PTM202" s="885"/>
      <c r="PTN202" s="885"/>
      <c r="PTO202" s="885"/>
      <c r="PTP202" s="885"/>
      <c r="PTQ202" s="885"/>
      <c r="PTR202" s="885"/>
      <c r="PTS202" s="885"/>
      <c r="PTT202" s="885"/>
      <c r="PTU202" s="885"/>
      <c r="PTV202" s="885"/>
      <c r="PTW202" s="885"/>
      <c r="PTX202" s="885"/>
      <c r="PTY202" s="885"/>
      <c r="PTZ202" s="885"/>
      <c r="PUA202" s="885"/>
      <c r="PUB202" s="885"/>
      <c r="PUC202" s="885"/>
      <c r="PUD202" s="885"/>
      <c r="PUE202" s="885"/>
      <c r="PUF202" s="885"/>
      <c r="PUG202" s="885"/>
      <c r="PUH202" s="885"/>
      <c r="PUI202" s="885"/>
      <c r="PUJ202" s="885"/>
      <c r="PUK202" s="885"/>
      <c r="PUL202" s="885"/>
      <c r="PUM202" s="885"/>
      <c r="PUN202" s="885"/>
      <c r="PUO202" s="885"/>
      <c r="PUP202" s="885"/>
      <c r="PUQ202" s="885"/>
      <c r="PUR202" s="885"/>
      <c r="PUS202" s="885"/>
      <c r="PUT202" s="885"/>
      <c r="PUU202" s="885"/>
      <c r="PUV202" s="885"/>
      <c r="PUW202" s="885"/>
      <c r="PUX202" s="885"/>
      <c r="PUY202" s="885"/>
      <c r="PUZ202" s="885"/>
      <c r="PVA202" s="885"/>
      <c r="PVB202" s="885"/>
      <c r="PVC202" s="885"/>
      <c r="PVD202" s="885"/>
      <c r="PVE202" s="885"/>
      <c r="PVF202" s="885"/>
      <c r="PVG202" s="885"/>
      <c r="PVH202" s="885"/>
      <c r="PVI202" s="885"/>
      <c r="PVJ202" s="885"/>
      <c r="PVK202" s="885"/>
      <c r="PVL202" s="885"/>
      <c r="PVM202" s="885"/>
      <c r="PVN202" s="885"/>
      <c r="PVO202" s="885"/>
      <c r="PVP202" s="885"/>
      <c r="PVQ202" s="885"/>
      <c r="PVR202" s="885"/>
      <c r="PVS202" s="885"/>
      <c r="PVT202" s="885"/>
      <c r="PVU202" s="885"/>
      <c r="PVV202" s="885"/>
      <c r="PVW202" s="885"/>
      <c r="PVX202" s="885"/>
      <c r="PVY202" s="885"/>
      <c r="PVZ202" s="885"/>
      <c r="PWA202" s="885"/>
      <c r="PWB202" s="885"/>
      <c r="PWC202" s="885"/>
      <c r="PWD202" s="885"/>
      <c r="PWE202" s="885"/>
      <c r="PWF202" s="885"/>
      <c r="PWG202" s="885"/>
      <c r="PWH202" s="885"/>
      <c r="PWI202" s="885"/>
      <c r="PWJ202" s="885"/>
      <c r="PWK202" s="885"/>
      <c r="PWL202" s="885"/>
      <c r="PWM202" s="885"/>
      <c r="PWN202" s="885"/>
      <c r="PWO202" s="885"/>
      <c r="PWP202" s="885"/>
      <c r="PWQ202" s="885"/>
      <c r="PWR202" s="885"/>
      <c r="PWS202" s="885"/>
      <c r="PWT202" s="885"/>
      <c r="PWU202" s="885"/>
      <c r="PWV202" s="885"/>
      <c r="PWW202" s="885"/>
      <c r="PWX202" s="885"/>
      <c r="PWY202" s="885"/>
      <c r="PWZ202" s="885"/>
      <c r="PXA202" s="885"/>
      <c r="PXB202" s="885"/>
      <c r="PXC202" s="885"/>
      <c r="PXD202" s="885"/>
      <c r="PXE202" s="885"/>
      <c r="PXF202" s="885"/>
      <c r="PXG202" s="885"/>
      <c r="PXH202" s="885"/>
      <c r="PXI202" s="885"/>
      <c r="PXJ202" s="885"/>
      <c r="PXK202" s="885"/>
      <c r="PXL202" s="885"/>
      <c r="PXM202" s="885"/>
      <c r="PXN202" s="885"/>
      <c r="PXO202" s="885"/>
      <c r="PXP202" s="885"/>
      <c r="PXQ202" s="885"/>
      <c r="PXR202" s="885"/>
      <c r="PXS202" s="885"/>
      <c r="PXT202" s="885"/>
      <c r="PXU202" s="885"/>
      <c r="PXV202" s="885"/>
      <c r="PXW202" s="885"/>
      <c r="PXX202" s="885"/>
      <c r="PXY202" s="885"/>
      <c r="PXZ202" s="885"/>
      <c r="PYA202" s="885"/>
      <c r="PYB202" s="885"/>
      <c r="PYC202" s="885"/>
      <c r="PYD202" s="885"/>
      <c r="PYE202" s="885"/>
      <c r="PYF202" s="885"/>
      <c r="PYG202" s="885"/>
      <c r="PYH202" s="885"/>
      <c r="PYI202" s="885"/>
      <c r="PYJ202" s="885"/>
      <c r="PYK202" s="885"/>
      <c r="PYL202" s="885"/>
      <c r="PYM202" s="885"/>
      <c r="PYN202" s="885"/>
      <c r="PYO202" s="885"/>
      <c r="PYP202" s="885"/>
      <c r="PYQ202" s="885"/>
      <c r="PYR202" s="885"/>
      <c r="PYS202" s="885"/>
      <c r="PYT202" s="885"/>
      <c r="PYU202" s="885"/>
      <c r="PYV202" s="885"/>
      <c r="PYW202" s="885"/>
      <c r="PYX202" s="885"/>
      <c r="PYY202" s="885"/>
      <c r="PYZ202" s="885"/>
      <c r="PZA202" s="885"/>
      <c r="PZB202" s="885"/>
      <c r="PZC202" s="885"/>
      <c r="PZD202" s="885"/>
      <c r="PZE202" s="885"/>
      <c r="PZF202" s="885"/>
      <c r="PZG202" s="885"/>
      <c r="PZH202" s="885"/>
      <c r="PZI202" s="885"/>
      <c r="PZJ202" s="885"/>
      <c r="PZK202" s="885"/>
      <c r="PZL202" s="885"/>
      <c r="PZM202" s="885"/>
      <c r="PZN202" s="885"/>
      <c r="PZO202" s="885"/>
      <c r="PZP202" s="885"/>
      <c r="PZQ202" s="885"/>
      <c r="PZR202" s="885"/>
      <c r="PZS202" s="885"/>
      <c r="PZT202" s="885"/>
      <c r="PZU202" s="885"/>
      <c r="PZV202" s="885"/>
      <c r="PZW202" s="885"/>
      <c r="PZX202" s="885"/>
      <c r="PZY202" s="885"/>
      <c r="PZZ202" s="885"/>
      <c r="QAA202" s="885"/>
      <c r="QAB202" s="885"/>
      <c r="QAC202" s="885"/>
      <c r="QAD202" s="885"/>
      <c r="QAE202" s="885"/>
      <c r="QAF202" s="885"/>
      <c r="QAG202" s="885"/>
      <c r="QAH202" s="885"/>
      <c r="QAI202" s="885"/>
      <c r="QAJ202" s="885"/>
      <c r="QAK202" s="885"/>
      <c r="QAL202" s="885"/>
      <c r="QAM202" s="885"/>
      <c r="QAN202" s="885"/>
      <c r="QAO202" s="885"/>
      <c r="QAP202" s="885"/>
      <c r="QAQ202" s="885"/>
      <c r="QAR202" s="885"/>
      <c r="QAS202" s="885"/>
      <c r="QAT202" s="885"/>
      <c r="QAU202" s="885"/>
      <c r="QAV202" s="885"/>
      <c r="QAW202" s="885"/>
      <c r="QAX202" s="885"/>
      <c r="QAY202" s="885"/>
      <c r="QAZ202" s="885"/>
      <c r="QBA202" s="885"/>
      <c r="QBB202" s="885"/>
      <c r="QBC202" s="885"/>
      <c r="QBD202" s="885"/>
      <c r="QBE202" s="885"/>
      <c r="QBF202" s="885"/>
      <c r="QBG202" s="885"/>
      <c r="QBH202" s="885"/>
      <c r="QBI202" s="885"/>
      <c r="QBJ202" s="885"/>
      <c r="QBK202" s="885"/>
      <c r="QBL202" s="885"/>
      <c r="QBM202" s="885"/>
      <c r="QBN202" s="885"/>
      <c r="QBO202" s="885"/>
      <c r="QBP202" s="885"/>
      <c r="QBQ202" s="885"/>
      <c r="QBR202" s="885"/>
      <c r="QBS202" s="885"/>
      <c r="QBT202" s="885"/>
      <c r="QBU202" s="885"/>
      <c r="QBV202" s="885"/>
      <c r="QBW202" s="885"/>
      <c r="QBX202" s="885"/>
      <c r="QBY202" s="885"/>
      <c r="QBZ202" s="885"/>
      <c r="QCA202" s="885"/>
      <c r="QCB202" s="885"/>
      <c r="QCC202" s="885"/>
      <c r="QCD202" s="885"/>
      <c r="QCE202" s="885"/>
      <c r="QCF202" s="885"/>
      <c r="QCG202" s="885"/>
      <c r="QCH202" s="885"/>
      <c r="QCI202" s="885"/>
      <c r="QCJ202" s="885"/>
      <c r="QCK202" s="885"/>
      <c r="QCL202" s="885"/>
      <c r="QCM202" s="885"/>
      <c r="QCN202" s="885"/>
      <c r="QCO202" s="885"/>
      <c r="QCP202" s="885"/>
      <c r="QCQ202" s="885"/>
      <c r="QCR202" s="885"/>
      <c r="QCS202" s="885"/>
      <c r="QCT202" s="885"/>
      <c r="QCU202" s="885"/>
      <c r="QCV202" s="885"/>
      <c r="QCW202" s="885"/>
      <c r="QCX202" s="885"/>
      <c r="QCY202" s="885"/>
      <c r="QCZ202" s="885"/>
      <c r="QDA202" s="885"/>
      <c r="QDB202" s="885"/>
      <c r="QDC202" s="885"/>
      <c r="QDD202" s="885"/>
      <c r="QDE202" s="885"/>
      <c r="QDF202" s="885"/>
      <c r="QDG202" s="885"/>
      <c r="QDH202" s="885"/>
      <c r="QDI202" s="885"/>
      <c r="QDJ202" s="885"/>
      <c r="QDK202" s="885"/>
      <c r="QDL202" s="885"/>
      <c r="QDM202" s="885"/>
      <c r="QDN202" s="885"/>
      <c r="QDO202" s="885"/>
      <c r="QDP202" s="885"/>
      <c r="QDQ202" s="885"/>
      <c r="QDR202" s="885"/>
      <c r="QDS202" s="885"/>
      <c r="QDT202" s="885"/>
      <c r="QDU202" s="885"/>
      <c r="QDV202" s="885"/>
      <c r="QDW202" s="885"/>
      <c r="QDX202" s="885"/>
      <c r="QDY202" s="885"/>
      <c r="QDZ202" s="885"/>
      <c r="QEA202" s="885"/>
      <c r="QEB202" s="885"/>
      <c r="QEC202" s="885"/>
      <c r="QED202" s="885"/>
      <c r="QEE202" s="885"/>
      <c r="QEF202" s="885"/>
      <c r="QEG202" s="885"/>
      <c r="QEH202" s="885"/>
      <c r="QEI202" s="885"/>
      <c r="QEJ202" s="885"/>
      <c r="QEK202" s="885"/>
      <c r="QEL202" s="885"/>
      <c r="QEM202" s="885"/>
      <c r="QEN202" s="885"/>
      <c r="QEO202" s="885"/>
      <c r="QEP202" s="885"/>
      <c r="QEQ202" s="885"/>
      <c r="QER202" s="885"/>
      <c r="QES202" s="885"/>
      <c r="QET202" s="885"/>
      <c r="QEU202" s="885"/>
      <c r="QEV202" s="885"/>
      <c r="QEW202" s="885"/>
      <c r="QEX202" s="885"/>
      <c r="QEY202" s="885"/>
      <c r="QEZ202" s="885"/>
      <c r="QFA202" s="885"/>
      <c r="QFB202" s="885"/>
      <c r="QFC202" s="885"/>
      <c r="QFD202" s="885"/>
      <c r="QFE202" s="885"/>
      <c r="QFF202" s="885"/>
      <c r="QFG202" s="885"/>
      <c r="QFH202" s="885"/>
      <c r="QFI202" s="885"/>
      <c r="QFJ202" s="885"/>
      <c r="QFK202" s="885"/>
      <c r="QFL202" s="885"/>
      <c r="QFM202" s="885"/>
      <c r="QFN202" s="885"/>
      <c r="QFO202" s="885"/>
      <c r="QFP202" s="885"/>
      <c r="QFQ202" s="885"/>
      <c r="QFR202" s="885"/>
      <c r="QFS202" s="885"/>
      <c r="QFT202" s="885"/>
      <c r="QFU202" s="885"/>
      <c r="QFV202" s="885"/>
      <c r="QFW202" s="885"/>
      <c r="QFX202" s="885"/>
      <c r="QFY202" s="885"/>
      <c r="QFZ202" s="885"/>
      <c r="QGA202" s="885"/>
      <c r="QGB202" s="885"/>
      <c r="QGC202" s="885"/>
      <c r="QGD202" s="885"/>
      <c r="QGE202" s="885"/>
      <c r="QGF202" s="885"/>
      <c r="QGG202" s="885"/>
      <c r="QGH202" s="885"/>
      <c r="QGI202" s="885"/>
      <c r="QGJ202" s="885"/>
      <c r="QGK202" s="885"/>
      <c r="QGL202" s="885"/>
      <c r="QGM202" s="885"/>
      <c r="QGN202" s="885"/>
      <c r="QGO202" s="885"/>
      <c r="QGP202" s="885"/>
      <c r="QGQ202" s="885"/>
      <c r="QGR202" s="885"/>
      <c r="QGS202" s="885"/>
      <c r="QGT202" s="885"/>
      <c r="QGU202" s="885"/>
      <c r="QGV202" s="885"/>
      <c r="QGW202" s="885"/>
      <c r="QGX202" s="885"/>
      <c r="QGY202" s="885"/>
      <c r="QGZ202" s="885"/>
      <c r="QHA202" s="885"/>
      <c r="QHB202" s="885"/>
      <c r="QHC202" s="885"/>
      <c r="QHD202" s="885"/>
      <c r="QHE202" s="885"/>
      <c r="QHF202" s="885"/>
      <c r="QHG202" s="885"/>
      <c r="QHH202" s="885"/>
      <c r="QHI202" s="885"/>
      <c r="QHJ202" s="885"/>
      <c r="QHK202" s="885"/>
      <c r="QHL202" s="885"/>
      <c r="QHM202" s="885"/>
      <c r="QHN202" s="885"/>
      <c r="QHO202" s="885"/>
      <c r="QHP202" s="885"/>
      <c r="QHQ202" s="885"/>
      <c r="QHR202" s="885"/>
      <c r="QHS202" s="885"/>
      <c r="QHT202" s="885"/>
      <c r="QHU202" s="885"/>
      <c r="QHV202" s="885"/>
      <c r="QHW202" s="885"/>
      <c r="QHX202" s="885"/>
      <c r="QHY202" s="885"/>
      <c r="QHZ202" s="885"/>
      <c r="QIA202" s="885"/>
      <c r="QIB202" s="885"/>
      <c r="QIC202" s="885"/>
      <c r="QID202" s="885"/>
      <c r="QIE202" s="885"/>
      <c r="QIF202" s="885"/>
      <c r="QIG202" s="885"/>
      <c r="QIH202" s="885"/>
      <c r="QII202" s="885"/>
      <c r="QIJ202" s="885"/>
      <c r="QIK202" s="885"/>
      <c r="QIL202" s="885"/>
      <c r="QIM202" s="885"/>
      <c r="QIN202" s="885"/>
      <c r="QIO202" s="885"/>
      <c r="QIP202" s="885"/>
      <c r="QIQ202" s="885"/>
      <c r="QIR202" s="885"/>
      <c r="QIS202" s="885"/>
      <c r="QIT202" s="885"/>
      <c r="QIU202" s="885"/>
      <c r="QIV202" s="885"/>
      <c r="QIW202" s="885"/>
      <c r="QIX202" s="885"/>
      <c r="QIY202" s="885"/>
      <c r="QIZ202" s="885"/>
      <c r="QJA202" s="885"/>
      <c r="QJB202" s="885"/>
      <c r="QJC202" s="885"/>
      <c r="QJD202" s="885"/>
      <c r="QJE202" s="885"/>
      <c r="QJF202" s="885"/>
      <c r="QJG202" s="885"/>
      <c r="QJH202" s="885"/>
      <c r="QJI202" s="885"/>
      <c r="QJJ202" s="885"/>
      <c r="QJK202" s="885"/>
      <c r="QJL202" s="885"/>
      <c r="QJM202" s="885"/>
      <c r="QJN202" s="885"/>
      <c r="QJO202" s="885"/>
      <c r="QJP202" s="885"/>
      <c r="QJQ202" s="885"/>
      <c r="QJR202" s="885"/>
      <c r="QJS202" s="885"/>
      <c r="QJT202" s="885"/>
      <c r="QJU202" s="885"/>
      <c r="QJV202" s="885"/>
      <c r="QJW202" s="885"/>
      <c r="QJX202" s="885"/>
      <c r="QJY202" s="885"/>
      <c r="QJZ202" s="885"/>
      <c r="QKA202" s="885"/>
      <c r="QKB202" s="885"/>
      <c r="QKC202" s="885"/>
      <c r="QKD202" s="885"/>
      <c r="QKE202" s="885"/>
      <c r="QKF202" s="885"/>
      <c r="QKG202" s="885"/>
      <c r="QKH202" s="885"/>
      <c r="QKI202" s="885"/>
      <c r="QKJ202" s="885"/>
      <c r="QKK202" s="885"/>
      <c r="QKL202" s="885"/>
      <c r="QKM202" s="885"/>
      <c r="QKN202" s="885"/>
      <c r="QKO202" s="885"/>
      <c r="QKP202" s="885"/>
      <c r="QKQ202" s="885"/>
      <c r="QKR202" s="885"/>
      <c r="QKS202" s="885"/>
      <c r="QKT202" s="885"/>
      <c r="QKU202" s="885"/>
      <c r="QKV202" s="885"/>
      <c r="QKW202" s="885"/>
      <c r="QKX202" s="885"/>
      <c r="QKY202" s="885"/>
      <c r="QKZ202" s="885"/>
      <c r="QLA202" s="885"/>
      <c r="QLB202" s="885"/>
      <c r="QLC202" s="885"/>
      <c r="QLD202" s="885"/>
      <c r="QLE202" s="885"/>
      <c r="QLF202" s="885"/>
      <c r="QLG202" s="885"/>
      <c r="QLH202" s="885"/>
      <c r="QLI202" s="885"/>
      <c r="QLJ202" s="885"/>
      <c r="QLK202" s="885"/>
      <c r="QLL202" s="885"/>
      <c r="QLM202" s="885"/>
      <c r="QLN202" s="885"/>
      <c r="QLO202" s="885"/>
      <c r="QLP202" s="885"/>
      <c r="QLQ202" s="885"/>
      <c r="QLR202" s="885"/>
      <c r="QLS202" s="885"/>
      <c r="QLT202" s="885"/>
      <c r="QLU202" s="885"/>
      <c r="QLV202" s="885"/>
      <c r="QLW202" s="885"/>
      <c r="QLX202" s="885"/>
      <c r="QLY202" s="885"/>
      <c r="QLZ202" s="885"/>
      <c r="QMA202" s="885"/>
      <c r="QMB202" s="885"/>
      <c r="QMC202" s="885"/>
      <c r="QMD202" s="885"/>
      <c r="QME202" s="885"/>
      <c r="QMF202" s="885"/>
      <c r="QMG202" s="885"/>
      <c r="QMH202" s="885"/>
      <c r="QMI202" s="885"/>
      <c r="QMJ202" s="885"/>
      <c r="QMK202" s="885"/>
      <c r="QML202" s="885"/>
      <c r="QMM202" s="885"/>
      <c r="QMN202" s="885"/>
      <c r="QMO202" s="885"/>
      <c r="QMP202" s="885"/>
      <c r="QMQ202" s="885"/>
      <c r="QMR202" s="885"/>
      <c r="QMS202" s="885"/>
      <c r="QMT202" s="885"/>
      <c r="QMU202" s="885"/>
      <c r="QMV202" s="885"/>
      <c r="QMW202" s="885"/>
      <c r="QMX202" s="885"/>
      <c r="QMY202" s="885"/>
      <c r="QMZ202" s="885"/>
      <c r="QNA202" s="885"/>
      <c r="QNB202" s="885"/>
      <c r="QNC202" s="885"/>
      <c r="QND202" s="885"/>
      <c r="QNE202" s="885"/>
      <c r="QNF202" s="885"/>
      <c r="QNG202" s="885"/>
      <c r="QNH202" s="885"/>
      <c r="QNI202" s="885"/>
      <c r="QNJ202" s="885"/>
      <c r="QNK202" s="885"/>
      <c r="QNL202" s="885"/>
      <c r="QNM202" s="885"/>
      <c r="QNN202" s="885"/>
      <c r="QNO202" s="885"/>
      <c r="QNP202" s="885"/>
      <c r="QNQ202" s="885"/>
      <c r="QNR202" s="885"/>
      <c r="QNS202" s="885"/>
      <c r="QNT202" s="885"/>
      <c r="QNU202" s="885"/>
      <c r="QNV202" s="885"/>
      <c r="QNW202" s="885"/>
      <c r="QNX202" s="885"/>
      <c r="QNY202" s="885"/>
      <c r="QNZ202" s="885"/>
      <c r="QOA202" s="885"/>
      <c r="QOB202" s="885"/>
      <c r="QOC202" s="885"/>
      <c r="QOD202" s="885"/>
      <c r="QOE202" s="885"/>
      <c r="QOF202" s="885"/>
      <c r="QOG202" s="885"/>
      <c r="QOH202" s="885"/>
      <c r="QOI202" s="885"/>
      <c r="QOJ202" s="885"/>
      <c r="QOK202" s="885"/>
      <c r="QOL202" s="885"/>
      <c r="QOM202" s="885"/>
      <c r="QON202" s="885"/>
      <c r="QOO202" s="885"/>
      <c r="QOP202" s="885"/>
      <c r="QOQ202" s="885"/>
      <c r="QOR202" s="885"/>
      <c r="QOS202" s="885"/>
      <c r="QOT202" s="885"/>
      <c r="QOU202" s="885"/>
      <c r="QOV202" s="885"/>
      <c r="QOW202" s="885"/>
      <c r="QOX202" s="885"/>
      <c r="QOY202" s="885"/>
      <c r="QOZ202" s="885"/>
      <c r="QPA202" s="885"/>
      <c r="QPB202" s="885"/>
      <c r="QPC202" s="885"/>
      <c r="QPD202" s="885"/>
      <c r="QPE202" s="885"/>
      <c r="QPF202" s="885"/>
      <c r="QPG202" s="885"/>
      <c r="QPH202" s="885"/>
      <c r="QPI202" s="885"/>
      <c r="QPJ202" s="885"/>
      <c r="QPK202" s="885"/>
      <c r="QPL202" s="885"/>
      <c r="QPM202" s="885"/>
      <c r="QPN202" s="885"/>
      <c r="QPO202" s="885"/>
      <c r="QPP202" s="885"/>
      <c r="QPQ202" s="885"/>
      <c r="QPR202" s="885"/>
      <c r="QPS202" s="885"/>
      <c r="QPT202" s="885"/>
      <c r="QPU202" s="885"/>
      <c r="QPV202" s="885"/>
      <c r="QPW202" s="885"/>
      <c r="QPX202" s="885"/>
      <c r="QPY202" s="885"/>
      <c r="QPZ202" s="885"/>
      <c r="QQA202" s="885"/>
      <c r="QQB202" s="885"/>
      <c r="QQC202" s="885"/>
      <c r="QQD202" s="885"/>
      <c r="QQE202" s="885"/>
      <c r="QQF202" s="885"/>
      <c r="QQG202" s="885"/>
      <c r="QQH202" s="885"/>
      <c r="QQI202" s="885"/>
      <c r="QQJ202" s="885"/>
      <c r="QQK202" s="885"/>
      <c r="QQL202" s="885"/>
      <c r="QQM202" s="885"/>
      <c r="QQN202" s="885"/>
      <c r="QQO202" s="885"/>
      <c r="QQP202" s="885"/>
      <c r="QQQ202" s="885"/>
      <c r="QQR202" s="885"/>
      <c r="QQS202" s="885"/>
      <c r="QQT202" s="885"/>
      <c r="QQU202" s="885"/>
      <c r="QQV202" s="885"/>
      <c r="QQW202" s="885"/>
      <c r="QQX202" s="885"/>
      <c r="QQY202" s="885"/>
      <c r="QQZ202" s="885"/>
      <c r="QRA202" s="885"/>
      <c r="QRB202" s="885"/>
      <c r="QRC202" s="885"/>
      <c r="QRD202" s="885"/>
      <c r="QRE202" s="885"/>
      <c r="QRF202" s="885"/>
      <c r="QRG202" s="885"/>
      <c r="QRH202" s="885"/>
      <c r="QRI202" s="885"/>
      <c r="QRJ202" s="885"/>
      <c r="QRK202" s="885"/>
      <c r="QRL202" s="885"/>
      <c r="QRM202" s="885"/>
      <c r="QRN202" s="885"/>
      <c r="QRO202" s="885"/>
      <c r="QRP202" s="885"/>
      <c r="QRQ202" s="885"/>
      <c r="QRR202" s="885"/>
      <c r="QRS202" s="885"/>
      <c r="QRT202" s="885"/>
      <c r="QRU202" s="885"/>
      <c r="QRV202" s="885"/>
      <c r="QRW202" s="885"/>
      <c r="QRX202" s="885"/>
      <c r="QRY202" s="885"/>
      <c r="QRZ202" s="885"/>
      <c r="QSA202" s="885"/>
      <c r="QSB202" s="885"/>
      <c r="QSC202" s="885"/>
      <c r="QSD202" s="885"/>
      <c r="QSE202" s="885"/>
      <c r="QSF202" s="885"/>
      <c r="QSG202" s="885"/>
      <c r="QSH202" s="885"/>
      <c r="QSI202" s="885"/>
      <c r="QSJ202" s="885"/>
      <c r="QSK202" s="885"/>
      <c r="QSL202" s="885"/>
      <c r="QSM202" s="885"/>
      <c r="QSN202" s="885"/>
      <c r="QSO202" s="885"/>
      <c r="QSP202" s="885"/>
      <c r="QSQ202" s="885"/>
      <c r="QSR202" s="885"/>
      <c r="QSS202" s="885"/>
      <c r="QST202" s="885"/>
      <c r="QSU202" s="885"/>
      <c r="QSV202" s="885"/>
      <c r="QSW202" s="885"/>
      <c r="QSX202" s="885"/>
      <c r="QSY202" s="885"/>
      <c r="QSZ202" s="885"/>
      <c r="QTA202" s="885"/>
      <c r="QTB202" s="885"/>
      <c r="QTC202" s="885"/>
      <c r="QTD202" s="885"/>
      <c r="QTE202" s="885"/>
      <c r="QTF202" s="885"/>
      <c r="QTG202" s="885"/>
      <c r="QTH202" s="885"/>
      <c r="QTI202" s="885"/>
      <c r="QTJ202" s="885"/>
      <c r="QTK202" s="885"/>
      <c r="QTL202" s="885"/>
      <c r="QTM202" s="885"/>
      <c r="QTN202" s="885"/>
      <c r="QTO202" s="885"/>
      <c r="QTP202" s="885"/>
      <c r="QTQ202" s="885"/>
      <c r="QTR202" s="885"/>
      <c r="QTS202" s="885"/>
      <c r="QTT202" s="885"/>
      <c r="QTU202" s="885"/>
      <c r="QTV202" s="885"/>
      <c r="QTW202" s="885"/>
      <c r="QTX202" s="885"/>
      <c r="QTY202" s="885"/>
      <c r="QTZ202" s="885"/>
      <c r="QUA202" s="885"/>
      <c r="QUB202" s="885"/>
      <c r="QUC202" s="885"/>
      <c r="QUD202" s="885"/>
      <c r="QUE202" s="885"/>
      <c r="QUF202" s="885"/>
      <c r="QUG202" s="885"/>
      <c r="QUH202" s="885"/>
      <c r="QUI202" s="885"/>
      <c r="QUJ202" s="885"/>
      <c r="QUK202" s="885"/>
      <c r="QUL202" s="885"/>
      <c r="QUM202" s="885"/>
      <c r="QUN202" s="885"/>
      <c r="QUO202" s="885"/>
      <c r="QUP202" s="885"/>
      <c r="QUQ202" s="885"/>
      <c r="QUR202" s="885"/>
      <c r="QUS202" s="885"/>
      <c r="QUT202" s="885"/>
      <c r="QUU202" s="885"/>
      <c r="QUV202" s="885"/>
      <c r="QUW202" s="885"/>
      <c r="QUX202" s="885"/>
      <c r="QUY202" s="885"/>
      <c r="QUZ202" s="885"/>
      <c r="QVA202" s="885"/>
      <c r="QVB202" s="885"/>
      <c r="QVC202" s="885"/>
      <c r="QVD202" s="885"/>
      <c r="QVE202" s="885"/>
      <c r="QVF202" s="885"/>
      <c r="QVG202" s="885"/>
      <c r="QVH202" s="885"/>
      <c r="QVI202" s="885"/>
      <c r="QVJ202" s="885"/>
      <c r="QVK202" s="885"/>
      <c r="QVL202" s="885"/>
      <c r="QVM202" s="885"/>
      <c r="QVN202" s="885"/>
      <c r="QVO202" s="885"/>
      <c r="QVP202" s="885"/>
      <c r="QVQ202" s="885"/>
      <c r="QVR202" s="885"/>
      <c r="QVS202" s="885"/>
      <c r="QVT202" s="885"/>
      <c r="QVU202" s="885"/>
      <c r="QVV202" s="885"/>
      <c r="QVW202" s="885"/>
      <c r="QVX202" s="885"/>
      <c r="QVY202" s="885"/>
      <c r="QVZ202" s="885"/>
      <c r="QWA202" s="885"/>
      <c r="QWB202" s="885"/>
      <c r="QWC202" s="885"/>
      <c r="QWD202" s="885"/>
      <c r="QWE202" s="885"/>
      <c r="QWF202" s="885"/>
      <c r="QWG202" s="885"/>
      <c r="QWH202" s="885"/>
      <c r="QWI202" s="885"/>
      <c r="QWJ202" s="885"/>
      <c r="QWK202" s="885"/>
      <c r="QWL202" s="885"/>
      <c r="QWM202" s="885"/>
      <c r="QWN202" s="885"/>
      <c r="QWO202" s="885"/>
      <c r="QWP202" s="885"/>
      <c r="QWQ202" s="885"/>
      <c r="QWR202" s="885"/>
      <c r="QWS202" s="885"/>
      <c r="QWT202" s="885"/>
      <c r="QWU202" s="885"/>
      <c r="QWV202" s="885"/>
      <c r="QWW202" s="885"/>
      <c r="QWX202" s="885"/>
      <c r="QWY202" s="885"/>
      <c r="QWZ202" s="885"/>
      <c r="QXA202" s="885"/>
      <c r="QXB202" s="885"/>
      <c r="QXC202" s="885"/>
      <c r="QXD202" s="885"/>
      <c r="QXE202" s="885"/>
      <c r="QXF202" s="885"/>
      <c r="QXG202" s="885"/>
      <c r="QXH202" s="885"/>
      <c r="QXI202" s="885"/>
      <c r="QXJ202" s="885"/>
      <c r="QXK202" s="885"/>
      <c r="QXL202" s="885"/>
      <c r="QXM202" s="885"/>
      <c r="QXN202" s="885"/>
      <c r="QXO202" s="885"/>
      <c r="QXP202" s="885"/>
      <c r="QXQ202" s="885"/>
      <c r="QXR202" s="885"/>
      <c r="QXS202" s="885"/>
      <c r="QXT202" s="885"/>
      <c r="QXU202" s="885"/>
      <c r="QXV202" s="885"/>
      <c r="QXW202" s="885"/>
      <c r="QXX202" s="885"/>
      <c r="QXY202" s="885"/>
      <c r="QXZ202" s="885"/>
      <c r="QYA202" s="885"/>
      <c r="QYB202" s="885"/>
      <c r="QYC202" s="885"/>
      <c r="QYD202" s="885"/>
      <c r="QYE202" s="885"/>
      <c r="QYF202" s="885"/>
      <c r="QYG202" s="885"/>
      <c r="QYH202" s="885"/>
      <c r="QYI202" s="885"/>
      <c r="QYJ202" s="885"/>
      <c r="QYK202" s="885"/>
      <c r="QYL202" s="885"/>
      <c r="QYM202" s="885"/>
      <c r="QYN202" s="885"/>
      <c r="QYO202" s="885"/>
      <c r="QYP202" s="885"/>
      <c r="QYQ202" s="885"/>
      <c r="QYR202" s="885"/>
      <c r="QYS202" s="885"/>
      <c r="QYT202" s="885"/>
      <c r="QYU202" s="885"/>
      <c r="QYV202" s="885"/>
      <c r="QYW202" s="885"/>
      <c r="QYX202" s="885"/>
      <c r="QYY202" s="885"/>
      <c r="QYZ202" s="885"/>
      <c r="QZA202" s="885"/>
      <c r="QZB202" s="885"/>
      <c r="QZC202" s="885"/>
      <c r="QZD202" s="885"/>
      <c r="QZE202" s="885"/>
      <c r="QZF202" s="885"/>
      <c r="QZG202" s="885"/>
      <c r="QZH202" s="885"/>
      <c r="QZI202" s="885"/>
      <c r="QZJ202" s="885"/>
      <c r="QZK202" s="885"/>
      <c r="QZL202" s="885"/>
      <c r="QZM202" s="885"/>
      <c r="QZN202" s="885"/>
      <c r="QZO202" s="885"/>
      <c r="QZP202" s="885"/>
      <c r="QZQ202" s="885"/>
      <c r="QZR202" s="885"/>
      <c r="QZS202" s="885"/>
      <c r="QZT202" s="885"/>
      <c r="QZU202" s="885"/>
      <c r="QZV202" s="885"/>
      <c r="QZW202" s="885"/>
      <c r="QZX202" s="885"/>
      <c r="QZY202" s="885"/>
      <c r="QZZ202" s="885"/>
      <c r="RAA202" s="885"/>
      <c r="RAB202" s="885"/>
      <c r="RAC202" s="885"/>
      <c r="RAD202" s="885"/>
      <c r="RAE202" s="885"/>
      <c r="RAF202" s="885"/>
      <c r="RAG202" s="885"/>
      <c r="RAH202" s="885"/>
      <c r="RAI202" s="885"/>
      <c r="RAJ202" s="885"/>
      <c r="RAK202" s="885"/>
      <c r="RAL202" s="885"/>
      <c r="RAM202" s="885"/>
      <c r="RAN202" s="885"/>
      <c r="RAO202" s="885"/>
      <c r="RAP202" s="885"/>
      <c r="RAQ202" s="885"/>
      <c r="RAR202" s="885"/>
      <c r="RAS202" s="885"/>
      <c r="RAT202" s="885"/>
      <c r="RAU202" s="885"/>
      <c r="RAV202" s="885"/>
      <c r="RAW202" s="885"/>
      <c r="RAX202" s="885"/>
      <c r="RAY202" s="885"/>
      <c r="RAZ202" s="885"/>
      <c r="RBA202" s="885"/>
      <c r="RBB202" s="885"/>
      <c r="RBC202" s="885"/>
      <c r="RBD202" s="885"/>
      <c r="RBE202" s="885"/>
      <c r="RBF202" s="885"/>
      <c r="RBG202" s="885"/>
      <c r="RBH202" s="885"/>
      <c r="RBI202" s="885"/>
      <c r="RBJ202" s="885"/>
      <c r="RBK202" s="885"/>
      <c r="RBL202" s="885"/>
      <c r="RBM202" s="885"/>
      <c r="RBN202" s="885"/>
      <c r="RBO202" s="885"/>
      <c r="RBP202" s="885"/>
      <c r="RBQ202" s="885"/>
      <c r="RBR202" s="885"/>
      <c r="RBS202" s="885"/>
      <c r="RBT202" s="885"/>
      <c r="RBU202" s="885"/>
      <c r="RBV202" s="885"/>
      <c r="RBW202" s="885"/>
      <c r="RBX202" s="885"/>
      <c r="RBY202" s="885"/>
      <c r="RBZ202" s="885"/>
      <c r="RCA202" s="885"/>
      <c r="RCB202" s="885"/>
      <c r="RCC202" s="885"/>
      <c r="RCD202" s="885"/>
      <c r="RCE202" s="885"/>
      <c r="RCF202" s="885"/>
      <c r="RCG202" s="885"/>
      <c r="RCH202" s="885"/>
      <c r="RCI202" s="885"/>
      <c r="RCJ202" s="885"/>
      <c r="RCK202" s="885"/>
      <c r="RCL202" s="885"/>
      <c r="RCM202" s="885"/>
      <c r="RCN202" s="885"/>
      <c r="RCO202" s="885"/>
      <c r="RCP202" s="885"/>
      <c r="RCQ202" s="885"/>
      <c r="RCR202" s="885"/>
      <c r="RCS202" s="885"/>
      <c r="RCT202" s="885"/>
      <c r="RCU202" s="885"/>
      <c r="RCV202" s="885"/>
      <c r="RCW202" s="885"/>
      <c r="RCX202" s="885"/>
      <c r="RCY202" s="885"/>
      <c r="RCZ202" s="885"/>
      <c r="RDA202" s="885"/>
      <c r="RDB202" s="885"/>
      <c r="RDC202" s="885"/>
      <c r="RDD202" s="885"/>
      <c r="RDE202" s="885"/>
      <c r="RDF202" s="885"/>
      <c r="RDG202" s="885"/>
      <c r="RDH202" s="885"/>
      <c r="RDI202" s="885"/>
      <c r="RDJ202" s="885"/>
      <c r="RDK202" s="885"/>
      <c r="RDL202" s="885"/>
      <c r="RDM202" s="885"/>
      <c r="RDN202" s="885"/>
      <c r="RDO202" s="885"/>
      <c r="RDP202" s="885"/>
      <c r="RDQ202" s="885"/>
      <c r="RDR202" s="885"/>
      <c r="RDS202" s="885"/>
      <c r="RDT202" s="885"/>
      <c r="RDU202" s="885"/>
      <c r="RDV202" s="885"/>
      <c r="RDW202" s="885"/>
      <c r="RDX202" s="885"/>
      <c r="RDY202" s="885"/>
      <c r="RDZ202" s="885"/>
      <c r="REA202" s="885"/>
      <c r="REB202" s="885"/>
      <c r="REC202" s="885"/>
      <c r="RED202" s="885"/>
      <c r="REE202" s="885"/>
      <c r="REF202" s="885"/>
      <c r="REG202" s="885"/>
      <c r="REH202" s="885"/>
      <c r="REI202" s="885"/>
      <c r="REJ202" s="885"/>
      <c r="REK202" s="885"/>
      <c r="REL202" s="885"/>
      <c r="REM202" s="885"/>
      <c r="REN202" s="885"/>
      <c r="REO202" s="885"/>
      <c r="REP202" s="885"/>
      <c r="REQ202" s="885"/>
      <c r="RER202" s="885"/>
      <c r="RES202" s="885"/>
      <c r="RET202" s="885"/>
      <c r="REU202" s="885"/>
      <c r="REV202" s="885"/>
      <c r="REW202" s="885"/>
      <c r="REX202" s="885"/>
      <c r="REY202" s="885"/>
      <c r="REZ202" s="885"/>
      <c r="RFA202" s="885"/>
      <c r="RFB202" s="885"/>
      <c r="RFC202" s="885"/>
      <c r="RFD202" s="885"/>
      <c r="RFE202" s="885"/>
      <c r="RFF202" s="885"/>
      <c r="RFG202" s="885"/>
      <c r="RFH202" s="885"/>
      <c r="RFI202" s="885"/>
      <c r="RFJ202" s="885"/>
      <c r="RFK202" s="885"/>
      <c r="RFL202" s="885"/>
      <c r="RFM202" s="885"/>
      <c r="RFN202" s="885"/>
      <c r="RFO202" s="885"/>
      <c r="RFP202" s="885"/>
      <c r="RFQ202" s="885"/>
      <c r="RFR202" s="885"/>
      <c r="RFS202" s="885"/>
      <c r="RFT202" s="885"/>
      <c r="RFU202" s="885"/>
      <c r="RFV202" s="885"/>
      <c r="RFW202" s="885"/>
      <c r="RFX202" s="885"/>
      <c r="RFY202" s="885"/>
      <c r="RFZ202" s="885"/>
      <c r="RGA202" s="885"/>
      <c r="RGB202" s="885"/>
      <c r="RGC202" s="885"/>
      <c r="RGD202" s="885"/>
      <c r="RGE202" s="885"/>
      <c r="RGF202" s="885"/>
      <c r="RGG202" s="885"/>
      <c r="RGH202" s="885"/>
      <c r="RGI202" s="885"/>
      <c r="RGJ202" s="885"/>
      <c r="RGK202" s="885"/>
      <c r="RGL202" s="885"/>
      <c r="RGM202" s="885"/>
      <c r="RGN202" s="885"/>
      <c r="RGO202" s="885"/>
      <c r="RGP202" s="885"/>
      <c r="RGQ202" s="885"/>
      <c r="RGR202" s="885"/>
      <c r="RGS202" s="885"/>
      <c r="RGT202" s="885"/>
      <c r="RGU202" s="885"/>
      <c r="RGV202" s="885"/>
      <c r="RGW202" s="885"/>
      <c r="RGX202" s="885"/>
      <c r="RGY202" s="885"/>
      <c r="RGZ202" s="885"/>
      <c r="RHA202" s="885"/>
      <c r="RHB202" s="885"/>
      <c r="RHC202" s="885"/>
      <c r="RHD202" s="885"/>
      <c r="RHE202" s="885"/>
      <c r="RHF202" s="885"/>
      <c r="RHG202" s="885"/>
      <c r="RHH202" s="885"/>
      <c r="RHI202" s="885"/>
      <c r="RHJ202" s="885"/>
      <c r="RHK202" s="885"/>
      <c r="RHL202" s="885"/>
      <c r="RHM202" s="885"/>
      <c r="RHN202" s="885"/>
      <c r="RHO202" s="885"/>
      <c r="RHP202" s="885"/>
      <c r="RHQ202" s="885"/>
      <c r="RHR202" s="885"/>
      <c r="RHS202" s="885"/>
      <c r="RHT202" s="885"/>
      <c r="RHU202" s="885"/>
      <c r="RHV202" s="885"/>
      <c r="RHW202" s="885"/>
      <c r="RHX202" s="885"/>
      <c r="RHY202" s="885"/>
      <c r="RHZ202" s="885"/>
      <c r="RIA202" s="885"/>
      <c r="RIB202" s="885"/>
      <c r="RIC202" s="885"/>
      <c r="RID202" s="885"/>
      <c r="RIE202" s="885"/>
      <c r="RIF202" s="885"/>
      <c r="RIG202" s="885"/>
      <c r="RIH202" s="885"/>
      <c r="RII202" s="885"/>
      <c r="RIJ202" s="885"/>
      <c r="RIK202" s="885"/>
      <c r="RIL202" s="885"/>
      <c r="RIM202" s="885"/>
      <c r="RIN202" s="885"/>
      <c r="RIO202" s="885"/>
      <c r="RIP202" s="885"/>
      <c r="RIQ202" s="885"/>
      <c r="RIR202" s="885"/>
      <c r="RIS202" s="885"/>
      <c r="RIT202" s="885"/>
      <c r="RIU202" s="885"/>
      <c r="RIV202" s="885"/>
      <c r="RIW202" s="885"/>
      <c r="RIX202" s="885"/>
      <c r="RIY202" s="885"/>
      <c r="RIZ202" s="885"/>
      <c r="RJA202" s="885"/>
      <c r="RJB202" s="885"/>
      <c r="RJC202" s="885"/>
      <c r="RJD202" s="885"/>
      <c r="RJE202" s="885"/>
      <c r="RJF202" s="885"/>
      <c r="RJG202" s="885"/>
      <c r="RJH202" s="885"/>
      <c r="RJI202" s="885"/>
      <c r="RJJ202" s="885"/>
      <c r="RJK202" s="885"/>
      <c r="RJL202" s="885"/>
      <c r="RJM202" s="885"/>
      <c r="RJN202" s="885"/>
      <c r="RJO202" s="885"/>
      <c r="RJP202" s="885"/>
      <c r="RJQ202" s="885"/>
      <c r="RJR202" s="885"/>
      <c r="RJS202" s="885"/>
      <c r="RJT202" s="885"/>
      <c r="RJU202" s="885"/>
      <c r="RJV202" s="885"/>
      <c r="RJW202" s="885"/>
      <c r="RJX202" s="885"/>
      <c r="RJY202" s="885"/>
      <c r="RJZ202" s="885"/>
      <c r="RKA202" s="885"/>
      <c r="RKB202" s="885"/>
      <c r="RKC202" s="885"/>
      <c r="RKD202" s="885"/>
      <c r="RKE202" s="885"/>
      <c r="RKF202" s="885"/>
      <c r="RKG202" s="885"/>
      <c r="RKH202" s="885"/>
      <c r="RKI202" s="885"/>
      <c r="RKJ202" s="885"/>
      <c r="RKK202" s="885"/>
      <c r="RKL202" s="885"/>
      <c r="RKM202" s="885"/>
      <c r="RKN202" s="885"/>
      <c r="RKO202" s="885"/>
      <c r="RKP202" s="885"/>
      <c r="RKQ202" s="885"/>
      <c r="RKR202" s="885"/>
      <c r="RKS202" s="885"/>
      <c r="RKT202" s="885"/>
      <c r="RKU202" s="885"/>
      <c r="RKV202" s="885"/>
      <c r="RKW202" s="885"/>
      <c r="RKX202" s="885"/>
      <c r="RKY202" s="885"/>
      <c r="RKZ202" s="885"/>
      <c r="RLA202" s="885"/>
      <c r="RLB202" s="885"/>
      <c r="RLC202" s="885"/>
      <c r="RLD202" s="885"/>
      <c r="RLE202" s="885"/>
      <c r="RLF202" s="885"/>
      <c r="RLG202" s="885"/>
      <c r="RLH202" s="885"/>
      <c r="RLI202" s="885"/>
      <c r="RLJ202" s="885"/>
      <c r="RLK202" s="885"/>
      <c r="RLL202" s="885"/>
      <c r="RLM202" s="885"/>
      <c r="RLN202" s="885"/>
      <c r="RLO202" s="885"/>
      <c r="RLP202" s="885"/>
      <c r="RLQ202" s="885"/>
      <c r="RLR202" s="885"/>
      <c r="RLS202" s="885"/>
      <c r="RLT202" s="885"/>
      <c r="RLU202" s="885"/>
      <c r="RLV202" s="885"/>
      <c r="RLW202" s="885"/>
      <c r="RLX202" s="885"/>
      <c r="RLY202" s="885"/>
      <c r="RLZ202" s="885"/>
      <c r="RMA202" s="885"/>
      <c r="RMB202" s="885"/>
      <c r="RMC202" s="885"/>
      <c r="RMD202" s="885"/>
      <c r="RME202" s="885"/>
      <c r="RMF202" s="885"/>
      <c r="RMG202" s="885"/>
      <c r="RMH202" s="885"/>
      <c r="RMI202" s="885"/>
      <c r="RMJ202" s="885"/>
      <c r="RMK202" s="885"/>
      <c r="RML202" s="885"/>
      <c r="RMM202" s="885"/>
      <c r="RMN202" s="885"/>
      <c r="RMO202" s="885"/>
      <c r="RMP202" s="885"/>
      <c r="RMQ202" s="885"/>
      <c r="RMR202" s="885"/>
      <c r="RMS202" s="885"/>
      <c r="RMT202" s="885"/>
      <c r="RMU202" s="885"/>
      <c r="RMV202" s="885"/>
      <c r="RMW202" s="885"/>
      <c r="RMX202" s="885"/>
      <c r="RMY202" s="885"/>
      <c r="RMZ202" s="885"/>
      <c r="RNA202" s="885"/>
      <c r="RNB202" s="885"/>
      <c r="RNC202" s="885"/>
      <c r="RND202" s="885"/>
      <c r="RNE202" s="885"/>
      <c r="RNF202" s="885"/>
      <c r="RNG202" s="885"/>
      <c r="RNH202" s="885"/>
      <c r="RNI202" s="885"/>
      <c r="RNJ202" s="885"/>
      <c r="RNK202" s="885"/>
      <c r="RNL202" s="885"/>
      <c r="RNM202" s="885"/>
      <c r="RNN202" s="885"/>
      <c r="RNO202" s="885"/>
      <c r="RNP202" s="885"/>
      <c r="RNQ202" s="885"/>
      <c r="RNR202" s="885"/>
      <c r="RNS202" s="885"/>
      <c r="RNT202" s="885"/>
      <c r="RNU202" s="885"/>
      <c r="RNV202" s="885"/>
      <c r="RNW202" s="885"/>
      <c r="RNX202" s="885"/>
      <c r="RNY202" s="885"/>
      <c r="RNZ202" s="885"/>
      <c r="ROA202" s="885"/>
      <c r="ROB202" s="885"/>
      <c r="ROC202" s="885"/>
      <c r="ROD202" s="885"/>
      <c r="ROE202" s="885"/>
      <c r="ROF202" s="885"/>
      <c r="ROG202" s="885"/>
      <c r="ROH202" s="885"/>
      <c r="ROI202" s="885"/>
      <c r="ROJ202" s="885"/>
      <c r="ROK202" s="885"/>
      <c r="ROL202" s="885"/>
      <c r="ROM202" s="885"/>
      <c r="RON202" s="885"/>
      <c r="ROO202" s="885"/>
      <c r="ROP202" s="885"/>
      <c r="ROQ202" s="885"/>
      <c r="ROR202" s="885"/>
      <c r="ROS202" s="885"/>
      <c r="ROT202" s="885"/>
      <c r="ROU202" s="885"/>
      <c r="ROV202" s="885"/>
      <c r="ROW202" s="885"/>
      <c r="ROX202" s="885"/>
      <c r="ROY202" s="885"/>
      <c r="ROZ202" s="885"/>
      <c r="RPA202" s="885"/>
      <c r="RPB202" s="885"/>
      <c r="RPC202" s="885"/>
      <c r="RPD202" s="885"/>
      <c r="RPE202" s="885"/>
      <c r="RPF202" s="885"/>
      <c r="RPG202" s="885"/>
      <c r="RPH202" s="885"/>
      <c r="RPI202" s="885"/>
      <c r="RPJ202" s="885"/>
      <c r="RPK202" s="885"/>
      <c r="RPL202" s="885"/>
      <c r="RPM202" s="885"/>
      <c r="RPN202" s="885"/>
      <c r="RPO202" s="885"/>
      <c r="RPP202" s="885"/>
      <c r="RPQ202" s="885"/>
      <c r="RPR202" s="885"/>
      <c r="RPS202" s="885"/>
      <c r="RPT202" s="885"/>
      <c r="RPU202" s="885"/>
      <c r="RPV202" s="885"/>
      <c r="RPW202" s="885"/>
      <c r="RPX202" s="885"/>
      <c r="RPY202" s="885"/>
      <c r="RPZ202" s="885"/>
      <c r="RQA202" s="885"/>
      <c r="RQB202" s="885"/>
      <c r="RQC202" s="885"/>
      <c r="RQD202" s="885"/>
      <c r="RQE202" s="885"/>
      <c r="RQF202" s="885"/>
      <c r="RQG202" s="885"/>
      <c r="RQH202" s="885"/>
      <c r="RQI202" s="885"/>
      <c r="RQJ202" s="885"/>
      <c r="RQK202" s="885"/>
      <c r="RQL202" s="885"/>
      <c r="RQM202" s="885"/>
      <c r="RQN202" s="885"/>
      <c r="RQO202" s="885"/>
      <c r="RQP202" s="885"/>
      <c r="RQQ202" s="885"/>
      <c r="RQR202" s="885"/>
      <c r="RQS202" s="885"/>
      <c r="RQT202" s="885"/>
      <c r="RQU202" s="885"/>
      <c r="RQV202" s="885"/>
      <c r="RQW202" s="885"/>
      <c r="RQX202" s="885"/>
      <c r="RQY202" s="885"/>
      <c r="RQZ202" s="885"/>
      <c r="RRA202" s="885"/>
      <c r="RRB202" s="885"/>
      <c r="RRC202" s="885"/>
      <c r="RRD202" s="885"/>
      <c r="RRE202" s="885"/>
      <c r="RRF202" s="885"/>
      <c r="RRG202" s="885"/>
      <c r="RRH202" s="885"/>
      <c r="RRI202" s="885"/>
      <c r="RRJ202" s="885"/>
      <c r="RRK202" s="885"/>
      <c r="RRL202" s="885"/>
      <c r="RRM202" s="885"/>
      <c r="RRN202" s="885"/>
      <c r="RRO202" s="885"/>
      <c r="RRP202" s="885"/>
      <c r="RRQ202" s="885"/>
      <c r="RRR202" s="885"/>
      <c r="RRS202" s="885"/>
      <c r="RRT202" s="885"/>
      <c r="RRU202" s="885"/>
      <c r="RRV202" s="885"/>
      <c r="RRW202" s="885"/>
      <c r="RRX202" s="885"/>
      <c r="RRY202" s="885"/>
      <c r="RRZ202" s="885"/>
      <c r="RSA202" s="885"/>
      <c r="RSB202" s="885"/>
      <c r="RSC202" s="885"/>
      <c r="RSD202" s="885"/>
      <c r="RSE202" s="885"/>
      <c r="RSF202" s="885"/>
      <c r="RSG202" s="885"/>
      <c r="RSH202" s="885"/>
      <c r="RSI202" s="885"/>
      <c r="RSJ202" s="885"/>
      <c r="RSK202" s="885"/>
      <c r="RSL202" s="885"/>
      <c r="RSM202" s="885"/>
      <c r="RSN202" s="885"/>
      <c r="RSO202" s="885"/>
      <c r="RSP202" s="885"/>
      <c r="RSQ202" s="885"/>
      <c r="RSR202" s="885"/>
      <c r="RSS202" s="885"/>
      <c r="RST202" s="885"/>
      <c r="RSU202" s="885"/>
      <c r="RSV202" s="885"/>
      <c r="RSW202" s="885"/>
      <c r="RSX202" s="885"/>
      <c r="RSY202" s="885"/>
      <c r="RSZ202" s="885"/>
      <c r="RTA202" s="885"/>
      <c r="RTB202" s="885"/>
      <c r="RTC202" s="885"/>
      <c r="RTD202" s="885"/>
      <c r="RTE202" s="885"/>
      <c r="RTF202" s="885"/>
      <c r="RTG202" s="885"/>
      <c r="RTH202" s="885"/>
      <c r="RTI202" s="885"/>
      <c r="RTJ202" s="885"/>
      <c r="RTK202" s="885"/>
      <c r="RTL202" s="885"/>
      <c r="RTM202" s="885"/>
      <c r="RTN202" s="885"/>
      <c r="RTO202" s="885"/>
      <c r="RTP202" s="885"/>
      <c r="RTQ202" s="885"/>
      <c r="RTR202" s="885"/>
      <c r="RTS202" s="885"/>
      <c r="RTT202" s="885"/>
      <c r="RTU202" s="885"/>
      <c r="RTV202" s="885"/>
      <c r="RTW202" s="885"/>
      <c r="RTX202" s="885"/>
      <c r="RTY202" s="885"/>
      <c r="RTZ202" s="885"/>
      <c r="RUA202" s="885"/>
      <c r="RUB202" s="885"/>
      <c r="RUC202" s="885"/>
      <c r="RUD202" s="885"/>
      <c r="RUE202" s="885"/>
      <c r="RUF202" s="885"/>
      <c r="RUG202" s="885"/>
      <c r="RUH202" s="885"/>
      <c r="RUI202" s="885"/>
      <c r="RUJ202" s="885"/>
      <c r="RUK202" s="885"/>
      <c r="RUL202" s="885"/>
      <c r="RUM202" s="885"/>
      <c r="RUN202" s="885"/>
      <c r="RUO202" s="885"/>
      <c r="RUP202" s="885"/>
      <c r="RUQ202" s="885"/>
      <c r="RUR202" s="885"/>
      <c r="RUS202" s="885"/>
      <c r="RUT202" s="885"/>
      <c r="RUU202" s="885"/>
      <c r="RUV202" s="885"/>
      <c r="RUW202" s="885"/>
      <c r="RUX202" s="885"/>
      <c r="RUY202" s="885"/>
      <c r="RUZ202" s="885"/>
      <c r="RVA202" s="885"/>
      <c r="RVB202" s="885"/>
      <c r="RVC202" s="885"/>
      <c r="RVD202" s="885"/>
      <c r="RVE202" s="885"/>
      <c r="RVF202" s="885"/>
      <c r="RVG202" s="885"/>
      <c r="RVH202" s="885"/>
      <c r="RVI202" s="885"/>
      <c r="RVJ202" s="885"/>
      <c r="RVK202" s="885"/>
      <c r="RVL202" s="885"/>
      <c r="RVM202" s="885"/>
      <c r="RVN202" s="885"/>
      <c r="RVO202" s="885"/>
      <c r="RVP202" s="885"/>
      <c r="RVQ202" s="885"/>
      <c r="RVR202" s="885"/>
      <c r="RVS202" s="885"/>
      <c r="RVT202" s="885"/>
      <c r="RVU202" s="885"/>
      <c r="RVV202" s="885"/>
      <c r="RVW202" s="885"/>
      <c r="RVX202" s="885"/>
      <c r="RVY202" s="885"/>
      <c r="RVZ202" s="885"/>
      <c r="RWA202" s="885"/>
      <c r="RWB202" s="885"/>
      <c r="RWC202" s="885"/>
      <c r="RWD202" s="885"/>
      <c r="RWE202" s="885"/>
      <c r="RWF202" s="885"/>
      <c r="RWG202" s="885"/>
      <c r="RWH202" s="885"/>
      <c r="RWI202" s="885"/>
      <c r="RWJ202" s="885"/>
      <c r="RWK202" s="885"/>
      <c r="RWL202" s="885"/>
      <c r="RWM202" s="885"/>
      <c r="RWN202" s="885"/>
      <c r="RWO202" s="885"/>
      <c r="RWP202" s="885"/>
      <c r="RWQ202" s="885"/>
      <c r="RWR202" s="885"/>
      <c r="RWS202" s="885"/>
      <c r="RWT202" s="885"/>
      <c r="RWU202" s="885"/>
      <c r="RWV202" s="885"/>
      <c r="RWW202" s="885"/>
      <c r="RWX202" s="885"/>
      <c r="RWY202" s="885"/>
      <c r="RWZ202" s="885"/>
      <c r="RXA202" s="885"/>
      <c r="RXB202" s="885"/>
      <c r="RXC202" s="885"/>
      <c r="RXD202" s="885"/>
      <c r="RXE202" s="885"/>
      <c r="RXF202" s="885"/>
      <c r="RXG202" s="885"/>
      <c r="RXH202" s="885"/>
      <c r="RXI202" s="885"/>
      <c r="RXJ202" s="885"/>
      <c r="RXK202" s="885"/>
      <c r="RXL202" s="885"/>
      <c r="RXM202" s="885"/>
      <c r="RXN202" s="885"/>
      <c r="RXO202" s="885"/>
      <c r="RXP202" s="885"/>
      <c r="RXQ202" s="885"/>
      <c r="RXR202" s="885"/>
      <c r="RXS202" s="885"/>
      <c r="RXT202" s="885"/>
      <c r="RXU202" s="885"/>
      <c r="RXV202" s="885"/>
      <c r="RXW202" s="885"/>
      <c r="RXX202" s="885"/>
      <c r="RXY202" s="885"/>
      <c r="RXZ202" s="885"/>
      <c r="RYA202" s="885"/>
      <c r="RYB202" s="885"/>
      <c r="RYC202" s="885"/>
      <c r="RYD202" s="885"/>
      <c r="RYE202" s="885"/>
      <c r="RYF202" s="885"/>
      <c r="RYG202" s="885"/>
      <c r="RYH202" s="885"/>
      <c r="RYI202" s="885"/>
      <c r="RYJ202" s="885"/>
      <c r="RYK202" s="885"/>
      <c r="RYL202" s="885"/>
      <c r="RYM202" s="885"/>
      <c r="RYN202" s="885"/>
      <c r="RYO202" s="885"/>
      <c r="RYP202" s="885"/>
      <c r="RYQ202" s="885"/>
      <c r="RYR202" s="885"/>
      <c r="RYS202" s="885"/>
      <c r="RYT202" s="885"/>
      <c r="RYU202" s="885"/>
      <c r="RYV202" s="885"/>
      <c r="RYW202" s="885"/>
      <c r="RYX202" s="885"/>
      <c r="RYY202" s="885"/>
      <c r="RYZ202" s="885"/>
      <c r="RZA202" s="885"/>
      <c r="RZB202" s="885"/>
      <c r="RZC202" s="885"/>
      <c r="RZD202" s="885"/>
      <c r="RZE202" s="885"/>
      <c r="RZF202" s="885"/>
      <c r="RZG202" s="885"/>
      <c r="RZH202" s="885"/>
      <c r="RZI202" s="885"/>
      <c r="RZJ202" s="885"/>
      <c r="RZK202" s="885"/>
      <c r="RZL202" s="885"/>
      <c r="RZM202" s="885"/>
      <c r="RZN202" s="885"/>
      <c r="RZO202" s="885"/>
      <c r="RZP202" s="885"/>
      <c r="RZQ202" s="885"/>
      <c r="RZR202" s="885"/>
      <c r="RZS202" s="885"/>
      <c r="RZT202" s="885"/>
      <c r="RZU202" s="885"/>
      <c r="RZV202" s="885"/>
      <c r="RZW202" s="885"/>
      <c r="RZX202" s="885"/>
      <c r="RZY202" s="885"/>
      <c r="RZZ202" s="885"/>
      <c r="SAA202" s="885"/>
      <c r="SAB202" s="885"/>
      <c r="SAC202" s="885"/>
      <c r="SAD202" s="885"/>
      <c r="SAE202" s="885"/>
      <c r="SAF202" s="885"/>
      <c r="SAG202" s="885"/>
      <c r="SAH202" s="885"/>
      <c r="SAI202" s="885"/>
      <c r="SAJ202" s="885"/>
      <c r="SAK202" s="885"/>
      <c r="SAL202" s="885"/>
      <c r="SAM202" s="885"/>
      <c r="SAN202" s="885"/>
      <c r="SAO202" s="885"/>
      <c r="SAP202" s="885"/>
      <c r="SAQ202" s="885"/>
      <c r="SAR202" s="885"/>
      <c r="SAS202" s="885"/>
      <c r="SAT202" s="885"/>
      <c r="SAU202" s="885"/>
      <c r="SAV202" s="885"/>
      <c r="SAW202" s="885"/>
      <c r="SAX202" s="885"/>
      <c r="SAY202" s="885"/>
      <c r="SAZ202" s="885"/>
      <c r="SBA202" s="885"/>
      <c r="SBB202" s="885"/>
      <c r="SBC202" s="885"/>
      <c r="SBD202" s="885"/>
      <c r="SBE202" s="885"/>
      <c r="SBF202" s="885"/>
      <c r="SBG202" s="885"/>
      <c r="SBH202" s="885"/>
      <c r="SBI202" s="885"/>
      <c r="SBJ202" s="885"/>
      <c r="SBK202" s="885"/>
      <c r="SBL202" s="885"/>
      <c r="SBM202" s="885"/>
      <c r="SBN202" s="885"/>
      <c r="SBO202" s="885"/>
      <c r="SBP202" s="885"/>
      <c r="SBQ202" s="885"/>
      <c r="SBR202" s="885"/>
      <c r="SBS202" s="885"/>
      <c r="SBT202" s="885"/>
      <c r="SBU202" s="885"/>
      <c r="SBV202" s="885"/>
      <c r="SBW202" s="885"/>
      <c r="SBX202" s="885"/>
      <c r="SBY202" s="885"/>
      <c r="SBZ202" s="885"/>
      <c r="SCA202" s="885"/>
      <c r="SCB202" s="885"/>
      <c r="SCC202" s="885"/>
      <c r="SCD202" s="885"/>
      <c r="SCE202" s="885"/>
      <c r="SCF202" s="885"/>
      <c r="SCG202" s="885"/>
      <c r="SCH202" s="885"/>
      <c r="SCI202" s="885"/>
      <c r="SCJ202" s="885"/>
      <c r="SCK202" s="885"/>
      <c r="SCL202" s="885"/>
      <c r="SCM202" s="885"/>
      <c r="SCN202" s="885"/>
      <c r="SCO202" s="885"/>
      <c r="SCP202" s="885"/>
      <c r="SCQ202" s="885"/>
      <c r="SCR202" s="885"/>
      <c r="SCS202" s="885"/>
      <c r="SCT202" s="885"/>
      <c r="SCU202" s="885"/>
      <c r="SCV202" s="885"/>
      <c r="SCW202" s="885"/>
      <c r="SCX202" s="885"/>
      <c r="SCY202" s="885"/>
      <c r="SCZ202" s="885"/>
      <c r="SDA202" s="885"/>
      <c r="SDB202" s="885"/>
      <c r="SDC202" s="885"/>
      <c r="SDD202" s="885"/>
      <c r="SDE202" s="885"/>
      <c r="SDF202" s="885"/>
      <c r="SDG202" s="885"/>
      <c r="SDH202" s="885"/>
      <c r="SDI202" s="885"/>
      <c r="SDJ202" s="885"/>
      <c r="SDK202" s="885"/>
      <c r="SDL202" s="885"/>
      <c r="SDM202" s="885"/>
      <c r="SDN202" s="885"/>
      <c r="SDO202" s="885"/>
      <c r="SDP202" s="885"/>
      <c r="SDQ202" s="885"/>
      <c r="SDR202" s="885"/>
      <c r="SDS202" s="885"/>
      <c r="SDT202" s="885"/>
      <c r="SDU202" s="885"/>
      <c r="SDV202" s="885"/>
      <c r="SDW202" s="885"/>
      <c r="SDX202" s="885"/>
      <c r="SDY202" s="885"/>
      <c r="SDZ202" s="885"/>
      <c r="SEA202" s="885"/>
      <c r="SEB202" s="885"/>
      <c r="SEC202" s="885"/>
      <c r="SED202" s="885"/>
      <c r="SEE202" s="885"/>
      <c r="SEF202" s="885"/>
      <c r="SEG202" s="885"/>
      <c r="SEH202" s="885"/>
      <c r="SEI202" s="885"/>
      <c r="SEJ202" s="885"/>
      <c r="SEK202" s="885"/>
      <c r="SEL202" s="885"/>
      <c r="SEM202" s="885"/>
      <c r="SEN202" s="885"/>
      <c r="SEO202" s="885"/>
      <c r="SEP202" s="885"/>
      <c r="SEQ202" s="885"/>
      <c r="SER202" s="885"/>
      <c r="SES202" s="885"/>
      <c r="SET202" s="885"/>
      <c r="SEU202" s="885"/>
      <c r="SEV202" s="885"/>
      <c r="SEW202" s="885"/>
      <c r="SEX202" s="885"/>
      <c r="SEY202" s="885"/>
      <c r="SEZ202" s="885"/>
      <c r="SFA202" s="885"/>
      <c r="SFB202" s="885"/>
      <c r="SFC202" s="885"/>
      <c r="SFD202" s="885"/>
      <c r="SFE202" s="885"/>
      <c r="SFF202" s="885"/>
      <c r="SFG202" s="885"/>
      <c r="SFH202" s="885"/>
      <c r="SFI202" s="885"/>
      <c r="SFJ202" s="885"/>
      <c r="SFK202" s="885"/>
      <c r="SFL202" s="885"/>
      <c r="SFM202" s="885"/>
      <c r="SFN202" s="885"/>
      <c r="SFO202" s="885"/>
      <c r="SFP202" s="885"/>
      <c r="SFQ202" s="885"/>
      <c r="SFR202" s="885"/>
      <c r="SFS202" s="885"/>
      <c r="SFT202" s="885"/>
      <c r="SFU202" s="885"/>
      <c r="SFV202" s="885"/>
      <c r="SFW202" s="885"/>
      <c r="SFX202" s="885"/>
      <c r="SFY202" s="885"/>
      <c r="SFZ202" s="885"/>
      <c r="SGA202" s="885"/>
      <c r="SGB202" s="885"/>
      <c r="SGC202" s="885"/>
      <c r="SGD202" s="885"/>
      <c r="SGE202" s="885"/>
      <c r="SGF202" s="885"/>
      <c r="SGG202" s="885"/>
      <c r="SGH202" s="885"/>
      <c r="SGI202" s="885"/>
      <c r="SGJ202" s="885"/>
      <c r="SGK202" s="885"/>
      <c r="SGL202" s="885"/>
      <c r="SGM202" s="885"/>
      <c r="SGN202" s="885"/>
      <c r="SGO202" s="885"/>
      <c r="SGP202" s="885"/>
      <c r="SGQ202" s="885"/>
      <c r="SGR202" s="885"/>
      <c r="SGS202" s="885"/>
      <c r="SGT202" s="885"/>
      <c r="SGU202" s="885"/>
      <c r="SGV202" s="885"/>
      <c r="SGW202" s="885"/>
      <c r="SGX202" s="885"/>
      <c r="SGY202" s="885"/>
      <c r="SGZ202" s="885"/>
      <c r="SHA202" s="885"/>
      <c r="SHB202" s="885"/>
      <c r="SHC202" s="885"/>
      <c r="SHD202" s="885"/>
      <c r="SHE202" s="885"/>
      <c r="SHF202" s="885"/>
      <c r="SHG202" s="885"/>
      <c r="SHH202" s="885"/>
      <c r="SHI202" s="885"/>
      <c r="SHJ202" s="885"/>
      <c r="SHK202" s="885"/>
      <c r="SHL202" s="885"/>
      <c r="SHM202" s="885"/>
      <c r="SHN202" s="885"/>
      <c r="SHO202" s="885"/>
      <c r="SHP202" s="885"/>
      <c r="SHQ202" s="885"/>
      <c r="SHR202" s="885"/>
      <c r="SHS202" s="885"/>
      <c r="SHT202" s="885"/>
      <c r="SHU202" s="885"/>
      <c r="SHV202" s="885"/>
      <c r="SHW202" s="885"/>
      <c r="SHX202" s="885"/>
      <c r="SHY202" s="885"/>
      <c r="SHZ202" s="885"/>
      <c r="SIA202" s="885"/>
      <c r="SIB202" s="885"/>
      <c r="SIC202" s="885"/>
      <c r="SID202" s="885"/>
      <c r="SIE202" s="885"/>
      <c r="SIF202" s="885"/>
      <c r="SIG202" s="885"/>
      <c r="SIH202" s="885"/>
      <c r="SII202" s="885"/>
      <c r="SIJ202" s="885"/>
      <c r="SIK202" s="885"/>
      <c r="SIL202" s="885"/>
      <c r="SIM202" s="885"/>
      <c r="SIN202" s="885"/>
      <c r="SIO202" s="885"/>
      <c r="SIP202" s="885"/>
      <c r="SIQ202" s="885"/>
      <c r="SIR202" s="885"/>
      <c r="SIS202" s="885"/>
      <c r="SIT202" s="885"/>
      <c r="SIU202" s="885"/>
      <c r="SIV202" s="885"/>
      <c r="SIW202" s="885"/>
      <c r="SIX202" s="885"/>
      <c r="SIY202" s="885"/>
      <c r="SIZ202" s="885"/>
      <c r="SJA202" s="885"/>
      <c r="SJB202" s="885"/>
      <c r="SJC202" s="885"/>
      <c r="SJD202" s="885"/>
      <c r="SJE202" s="885"/>
      <c r="SJF202" s="885"/>
      <c r="SJG202" s="885"/>
      <c r="SJH202" s="885"/>
      <c r="SJI202" s="885"/>
      <c r="SJJ202" s="885"/>
      <c r="SJK202" s="885"/>
      <c r="SJL202" s="885"/>
      <c r="SJM202" s="885"/>
      <c r="SJN202" s="885"/>
      <c r="SJO202" s="885"/>
      <c r="SJP202" s="885"/>
      <c r="SJQ202" s="885"/>
      <c r="SJR202" s="885"/>
      <c r="SJS202" s="885"/>
      <c r="SJT202" s="885"/>
      <c r="SJU202" s="885"/>
      <c r="SJV202" s="885"/>
      <c r="SJW202" s="885"/>
      <c r="SJX202" s="885"/>
      <c r="SJY202" s="885"/>
      <c r="SJZ202" s="885"/>
      <c r="SKA202" s="885"/>
      <c r="SKB202" s="885"/>
      <c r="SKC202" s="885"/>
      <c r="SKD202" s="885"/>
      <c r="SKE202" s="885"/>
      <c r="SKF202" s="885"/>
      <c r="SKG202" s="885"/>
      <c r="SKH202" s="885"/>
      <c r="SKI202" s="885"/>
      <c r="SKJ202" s="885"/>
      <c r="SKK202" s="885"/>
      <c r="SKL202" s="885"/>
      <c r="SKM202" s="885"/>
      <c r="SKN202" s="885"/>
      <c r="SKO202" s="885"/>
      <c r="SKP202" s="885"/>
      <c r="SKQ202" s="885"/>
      <c r="SKR202" s="885"/>
      <c r="SKS202" s="885"/>
      <c r="SKT202" s="885"/>
      <c r="SKU202" s="885"/>
      <c r="SKV202" s="885"/>
      <c r="SKW202" s="885"/>
      <c r="SKX202" s="885"/>
      <c r="SKY202" s="885"/>
      <c r="SKZ202" s="885"/>
      <c r="SLA202" s="885"/>
      <c r="SLB202" s="885"/>
      <c r="SLC202" s="885"/>
      <c r="SLD202" s="885"/>
      <c r="SLE202" s="885"/>
      <c r="SLF202" s="885"/>
      <c r="SLG202" s="885"/>
      <c r="SLH202" s="885"/>
      <c r="SLI202" s="885"/>
      <c r="SLJ202" s="885"/>
      <c r="SLK202" s="885"/>
      <c r="SLL202" s="885"/>
      <c r="SLM202" s="885"/>
      <c r="SLN202" s="885"/>
      <c r="SLO202" s="885"/>
      <c r="SLP202" s="885"/>
      <c r="SLQ202" s="885"/>
      <c r="SLR202" s="885"/>
      <c r="SLS202" s="885"/>
      <c r="SLT202" s="885"/>
      <c r="SLU202" s="885"/>
      <c r="SLV202" s="885"/>
      <c r="SLW202" s="885"/>
      <c r="SLX202" s="885"/>
      <c r="SLY202" s="885"/>
      <c r="SLZ202" s="885"/>
      <c r="SMA202" s="885"/>
      <c r="SMB202" s="885"/>
      <c r="SMC202" s="885"/>
      <c r="SMD202" s="885"/>
      <c r="SME202" s="885"/>
      <c r="SMF202" s="885"/>
      <c r="SMG202" s="885"/>
      <c r="SMH202" s="885"/>
      <c r="SMI202" s="885"/>
      <c r="SMJ202" s="885"/>
      <c r="SMK202" s="885"/>
      <c r="SML202" s="885"/>
      <c r="SMM202" s="885"/>
      <c r="SMN202" s="885"/>
      <c r="SMO202" s="885"/>
      <c r="SMP202" s="885"/>
      <c r="SMQ202" s="885"/>
      <c r="SMR202" s="885"/>
      <c r="SMS202" s="885"/>
      <c r="SMT202" s="885"/>
      <c r="SMU202" s="885"/>
      <c r="SMV202" s="885"/>
      <c r="SMW202" s="885"/>
      <c r="SMX202" s="885"/>
      <c r="SMY202" s="885"/>
      <c r="SMZ202" s="885"/>
      <c r="SNA202" s="885"/>
      <c r="SNB202" s="885"/>
      <c r="SNC202" s="885"/>
      <c r="SND202" s="885"/>
      <c r="SNE202" s="885"/>
      <c r="SNF202" s="885"/>
      <c r="SNG202" s="885"/>
      <c r="SNH202" s="885"/>
      <c r="SNI202" s="885"/>
      <c r="SNJ202" s="885"/>
      <c r="SNK202" s="885"/>
      <c r="SNL202" s="885"/>
      <c r="SNM202" s="885"/>
      <c r="SNN202" s="885"/>
      <c r="SNO202" s="885"/>
      <c r="SNP202" s="885"/>
      <c r="SNQ202" s="885"/>
      <c r="SNR202" s="885"/>
      <c r="SNS202" s="885"/>
      <c r="SNT202" s="885"/>
      <c r="SNU202" s="885"/>
      <c r="SNV202" s="885"/>
      <c r="SNW202" s="885"/>
      <c r="SNX202" s="885"/>
      <c r="SNY202" s="885"/>
      <c r="SNZ202" s="885"/>
      <c r="SOA202" s="885"/>
      <c r="SOB202" s="885"/>
      <c r="SOC202" s="885"/>
      <c r="SOD202" s="885"/>
      <c r="SOE202" s="885"/>
      <c r="SOF202" s="885"/>
      <c r="SOG202" s="885"/>
      <c r="SOH202" s="885"/>
      <c r="SOI202" s="885"/>
      <c r="SOJ202" s="885"/>
      <c r="SOK202" s="885"/>
      <c r="SOL202" s="885"/>
      <c r="SOM202" s="885"/>
      <c r="SON202" s="885"/>
      <c r="SOO202" s="885"/>
      <c r="SOP202" s="885"/>
      <c r="SOQ202" s="885"/>
      <c r="SOR202" s="885"/>
      <c r="SOS202" s="885"/>
      <c r="SOT202" s="885"/>
      <c r="SOU202" s="885"/>
      <c r="SOV202" s="885"/>
      <c r="SOW202" s="885"/>
      <c r="SOX202" s="885"/>
      <c r="SOY202" s="885"/>
      <c r="SOZ202" s="885"/>
      <c r="SPA202" s="885"/>
      <c r="SPB202" s="885"/>
      <c r="SPC202" s="885"/>
      <c r="SPD202" s="885"/>
      <c r="SPE202" s="885"/>
      <c r="SPF202" s="885"/>
      <c r="SPG202" s="885"/>
      <c r="SPH202" s="885"/>
      <c r="SPI202" s="885"/>
      <c r="SPJ202" s="885"/>
      <c r="SPK202" s="885"/>
      <c r="SPL202" s="885"/>
      <c r="SPM202" s="885"/>
      <c r="SPN202" s="885"/>
      <c r="SPO202" s="885"/>
      <c r="SPP202" s="885"/>
      <c r="SPQ202" s="885"/>
      <c r="SPR202" s="885"/>
      <c r="SPS202" s="885"/>
      <c r="SPT202" s="885"/>
      <c r="SPU202" s="885"/>
      <c r="SPV202" s="885"/>
      <c r="SPW202" s="885"/>
      <c r="SPX202" s="885"/>
      <c r="SPY202" s="885"/>
      <c r="SPZ202" s="885"/>
      <c r="SQA202" s="885"/>
      <c r="SQB202" s="885"/>
      <c r="SQC202" s="885"/>
      <c r="SQD202" s="885"/>
      <c r="SQE202" s="885"/>
      <c r="SQF202" s="885"/>
      <c r="SQG202" s="885"/>
      <c r="SQH202" s="885"/>
      <c r="SQI202" s="885"/>
      <c r="SQJ202" s="885"/>
      <c r="SQK202" s="885"/>
      <c r="SQL202" s="885"/>
      <c r="SQM202" s="885"/>
      <c r="SQN202" s="885"/>
      <c r="SQO202" s="885"/>
      <c r="SQP202" s="885"/>
      <c r="SQQ202" s="885"/>
      <c r="SQR202" s="885"/>
      <c r="SQS202" s="885"/>
      <c r="SQT202" s="885"/>
      <c r="SQU202" s="885"/>
      <c r="SQV202" s="885"/>
      <c r="SQW202" s="885"/>
      <c r="SQX202" s="885"/>
      <c r="SQY202" s="885"/>
      <c r="SQZ202" s="885"/>
      <c r="SRA202" s="885"/>
      <c r="SRB202" s="885"/>
      <c r="SRC202" s="885"/>
      <c r="SRD202" s="885"/>
      <c r="SRE202" s="885"/>
      <c r="SRF202" s="885"/>
      <c r="SRG202" s="885"/>
      <c r="SRH202" s="885"/>
      <c r="SRI202" s="885"/>
      <c r="SRJ202" s="885"/>
      <c r="SRK202" s="885"/>
      <c r="SRL202" s="885"/>
      <c r="SRM202" s="885"/>
      <c r="SRN202" s="885"/>
      <c r="SRO202" s="885"/>
      <c r="SRP202" s="885"/>
      <c r="SRQ202" s="885"/>
      <c r="SRR202" s="885"/>
      <c r="SRS202" s="885"/>
      <c r="SRT202" s="885"/>
      <c r="SRU202" s="885"/>
      <c r="SRV202" s="885"/>
      <c r="SRW202" s="885"/>
      <c r="SRX202" s="885"/>
      <c r="SRY202" s="885"/>
      <c r="SRZ202" s="885"/>
      <c r="SSA202" s="885"/>
      <c r="SSB202" s="885"/>
      <c r="SSC202" s="885"/>
      <c r="SSD202" s="885"/>
      <c r="SSE202" s="885"/>
      <c r="SSF202" s="885"/>
      <c r="SSG202" s="885"/>
      <c r="SSH202" s="885"/>
      <c r="SSI202" s="885"/>
      <c r="SSJ202" s="885"/>
      <c r="SSK202" s="885"/>
      <c r="SSL202" s="885"/>
      <c r="SSM202" s="885"/>
      <c r="SSN202" s="885"/>
      <c r="SSO202" s="885"/>
      <c r="SSP202" s="885"/>
      <c r="SSQ202" s="885"/>
      <c r="SSR202" s="885"/>
      <c r="SSS202" s="885"/>
      <c r="SST202" s="885"/>
      <c r="SSU202" s="885"/>
      <c r="SSV202" s="885"/>
      <c r="SSW202" s="885"/>
      <c r="SSX202" s="885"/>
      <c r="SSY202" s="885"/>
      <c r="SSZ202" s="885"/>
      <c r="STA202" s="885"/>
      <c r="STB202" s="885"/>
      <c r="STC202" s="885"/>
      <c r="STD202" s="885"/>
      <c r="STE202" s="885"/>
      <c r="STF202" s="885"/>
      <c r="STG202" s="885"/>
      <c r="STH202" s="885"/>
      <c r="STI202" s="885"/>
      <c r="STJ202" s="885"/>
      <c r="STK202" s="885"/>
      <c r="STL202" s="885"/>
      <c r="STM202" s="885"/>
      <c r="STN202" s="885"/>
      <c r="STO202" s="885"/>
      <c r="STP202" s="885"/>
      <c r="STQ202" s="885"/>
      <c r="STR202" s="885"/>
      <c r="STS202" s="885"/>
      <c r="STT202" s="885"/>
      <c r="STU202" s="885"/>
      <c r="STV202" s="885"/>
      <c r="STW202" s="885"/>
      <c r="STX202" s="885"/>
      <c r="STY202" s="885"/>
      <c r="STZ202" s="885"/>
      <c r="SUA202" s="885"/>
      <c r="SUB202" s="885"/>
      <c r="SUC202" s="885"/>
      <c r="SUD202" s="885"/>
      <c r="SUE202" s="885"/>
      <c r="SUF202" s="885"/>
      <c r="SUG202" s="885"/>
      <c r="SUH202" s="885"/>
      <c r="SUI202" s="885"/>
      <c r="SUJ202" s="885"/>
      <c r="SUK202" s="885"/>
      <c r="SUL202" s="885"/>
      <c r="SUM202" s="885"/>
      <c r="SUN202" s="885"/>
      <c r="SUO202" s="885"/>
      <c r="SUP202" s="885"/>
      <c r="SUQ202" s="885"/>
      <c r="SUR202" s="885"/>
      <c r="SUS202" s="885"/>
      <c r="SUT202" s="885"/>
      <c r="SUU202" s="885"/>
      <c r="SUV202" s="885"/>
      <c r="SUW202" s="885"/>
      <c r="SUX202" s="885"/>
      <c r="SUY202" s="885"/>
      <c r="SUZ202" s="885"/>
      <c r="SVA202" s="885"/>
      <c r="SVB202" s="885"/>
      <c r="SVC202" s="885"/>
      <c r="SVD202" s="885"/>
      <c r="SVE202" s="885"/>
      <c r="SVF202" s="885"/>
      <c r="SVG202" s="885"/>
      <c r="SVH202" s="885"/>
      <c r="SVI202" s="885"/>
      <c r="SVJ202" s="885"/>
      <c r="SVK202" s="885"/>
      <c r="SVL202" s="885"/>
      <c r="SVM202" s="885"/>
      <c r="SVN202" s="885"/>
      <c r="SVO202" s="885"/>
      <c r="SVP202" s="885"/>
      <c r="SVQ202" s="885"/>
      <c r="SVR202" s="885"/>
      <c r="SVS202" s="885"/>
      <c r="SVT202" s="885"/>
      <c r="SVU202" s="885"/>
      <c r="SVV202" s="885"/>
      <c r="SVW202" s="885"/>
      <c r="SVX202" s="885"/>
      <c r="SVY202" s="885"/>
      <c r="SVZ202" s="885"/>
      <c r="SWA202" s="885"/>
      <c r="SWB202" s="885"/>
      <c r="SWC202" s="885"/>
      <c r="SWD202" s="885"/>
      <c r="SWE202" s="885"/>
      <c r="SWF202" s="885"/>
      <c r="SWG202" s="885"/>
      <c r="SWH202" s="885"/>
      <c r="SWI202" s="885"/>
      <c r="SWJ202" s="885"/>
      <c r="SWK202" s="885"/>
      <c r="SWL202" s="885"/>
      <c r="SWM202" s="885"/>
      <c r="SWN202" s="885"/>
      <c r="SWO202" s="885"/>
      <c r="SWP202" s="885"/>
      <c r="SWQ202" s="885"/>
      <c r="SWR202" s="885"/>
      <c r="SWS202" s="885"/>
      <c r="SWT202" s="885"/>
      <c r="SWU202" s="885"/>
      <c r="SWV202" s="885"/>
      <c r="SWW202" s="885"/>
      <c r="SWX202" s="885"/>
      <c r="SWY202" s="885"/>
      <c r="SWZ202" s="885"/>
      <c r="SXA202" s="885"/>
      <c r="SXB202" s="885"/>
      <c r="SXC202" s="885"/>
      <c r="SXD202" s="885"/>
      <c r="SXE202" s="885"/>
      <c r="SXF202" s="885"/>
      <c r="SXG202" s="885"/>
      <c r="SXH202" s="885"/>
      <c r="SXI202" s="885"/>
      <c r="SXJ202" s="885"/>
      <c r="SXK202" s="885"/>
      <c r="SXL202" s="885"/>
      <c r="SXM202" s="885"/>
      <c r="SXN202" s="885"/>
      <c r="SXO202" s="885"/>
      <c r="SXP202" s="885"/>
      <c r="SXQ202" s="885"/>
      <c r="SXR202" s="885"/>
      <c r="SXS202" s="885"/>
      <c r="SXT202" s="885"/>
      <c r="SXU202" s="885"/>
      <c r="SXV202" s="885"/>
      <c r="SXW202" s="885"/>
      <c r="SXX202" s="885"/>
      <c r="SXY202" s="885"/>
      <c r="SXZ202" s="885"/>
      <c r="SYA202" s="885"/>
      <c r="SYB202" s="885"/>
      <c r="SYC202" s="885"/>
      <c r="SYD202" s="885"/>
      <c r="SYE202" s="885"/>
      <c r="SYF202" s="885"/>
      <c r="SYG202" s="885"/>
      <c r="SYH202" s="885"/>
      <c r="SYI202" s="885"/>
      <c r="SYJ202" s="885"/>
      <c r="SYK202" s="885"/>
      <c r="SYL202" s="885"/>
      <c r="SYM202" s="885"/>
      <c r="SYN202" s="885"/>
      <c r="SYO202" s="885"/>
      <c r="SYP202" s="885"/>
      <c r="SYQ202" s="885"/>
      <c r="SYR202" s="885"/>
      <c r="SYS202" s="885"/>
      <c r="SYT202" s="885"/>
      <c r="SYU202" s="885"/>
      <c r="SYV202" s="885"/>
      <c r="SYW202" s="885"/>
      <c r="SYX202" s="885"/>
      <c r="SYY202" s="885"/>
      <c r="SYZ202" s="885"/>
      <c r="SZA202" s="885"/>
      <c r="SZB202" s="885"/>
      <c r="SZC202" s="885"/>
      <c r="SZD202" s="885"/>
      <c r="SZE202" s="885"/>
      <c r="SZF202" s="885"/>
      <c r="SZG202" s="885"/>
      <c r="SZH202" s="885"/>
      <c r="SZI202" s="885"/>
      <c r="SZJ202" s="885"/>
      <c r="SZK202" s="885"/>
      <c r="SZL202" s="885"/>
      <c r="SZM202" s="885"/>
      <c r="SZN202" s="885"/>
      <c r="SZO202" s="885"/>
      <c r="SZP202" s="885"/>
      <c r="SZQ202" s="885"/>
      <c r="SZR202" s="885"/>
      <c r="SZS202" s="885"/>
      <c r="SZT202" s="885"/>
      <c r="SZU202" s="885"/>
      <c r="SZV202" s="885"/>
      <c r="SZW202" s="885"/>
      <c r="SZX202" s="885"/>
      <c r="SZY202" s="885"/>
      <c r="SZZ202" s="885"/>
      <c r="TAA202" s="885"/>
      <c r="TAB202" s="885"/>
      <c r="TAC202" s="885"/>
      <c r="TAD202" s="885"/>
      <c r="TAE202" s="885"/>
      <c r="TAF202" s="885"/>
      <c r="TAG202" s="885"/>
      <c r="TAH202" s="885"/>
      <c r="TAI202" s="885"/>
      <c r="TAJ202" s="885"/>
      <c r="TAK202" s="885"/>
      <c r="TAL202" s="885"/>
      <c r="TAM202" s="885"/>
      <c r="TAN202" s="885"/>
      <c r="TAO202" s="885"/>
      <c r="TAP202" s="885"/>
      <c r="TAQ202" s="885"/>
      <c r="TAR202" s="885"/>
      <c r="TAS202" s="885"/>
      <c r="TAT202" s="885"/>
      <c r="TAU202" s="885"/>
      <c r="TAV202" s="885"/>
      <c r="TAW202" s="885"/>
      <c r="TAX202" s="885"/>
      <c r="TAY202" s="885"/>
      <c r="TAZ202" s="885"/>
      <c r="TBA202" s="885"/>
      <c r="TBB202" s="885"/>
      <c r="TBC202" s="885"/>
      <c r="TBD202" s="885"/>
      <c r="TBE202" s="885"/>
      <c r="TBF202" s="885"/>
      <c r="TBG202" s="885"/>
      <c r="TBH202" s="885"/>
      <c r="TBI202" s="885"/>
      <c r="TBJ202" s="885"/>
      <c r="TBK202" s="885"/>
      <c r="TBL202" s="885"/>
      <c r="TBM202" s="885"/>
      <c r="TBN202" s="885"/>
      <c r="TBO202" s="885"/>
      <c r="TBP202" s="885"/>
      <c r="TBQ202" s="885"/>
      <c r="TBR202" s="885"/>
      <c r="TBS202" s="885"/>
      <c r="TBT202" s="885"/>
      <c r="TBU202" s="885"/>
      <c r="TBV202" s="885"/>
      <c r="TBW202" s="885"/>
      <c r="TBX202" s="885"/>
      <c r="TBY202" s="885"/>
      <c r="TBZ202" s="885"/>
      <c r="TCA202" s="885"/>
      <c r="TCB202" s="885"/>
      <c r="TCC202" s="885"/>
      <c r="TCD202" s="885"/>
      <c r="TCE202" s="885"/>
      <c r="TCF202" s="885"/>
      <c r="TCG202" s="885"/>
      <c r="TCH202" s="885"/>
      <c r="TCI202" s="885"/>
      <c r="TCJ202" s="885"/>
      <c r="TCK202" s="885"/>
      <c r="TCL202" s="885"/>
      <c r="TCM202" s="885"/>
      <c r="TCN202" s="885"/>
      <c r="TCO202" s="885"/>
      <c r="TCP202" s="885"/>
      <c r="TCQ202" s="885"/>
      <c r="TCR202" s="885"/>
      <c r="TCS202" s="885"/>
      <c r="TCT202" s="885"/>
      <c r="TCU202" s="885"/>
      <c r="TCV202" s="885"/>
      <c r="TCW202" s="885"/>
      <c r="TCX202" s="885"/>
      <c r="TCY202" s="885"/>
      <c r="TCZ202" s="885"/>
      <c r="TDA202" s="885"/>
      <c r="TDB202" s="885"/>
      <c r="TDC202" s="885"/>
      <c r="TDD202" s="885"/>
      <c r="TDE202" s="885"/>
      <c r="TDF202" s="885"/>
      <c r="TDG202" s="885"/>
      <c r="TDH202" s="885"/>
      <c r="TDI202" s="885"/>
      <c r="TDJ202" s="885"/>
      <c r="TDK202" s="885"/>
      <c r="TDL202" s="885"/>
      <c r="TDM202" s="885"/>
      <c r="TDN202" s="885"/>
      <c r="TDO202" s="885"/>
      <c r="TDP202" s="885"/>
      <c r="TDQ202" s="885"/>
      <c r="TDR202" s="885"/>
      <c r="TDS202" s="885"/>
      <c r="TDT202" s="885"/>
      <c r="TDU202" s="885"/>
      <c r="TDV202" s="885"/>
      <c r="TDW202" s="885"/>
      <c r="TDX202" s="885"/>
      <c r="TDY202" s="885"/>
      <c r="TDZ202" s="885"/>
      <c r="TEA202" s="885"/>
      <c r="TEB202" s="885"/>
      <c r="TEC202" s="885"/>
      <c r="TED202" s="885"/>
      <c r="TEE202" s="885"/>
      <c r="TEF202" s="885"/>
      <c r="TEG202" s="885"/>
      <c r="TEH202" s="885"/>
      <c r="TEI202" s="885"/>
      <c r="TEJ202" s="885"/>
      <c r="TEK202" s="885"/>
      <c r="TEL202" s="885"/>
      <c r="TEM202" s="885"/>
      <c r="TEN202" s="885"/>
      <c r="TEO202" s="885"/>
      <c r="TEP202" s="885"/>
      <c r="TEQ202" s="885"/>
      <c r="TER202" s="885"/>
      <c r="TES202" s="885"/>
      <c r="TET202" s="885"/>
      <c r="TEU202" s="885"/>
      <c r="TEV202" s="885"/>
      <c r="TEW202" s="885"/>
      <c r="TEX202" s="885"/>
      <c r="TEY202" s="885"/>
      <c r="TEZ202" s="885"/>
      <c r="TFA202" s="885"/>
      <c r="TFB202" s="885"/>
      <c r="TFC202" s="885"/>
      <c r="TFD202" s="885"/>
      <c r="TFE202" s="885"/>
      <c r="TFF202" s="885"/>
      <c r="TFG202" s="885"/>
      <c r="TFH202" s="885"/>
      <c r="TFI202" s="885"/>
      <c r="TFJ202" s="885"/>
      <c r="TFK202" s="885"/>
      <c r="TFL202" s="885"/>
      <c r="TFM202" s="885"/>
      <c r="TFN202" s="885"/>
      <c r="TFO202" s="885"/>
      <c r="TFP202" s="885"/>
      <c r="TFQ202" s="885"/>
      <c r="TFR202" s="885"/>
      <c r="TFS202" s="885"/>
      <c r="TFT202" s="885"/>
      <c r="TFU202" s="885"/>
      <c r="TFV202" s="885"/>
      <c r="TFW202" s="885"/>
      <c r="TFX202" s="885"/>
      <c r="TFY202" s="885"/>
      <c r="TFZ202" s="885"/>
      <c r="TGA202" s="885"/>
      <c r="TGB202" s="885"/>
      <c r="TGC202" s="885"/>
      <c r="TGD202" s="885"/>
      <c r="TGE202" s="885"/>
      <c r="TGF202" s="885"/>
      <c r="TGG202" s="885"/>
      <c r="TGH202" s="885"/>
      <c r="TGI202" s="885"/>
      <c r="TGJ202" s="885"/>
      <c r="TGK202" s="885"/>
      <c r="TGL202" s="885"/>
      <c r="TGM202" s="885"/>
      <c r="TGN202" s="885"/>
      <c r="TGO202" s="885"/>
      <c r="TGP202" s="885"/>
      <c r="TGQ202" s="885"/>
      <c r="TGR202" s="885"/>
      <c r="TGS202" s="885"/>
      <c r="TGT202" s="885"/>
      <c r="TGU202" s="885"/>
      <c r="TGV202" s="885"/>
      <c r="TGW202" s="885"/>
      <c r="TGX202" s="885"/>
      <c r="TGY202" s="885"/>
      <c r="TGZ202" s="885"/>
      <c r="THA202" s="885"/>
      <c r="THB202" s="885"/>
      <c r="THC202" s="885"/>
      <c r="THD202" s="885"/>
      <c r="THE202" s="885"/>
      <c r="THF202" s="885"/>
      <c r="THG202" s="885"/>
      <c r="THH202" s="885"/>
      <c r="THI202" s="885"/>
      <c r="THJ202" s="885"/>
      <c r="THK202" s="885"/>
      <c r="THL202" s="885"/>
      <c r="THM202" s="885"/>
      <c r="THN202" s="885"/>
      <c r="THO202" s="885"/>
      <c r="THP202" s="885"/>
      <c r="THQ202" s="885"/>
      <c r="THR202" s="885"/>
      <c r="THS202" s="885"/>
      <c r="THT202" s="885"/>
      <c r="THU202" s="885"/>
      <c r="THV202" s="885"/>
      <c r="THW202" s="885"/>
      <c r="THX202" s="885"/>
      <c r="THY202" s="885"/>
      <c r="THZ202" s="885"/>
      <c r="TIA202" s="885"/>
      <c r="TIB202" s="885"/>
      <c r="TIC202" s="885"/>
      <c r="TID202" s="885"/>
      <c r="TIE202" s="885"/>
      <c r="TIF202" s="885"/>
      <c r="TIG202" s="885"/>
      <c r="TIH202" s="885"/>
      <c r="TII202" s="885"/>
      <c r="TIJ202" s="885"/>
      <c r="TIK202" s="885"/>
      <c r="TIL202" s="885"/>
      <c r="TIM202" s="885"/>
      <c r="TIN202" s="885"/>
      <c r="TIO202" s="885"/>
      <c r="TIP202" s="885"/>
      <c r="TIQ202" s="885"/>
      <c r="TIR202" s="885"/>
      <c r="TIS202" s="885"/>
      <c r="TIT202" s="885"/>
      <c r="TIU202" s="885"/>
      <c r="TIV202" s="885"/>
      <c r="TIW202" s="885"/>
      <c r="TIX202" s="885"/>
      <c r="TIY202" s="885"/>
      <c r="TIZ202" s="885"/>
      <c r="TJA202" s="885"/>
      <c r="TJB202" s="885"/>
      <c r="TJC202" s="885"/>
      <c r="TJD202" s="885"/>
      <c r="TJE202" s="885"/>
      <c r="TJF202" s="885"/>
      <c r="TJG202" s="885"/>
      <c r="TJH202" s="885"/>
      <c r="TJI202" s="885"/>
      <c r="TJJ202" s="885"/>
      <c r="TJK202" s="885"/>
      <c r="TJL202" s="885"/>
      <c r="TJM202" s="885"/>
      <c r="TJN202" s="885"/>
      <c r="TJO202" s="885"/>
      <c r="TJP202" s="885"/>
      <c r="TJQ202" s="885"/>
      <c r="TJR202" s="885"/>
      <c r="TJS202" s="885"/>
      <c r="TJT202" s="885"/>
      <c r="TJU202" s="885"/>
      <c r="TJV202" s="885"/>
      <c r="TJW202" s="885"/>
      <c r="TJX202" s="885"/>
      <c r="TJY202" s="885"/>
      <c r="TJZ202" s="885"/>
      <c r="TKA202" s="885"/>
      <c r="TKB202" s="885"/>
      <c r="TKC202" s="885"/>
      <c r="TKD202" s="885"/>
      <c r="TKE202" s="885"/>
      <c r="TKF202" s="885"/>
      <c r="TKG202" s="885"/>
      <c r="TKH202" s="885"/>
      <c r="TKI202" s="885"/>
      <c r="TKJ202" s="885"/>
      <c r="TKK202" s="885"/>
      <c r="TKL202" s="885"/>
      <c r="TKM202" s="885"/>
      <c r="TKN202" s="885"/>
      <c r="TKO202" s="885"/>
      <c r="TKP202" s="885"/>
      <c r="TKQ202" s="885"/>
      <c r="TKR202" s="885"/>
      <c r="TKS202" s="885"/>
      <c r="TKT202" s="885"/>
      <c r="TKU202" s="885"/>
      <c r="TKV202" s="885"/>
      <c r="TKW202" s="885"/>
      <c r="TKX202" s="885"/>
      <c r="TKY202" s="885"/>
      <c r="TKZ202" s="885"/>
      <c r="TLA202" s="885"/>
      <c r="TLB202" s="885"/>
      <c r="TLC202" s="885"/>
      <c r="TLD202" s="885"/>
      <c r="TLE202" s="885"/>
      <c r="TLF202" s="885"/>
      <c r="TLG202" s="885"/>
      <c r="TLH202" s="885"/>
      <c r="TLI202" s="885"/>
      <c r="TLJ202" s="885"/>
      <c r="TLK202" s="885"/>
      <c r="TLL202" s="885"/>
      <c r="TLM202" s="885"/>
      <c r="TLN202" s="885"/>
      <c r="TLO202" s="885"/>
      <c r="TLP202" s="885"/>
      <c r="TLQ202" s="885"/>
      <c r="TLR202" s="885"/>
      <c r="TLS202" s="885"/>
      <c r="TLT202" s="885"/>
      <c r="TLU202" s="885"/>
      <c r="TLV202" s="885"/>
      <c r="TLW202" s="885"/>
      <c r="TLX202" s="885"/>
      <c r="TLY202" s="885"/>
      <c r="TLZ202" s="885"/>
      <c r="TMA202" s="885"/>
      <c r="TMB202" s="885"/>
      <c r="TMC202" s="885"/>
      <c r="TMD202" s="885"/>
      <c r="TME202" s="885"/>
      <c r="TMF202" s="885"/>
      <c r="TMG202" s="885"/>
      <c r="TMH202" s="885"/>
      <c r="TMI202" s="885"/>
      <c r="TMJ202" s="885"/>
      <c r="TMK202" s="885"/>
      <c r="TML202" s="885"/>
      <c r="TMM202" s="885"/>
      <c r="TMN202" s="885"/>
      <c r="TMO202" s="885"/>
      <c r="TMP202" s="885"/>
      <c r="TMQ202" s="885"/>
      <c r="TMR202" s="885"/>
      <c r="TMS202" s="885"/>
      <c r="TMT202" s="885"/>
      <c r="TMU202" s="885"/>
      <c r="TMV202" s="885"/>
      <c r="TMW202" s="885"/>
      <c r="TMX202" s="885"/>
      <c r="TMY202" s="885"/>
      <c r="TMZ202" s="885"/>
      <c r="TNA202" s="885"/>
      <c r="TNB202" s="885"/>
      <c r="TNC202" s="885"/>
      <c r="TND202" s="885"/>
      <c r="TNE202" s="885"/>
      <c r="TNF202" s="885"/>
      <c r="TNG202" s="885"/>
      <c r="TNH202" s="885"/>
      <c r="TNI202" s="885"/>
      <c r="TNJ202" s="885"/>
      <c r="TNK202" s="885"/>
      <c r="TNL202" s="885"/>
      <c r="TNM202" s="885"/>
      <c r="TNN202" s="885"/>
      <c r="TNO202" s="885"/>
      <c r="TNP202" s="885"/>
      <c r="TNQ202" s="885"/>
      <c r="TNR202" s="885"/>
      <c r="TNS202" s="885"/>
      <c r="TNT202" s="885"/>
      <c r="TNU202" s="885"/>
      <c r="TNV202" s="885"/>
      <c r="TNW202" s="885"/>
      <c r="TNX202" s="885"/>
      <c r="TNY202" s="885"/>
      <c r="TNZ202" s="885"/>
      <c r="TOA202" s="885"/>
      <c r="TOB202" s="885"/>
      <c r="TOC202" s="885"/>
      <c r="TOD202" s="885"/>
      <c r="TOE202" s="885"/>
      <c r="TOF202" s="885"/>
      <c r="TOG202" s="885"/>
      <c r="TOH202" s="885"/>
      <c r="TOI202" s="885"/>
      <c r="TOJ202" s="885"/>
      <c r="TOK202" s="885"/>
      <c r="TOL202" s="885"/>
      <c r="TOM202" s="885"/>
      <c r="TON202" s="885"/>
      <c r="TOO202" s="885"/>
      <c r="TOP202" s="885"/>
      <c r="TOQ202" s="885"/>
      <c r="TOR202" s="885"/>
      <c r="TOS202" s="885"/>
      <c r="TOT202" s="885"/>
      <c r="TOU202" s="885"/>
      <c r="TOV202" s="885"/>
      <c r="TOW202" s="885"/>
      <c r="TOX202" s="885"/>
      <c r="TOY202" s="885"/>
      <c r="TOZ202" s="885"/>
      <c r="TPA202" s="885"/>
      <c r="TPB202" s="885"/>
      <c r="TPC202" s="885"/>
      <c r="TPD202" s="885"/>
      <c r="TPE202" s="885"/>
      <c r="TPF202" s="885"/>
      <c r="TPG202" s="885"/>
      <c r="TPH202" s="885"/>
      <c r="TPI202" s="885"/>
      <c r="TPJ202" s="885"/>
      <c r="TPK202" s="885"/>
      <c r="TPL202" s="885"/>
      <c r="TPM202" s="885"/>
      <c r="TPN202" s="885"/>
      <c r="TPO202" s="885"/>
      <c r="TPP202" s="885"/>
      <c r="TPQ202" s="885"/>
      <c r="TPR202" s="885"/>
      <c r="TPS202" s="885"/>
      <c r="TPT202" s="885"/>
      <c r="TPU202" s="885"/>
      <c r="TPV202" s="885"/>
      <c r="TPW202" s="885"/>
      <c r="TPX202" s="885"/>
      <c r="TPY202" s="885"/>
      <c r="TPZ202" s="885"/>
      <c r="TQA202" s="885"/>
      <c r="TQB202" s="885"/>
      <c r="TQC202" s="885"/>
      <c r="TQD202" s="885"/>
      <c r="TQE202" s="885"/>
      <c r="TQF202" s="885"/>
      <c r="TQG202" s="885"/>
      <c r="TQH202" s="885"/>
      <c r="TQI202" s="885"/>
      <c r="TQJ202" s="885"/>
      <c r="TQK202" s="885"/>
      <c r="TQL202" s="885"/>
      <c r="TQM202" s="885"/>
      <c r="TQN202" s="885"/>
      <c r="TQO202" s="885"/>
      <c r="TQP202" s="885"/>
      <c r="TQQ202" s="885"/>
      <c r="TQR202" s="885"/>
      <c r="TQS202" s="885"/>
      <c r="TQT202" s="885"/>
      <c r="TQU202" s="885"/>
      <c r="TQV202" s="885"/>
      <c r="TQW202" s="885"/>
      <c r="TQX202" s="885"/>
      <c r="TQY202" s="885"/>
      <c r="TQZ202" s="885"/>
      <c r="TRA202" s="885"/>
      <c r="TRB202" s="885"/>
      <c r="TRC202" s="885"/>
      <c r="TRD202" s="885"/>
      <c r="TRE202" s="885"/>
      <c r="TRF202" s="885"/>
      <c r="TRG202" s="885"/>
      <c r="TRH202" s="885"/>
      <c r="TRI202" s="885"/>
      <c r="TRJ202" s="885"/>
      <c r="TRK202" s="885"/>
      <c r="TRL202" s="885"/>
      <c r="TRM202" s="885"/>
      <c r="TRN202" s="885"/>
      <c r="TRO202" s="885"/>
      <c r="TRP202" s="885"/>
      <c r="TRQ202" s="885"/>
      <c r="TRR202" s="885"/>
      <c r="TRS202" s="885"/>
      <c r="TRT202" s="885"/>
      <c r="TRU202" s="885"/>
      <c r="TRV202" s="885"/>
      <c r="TRW202" s="885"/>
      <c r="TRX202" s="885"/>
      <c r="TRY202" s="885"/>
      <c r="TRZ202" s="885"/>
      <c r="TSA202" s="885"/>
      <c r="TSB202" s="885"/>
      <c r="TSC202" s="885"/>
      <c r="TSD202" s="885"/>
      <c r="TSE202" s="885"/>
      <c r="TSF202" s="885"/>
      <c r="TSG202" s="885"/>
      <c r="TSH202" s="885"/>
      <c r="TSI202" s="885"/>
      <c r="TSJ202" s="885"/>
      <c r="TSK202" s="885"/>
      <c r="TSL202" s="885"/>
      <c r="TSM202" s="885"/>
      <c r="TSN202" s="885"/>
      <c r="TSO202" s="885"/>
      <c r="TSP202" s="885"/>
      <c r="TSQ202" s="885"/>
      <c r="TSR202" s="885"/>
      <c r="TSS202" s="885"/>
      <c r="TST202" s="885"/>
      <c r="TSU202" s="885"/>
      <c r="TSV202" s="885"/>
      <c r="TSW202" s="885"/>
      <c r="TSX202" s="885"/>
      <c r="TSY202" s="885"/>
      <c r="TSZ202" s="885"/>
      <c r="TTA202" s="885"/>
      <c r="TTB202" s="885"/>
      <c r="TTC202" s="885"/>
      <c r="TTD202" s="885"/>
      <c r="TTE202" s="885"/>
      <c r="TTF202" s="885"/>
      <c r="TTG202" s="885"/>
      <c r="TTH202" s="885"/>
      <c r="TTI202" s="885"/>
      <c r="TTJ202" s="885"/>
      <c r="TTK202" s="885"/>
      <c r="TTL202" s="885"/>
      <c r="TTM202" s="885"/>
      <c r="TTN202" s="885"/>
      <c r="TTO202" s="885"/>
      <c r="TTP202" s="885"/>
      <c r="TTQ202" s="885"/>
      <c r="TTR202" s="885"/>
      <c r="TTS202" s="885"/>
      <c r="TTT202" s="885"/>
      <c r="TTU202" s="885"/>
      <c r="TTV202" s="885"/>
      <c r="TTW202" s="885"/>
      <c r="TTX202" s="885"/>
      <c r="TTY202" s="885"/>
      <c r="TTZ202" s="885"/>
      <c r="TUA202" s="885"/>
      <c r="TUB202" s="885"/>
      <c r="TUC202" s="885"/>
      <c r="TUD202" s="885"/>
      <c r="TUE202" s="885"/>
      <c r="TUF202" s="885"/>
      <c r="TUG202" s="885"/>
      <c r="TUH202" s="885"/>
      <c r="TUI202" s="885"/>
      <c r="TUJ202" s="885"/>
      <c r="TUK202" s="885"/>
      <c r="TUL202" s="885"/>
      <c r="TUM202" s="885"/>
      <c r="TUN202" s="885"/>
      <c r="TUO202" s="885"/>
      <c r="TUP202" s="885"/>
      <c r="TUQ202" s="885"/>
      <c r="TUR202" s="885"/>
      <c r="TUS202" s="885"/>
      <c r="TUT202" s="885"/>
      <c r="TUU202" s="885"/>
      <c r="TUV202" s="885"/>
      <c r="TUW202" s="885"/>
      <c r="TUX202" s="885"/>
      <c r="TUY202" s="885"/>
      <c r="TUZ202" s="885"/>
      <c r="TVA202" s="885"/>
      <c r="TVB202" s="885"/>
      <c r="TVC202" s="885"/>
      <c r="TVD202" s="885"/>
      <c r="TVE202" s="885"/>
      <c r="TVF202" s="885"/>
      <c r="TVG202" s="885"/>
      <c r="TVH202" s="885"/>
      <c r="TVI202" s="885"/>
      <c r="TVJ202" s="885"/>
      <c r="TVK202" s="885"/>
      <c r="TVL202" s="885"/>
      <c r="TVM202" s="885"/>
      <c r="TVN202" s="885"/>
      <c r="TVO202" s="885"/>
      <c r="TVP202" s="885"/>
      <c r="TVQ202" s="885"/>
      <c r="TVR202" s="885"/>
      <c r="TVS202" s="885"/>
      <c r="TVT202" s="885"/>
      <c r="TVU202" s="885"/>
      <c r="TVV202" s="885"/>
      <c r="TVW202" s="885"/>
      <c r="TVX202" s="885"/>
      <c r="TVY202" s="885"/>
      <c r="TVZ202" s="885"/>
      <c r="TWA202" s="885"/>
      <c r="TWB202" s="885"/>
      <c r="TWC202" s="885"/>
      <c r="TWD202" s="885"/>
      <c r="TWE202" s="885"/>
      <c r="TWF202" s="885"/>
      <c r="TWG202" s="885"/>
      <c r="TWH202" s="885"/>
      <c r="TWI202" s="885"/>
      <c r="TWJ202" s="885"/>
      <c r="TWK202" s="885"/>
      <c r="TWL202" s="885"/>
      <c r="TWM202" s="885"/>
      <c r="TWN202" s="885"/>
      <c r="TWO202" s="885"/>
      <c r="TWP202" s="885"/>
      <c r="TWQ202" s="885"/>
      <c r="TWR202" s="885"/>
      <c r="TWS202" s="885"/>
      <c r="TWT202" s="885"/>
      <c r="TWU202" s="885"/>
      <c r="TWV202" s="885"/>
      <c r="TWW202" s="885"/>
      <c r="TWX202" s="885"/>
      <c r="TWY202" s="885"/>
      <c r="TWZ202" s="885"/>
      <c r="TXA202" s="885"/>
      <c r="TXB202" s="885"/>
      <c r="TXC202" s="885"/>
      <c r="TXD202" s="885"/>
      <c r="TXE202" s="885"/>
      <c r="TXF202" s="885"/>
      <c r="TXG202" s="885"/>
      <c r="TXH202" s="885"/>
      <c r="TXI202" s="885"/>
      <c r="TXJ202" s="885"/>
      <c r="TXK202" s="885"/>
      <c r="TXL202" s="885"/>
      <c r="TXM202" s="885"/>
      <c r="TXN202" s="885"/>
      <c r="TXO202" s="885"/>
      <c r="TXP202" s="885"/>
      <c r="TXQ202" s="885"/>
      <c r="TXR202" s="885"/>
      <c r="TXS202" s="885"/>
      <c r="TXT202" s="885"/>
      <c r="TXU202" s="885"/>
      <c r="TXV202" s="885"/>
      <c r="TXW202" s="885"/>
      <c r="TXX202" s="885"/>
      <c r="TXY202" s="885"/>
      <c r="TXZ202" s="885"/>
      <c r="TYA202" s="885"/>
      <c r="TYB202" s="885"/>
      <c r="TYC202" s="885"/>
      <c r="TYD202" s="885"/>
      <c r="TYE202" s="885"/>
      <c r="TYF202" s="885"/>
      <c r="TYG202" s="885"/>
      <c r="TYH202" s="885"/>
      <c r="TYI202" s="885"/>
      <c r="TYJ202" s="885"/>
      <c r="TYK202" s="885"/>
      <c r="TYL202" s="885"/>
      <c r="TYM202" s="885"/>
      <c r="TYN202" s="885"/>
      <c r="TYO202" s="885"/>
      <c r="TYP202" s="885"/>
      <c r="TYQ202" s="885"/>
      <c r="TYR202" s="885"/>
      <c r="TYS202" s="885"/>
      <c r="TYT202" s="885"/>
      <c r="TYU202" s="885"/>
      <c r="TYV202" s="885"/>
      <c r="TYW202" s="885"/>
      <c r="TYX202" s="885"/>
      <c r="TYY202" s="885"/>
      <c r="TYZ202" s="885"/>
      <c r="TZA202" s="885"/>
      <c r="TZB202" s="885"/>
      <c r="TZC202" s="885"/>
      <c r="TZD202" s="885"/>
      <c r="TZE202" s="885"/>
      <c r="TZF202" s="885"/>
      <c r="TZG202" s="885"/>
      <c r="TZH202" s="885"/>
      <c r="TZI202" s="885"/>
      <c r="TZJ202" s="885"/>
      <c r="TZK202" s="885"/>
      <c r="TZL202" s="885"/>
      <c r="TZM202" s="885"/>
      <c r="TZN202" s="885"/>
      <c r="TZO202" s="885"/>
      <c r="TZP202" s="885"/>
      <c r="TZQ202" s="885"/>
      <c r="TZR202" s="885"/>
      <c r="TZS202" s="885"/>
      <c r="TZT202" s="885"/>
      <c r="TZU202" s="885"/>
      <c r="TZV202" s="885"/>
      <c r="TZW202" s="885"/>
      <c r="TZX202" s="885"/>
      <c r="TZY202" s="885"/>
      <c r="TZZ202" s="885"/>
      <c r="UAA202" s="885"/>
      <c r="UAB202" s="885"/>
      <c r="UAC202" s="885"/>
      <c r="UAD202" s="885"/>
      <c r="UAE202" s="885"/>
      <c r="UAF202" s="885"/>
      <c r="UAG202" s="885"/>
      <c r="UAH202" s="885"/>
      <c r="UAI202" s="885"/>
      <c r="UAJ202" s="885"/>
      <c r="UAK202" s="885"/>
      <c r="UAL202" s="885"/>
      <c r="UAM202" s="885"/>
      <c r="UAN202" s="885"/>
      <c r="UAO202" s="885"/>
      <c r="UAP202" s="885"/>
      <c r="UAQ202" s="885"/>
      <c r="UAR202" s="885"/>
      <c r="UAS202" s="885"/>
      <c r="UAT202" s="885"/>
      <c r="UAU202" s="885"/>
      <c r="UAV202" s="885"/>
      <c r="UAW202" s="885"/>
      <c r="UAX202" s="885"/>
      <c r="UAY202" s="885"/>
      <c r="UAZ202" s="885"/>
      <c r="UBA202" s="885"/>
      <c r="UBB202" s="885"/>
      <c r="UBC202" s="885"/>
      <c r="UBD202" s="885"/>
      <c r="UBE202" s="885"/>
      <c r="UBF202" s="885"/>
      <c r="UBG202" s="885"/>
      <c r="UBH202" s="885"/>
      <c r="UBI202" s="885"/>
      <c r="UBJ202" s="885"/>
      <c r="UBK202" s="885"/>
      <c r="UBL202" s="885"/>
      <c r="UBM202" s="885"/>
      <c r="UBN202" s="885"/>
      <c r="UBO202" s="885"/>
      <c r="UBP202" s="885"/>
      <c r="UBQ202" s="885"/>
      <c r="UBR202" s="885"/>
      <c r="UBS202" s="885"/>
      <c r="UBT202" s="885"/>
      <c r="UBU202" s="885"/>
      <c r="UBV202" s="885"/>
      <c r="UBW202" s="885"/>
      <c r="UBX202" s="885"/>
      <c r="UBY202" s="885"/>
      <c r="UBZ202" s="885"/>
      <c r="UCA202" s="885"/>
      <c r="UCB202" s="885"/>
      <c r="UCC202" s="885"/>
      <c r="UCD202" s="885"/>
      <c r="UCE202" s="885"/>
      <c r="UCF202" s="885"/>
      <c r="UCG202" s="885"/>
      <c r="UCH202" s="885"/>
      <c r="UCI202" s="885"/>
      <c r="UCJ202" s="885"/>
      <c r="UCK202" s="885"/>
      <c r="UCL202" s="885"/>
      <c r="UCM202" s="885"/>
      <c r="UCN202" s="885"/>
      <c r="UCO202" s="885"/>
      <c r="UCP202" s="885"/>
      <c r="UCQ202" s="885"/>
      <c r="UCR202" s="885"/>
      <c r="UCS202" s="885"/>
      <c r="UCT202" s="885"/>
      <c r="UCU202" s="885"/>
      <c r="UCV202" s="885"/>
      <c r="UCW202" s="885"/>
      <c r="UCX202" s="885"/>
      <c r="UCY202" s="885"/>
      <c r="UCZ202" s="885"/>
      <c r="UDA202" s="885"/>
      <c r="UDB202" s="885"/>
      <c r="UDC202" s="885"/>
      <c r="UDD202" s="885"/>
      <c r="UDE202" s="885"/>
      <c r="UDF202" s="885"/>
      <c r="UDG202" s="885"/>
      <c r="UDH202" s="885"/>
      <c r="UDI202" s="885"/>
      <c r="UDJ202" s="885"/>
      <c r="UDK202" s="885"/>
      <c r="UDL202" s="885"/>
      <c r="UDM202" s="885"/>
      <c r="UDN202" s="885"/>
      <c r="UDO202" s="885"/>
      <c r="UDP202" s="885"/>
      <c r="UDQ202" s="885"/>
      <c r="UDR202" s="885"/>
      <c r="UDS202" s="885"/>
      <c r="UDT202" s="885"/>
      <c r="UDU202" s="885"/>
      <c r="UDV202" s="885"/>
      <c r="UDW202" s="885"/>
      <c r="UDX202" s="885"/>
      <c r="UDY202" s="885"/>
      <c r="UDZ202" s="885"/>
      <c r="UEA202" s="885"/>
      <c r="UEB202" s="885"/>
      <c r="UEC202" s="885"/>
      <c r="UED202" s="885"/>
      <c r="UEE202" s="885"/>
      <c r="UEF202" s="885"/>
      <c r="UEG202" s="885"/>
      <c r="UEH202" s="885"/>
      <c r="UEI202" s="885"/>
      <c r="UEJ202" s="885"/>
      <c r="UEK202" s="885"/>
      <c r="UEL202" s="885"/>
      <c r="UEM202" s="885"/>
      <c r="UEN202" s="885"/>
      <c r="UEO202" s="885"/>
      <c r="UEP202" s="885"/>
      <c r="UEQ202" s="885"/>
      <c r="UER202" s="885"/>
      <c r="UES202" s="885"/>
      <c r="UET202" s="885"/>
      <c r="UEU202" s="885"/>
      <c r="UEV202" s="885"/>
      <c r="UEW202" s="885"/>
      <c r="UEX202" s="885"/>
      <c r="UEY202" s="885"/>
      <c r="UEZ202" s="885"/>
      <c r="UFA202" s="885"/>
      <c r="UFB202" s="885"/>
      <c r="UFC202" s="885"/>
      <c r="UFD202" s="885"/>
      <c r="UFE202" s="885"/>
      <c r="UFF202" s="885"/>
      <c r="UFG202" s="885"/>
      <c r="UFH202" s="885"/>
      <c r="UFI202" s="885"/>
      <c r="UFJ202" s="885"/>
      <c r="UFK202" s="885"/>
      <c r="UFL202" s="885"/>
      <c r="UFM202" s="885"/>
      <c r="UFN202" s="885"/>
      <c r="UFO202" s="885"/>
      <c r="UFP202" s="885"/>
      <c r="UFQ202" s="885"/>
      <c r="UFR202" s="885"/>
      <c r="UFS202" s="885"/>
      <c r="UFT202" s="885"/>
      <c r="UFU202" s="885"/>
      <c r="UFV202" s="885"/>
      <c r="UFW202" s="885"/>
      <c r="UFX202" s="885"/>
      <c r="UFY202" s="885"/>
      <c r="UFZ202" s="885"/>
      <c r="UGA202" s="885"/>
      <c r="UGB202" s="885"/>
      <c r="UGC202" s="885"/>
      <c r="UGD202" s="885"/>
      <c r="UGE202" s="885"/>
      <c r="UGF202" s="885"/>
      <c r="UGG202" s="885"/>
      <c r="UGH202" s="885"/>
      <c r="UGI202" s="885"/>
      <c r="UGJ202" s="885"/>
      <c r="UGK202" s="885"/>
      <c r="UGL202" s="885"/>
      <c r="UGM202" s="885"/>
      <c r="UGN202" s="885"/>
      <c r="UGO202" s="885"/>
      <c r="UGP202" s="885"/>
      <c r="UGQ202" s="885"/>
      <c r="UGR202" s="885"/>
      <c r="UGS202" s="885"/>
      <c r="UGT202" s="885"/>
      <c r="UGU202" s="885"/>
      <c r="UGV202" s="885"/>
      <c r="UGW202" s="885"/>
      <c r="UGX202" s="885"/>
      <c r="UGY202" s="885"/>
      <c r="UGZ202" s="885"/>
      <c r="UHA202" s="885"/>
      <c r="UHB202" s="885"/>
      <c r="UHC202" s="885"/>
      <c r="UHD202" s="885"/>
      <c r="UHE202" s="885"/>
      <c r="UHF202" s="885"/>
      <c r="UHG202" s="885"/>
      <c r="UHH202" s="885"/>
      <c r="UHI202" s="885"/>
      <c r="UHJ202" s="885"/>
      <c r="UHK202" s="885"/>
      <c r="UHL202" s="885"/>
      <c r="UHM202" s="885"/>
      <c r="UHN202" s="885"/>
      <c r="UHO202" s="885"/>
      <c r="UHP202" s="885"/>
      <c r="UHQ202" s="885"/>
      <c r="UHR202" s="885"/>
      <c r="UHS202" s="885"/>
      <c r="UHT202" s="885"/>
      <c r="UHU202" s="885"/>
      <c r="UHV202" s="885"/>
      <c r="UHW202" s="885"/>
      <c r="UHX202" s="885"/>
      <c r="UHY202" s="885"/>
      <c r="UHZ202" s="885"/>
      <c r="UIA202" s="885"/>
      <c r="UIB202" s="885"/>
      <c r="UIC202" s="885"/>
      <c r="UID202" s="885"/>
      <c r="UIE202" s="885"/>
      <c r="UIF202" s="885"/>
      <c r="UIG202" s="885"/>
      <c r="UIH202" s="885"/>
      <c r="UII202" s="885"/>
      <c r="UIJ202" s="885"/>
      <c r="UIK202" s="885"/>
      <c r="UIL202" s="885"/>
      <c r="UIM202" s="885"/>
      <c r="UIN202" s="885"/>
      <c r="UIO202" s="885"/>
      <c r="UIP202" s="885"/>
      <c r="UIQ202" s="885"/>
      <c r="UIR202" s="885"/>
      <c r="UIS202" s="885"/>
      <c r="UIT202" s="885"/>
      <c r="UIU202" s="885"/>
      <c r="UIV202" s="885"/>
      <c r="UIW202" s="885"/>
      <c r="UIX202" s="885"/>
      <c r="UIY202" s="885"/>
      <c r="UIZ202" s="885"/>
      <c r="UJA202" s="885"/>
      <c r="UJB202" s="885"/>
      <c r="UJC202" s="885"/>
      <c r="UJD202" s="885"/>
      <c r="UJE202" s="885"/>
      <c r="UJF202" s="885"/>
      <c r="UJG202" s="885"/>
      <c r="UJH202" s="885"/>
      <c r="UJI202" s="885"/>
      <c r="UJJ202" s="885"/>
      <c r="UJK202" s="885"/>
      <c r="UJL202" s="885"/>
      <c r="UJM202" s="885"/>
      <c r="UJN202" s="885"/>
      <c r="UJO202" s="885"/>
      <c r="UJP202" s="885"/>
      <c r="UJQ202" s="885"/>
      <c r="UJR202" s="885"/>
      <c r="UJS202" s="885"/>
      <c r="UJT202" s="885"/>
      <c r="UJU202" s="885"/>
      <c r="UJV202" s="885"/>
      <c r="UJW202" s="885"/>
      <c r="UJX202" s="885"/>
      <c r="UJY202" s="885"/>
      <c r="UJZ202" s="885"/>
      <c r="UKA202" s="885"/>
      <c r="UKB202" s="885"/>
      <c r="UKC202" s="885"/>
      <c r="UKD202" s="885"/>
      <c r="UKE202" s="885"/>
      <c r="UKF202" s="885"/>
      <c r="UKG202" s="885"/>
      <c r="UKH202" s="885"/>
      <c r="UKI202" s="885"/>
      <c r="UKJ202" s="885"/>
      <c r="UKK202" s="885"/>
      <c r="UKL202" s="885"/>
      <c r="UKM202" s="885"/>
      <c r="UKN202" s="885"/>
      <c r="UKO202" s="885"/>
      <c r="UKP202" s="885"/>
      <c r="UKQ202" s="885"/>
      <c r="UKR202" s="885"/>
      <c r="UKS202" s="885"/>
      <c r="UKT202" s="885"/>
      <c r="UKU202" s="885"/>
      <c r="UKV202" s="885"/>
      <c r="UKW202" s="885"/>
      <c r="UKX202" s="885"/>
      <c r="UKY202" s="885"/>
      <c r="UKZ202" s="885"/>
      <c r="ULA202" s="885"/>
      <c r="ULB202" s="885"/>
      <c r="ULC202" s="885"/>
      <c r="ULD202" s="885"/>
      <c r="ULE202" s="885"/>
      <c r="ULF202" s="885"/>
      <c r="ULG202" s="885"/>
      <c r="ULH202" s="885"/>
      <c r="ULI202" s="885"/>
      <c r="ULJ202" s="885"/>
      <c r="ULK202" s="885"/>
      <c r="ULL202" s="885"/>
      <c r="ULM202" s="885"/>
      <c r="ULN202" s="885"/>
      <c r="ULO202" s="885"/>
      <c r="ULP202" s="885"/>
      <c r="ULQ202" s="885"/>
      <c r="ULR202" s="885"/>
      <c r="ULS202" s="885"/>
      <c r="ULT202" s="885"/>
      <c r="ULU202" s="885"/>
      <c r="ULV202" s="885"/>
      <c r="ULW202" s="885"/>
      <c r="ULX202" s="885"/>
      <c r="ULY202" s="885"/>
      <c r="ULZ202" s="885"/>
      <c r="UMA202" s="885"/>
      <c r="UMB202" s="885"/>
      <c r="UMC202" s="885"/>
      <c r="UMD202" s="885"/>
      <c r="UME202" s="885"/>
      <c r="UMF202" s="885"/>
      <c r="UMG202" s="885"/>
      <c r="UMH202" s="885"/>
      <c r="UMI202" s="885"/>
      <c r="UMJ202" s="885"/>
      <c r="UMK202" s="885"/>
      <c r="UML202" s="885"/>
      <c r="UMM202" s="885"/>
      <c r="UMN202" s="885"/>
      <c r="UMO202" s="885"/>
      <c r="UMP202" s="885"/>
      <c r="UMQ202" s="885"/>
      <c r="UMR202" s="885"/>
      <c r="UMS202" s="885"/>
      <c r="UMT202" s="885"/>
      <c r="UMU202" s="885"/>
      <c r="UMV202" s="885"/>
      <c r="UMW202" s="885"/>
      <c r="UMX202" s="885"/>
      <c r="UMY202" s="885"/>
      <c r="UMZ202" s="885"/>
      <c r="UNA202" s="885"/>
      <c r="UNB202" s="885"/>
      <c r="UNC202" s="885"/>
      <c r="UND202" s="885"/>
      <c r="UNE202" s="885"/>
      <c r="UNF202" s="885"/>
      <c r="UNG202" s="885"/>
      <c r="UNH202" s="885"/>
      <c r="UNI202" s="885"/>
      <c r="UNJ202" s="885"/>
      <c r="UNK202" s="885"/>
      <c r="UNL202" s="885"/>
      <c r="UNM202" s="885"/>
      <c r="UNN202" s="885"/>
      <c r="UNO202" s="885"/>
      <c r="UNP202" s="885"/>
      <c r="UNQ202" s="885"/>
      <c r="UNR202" s="885"/>
      <c r="UNS202" s="885"/>
      <c r="UNT202" s="885"/>
      <c r="UNU202" s="885"/>
      <c r="UNV202" s="885"/>
      <c r="UNW202" s="885"/>
      <c r="UNX202" s="885"/>
      <c r="UNY202" s="885"/>
      <c r="UNZ202" s="885"/>
      <c r="UOA202" s="885"/>
      <c r="UOB202" s="885"/>
      <c r="UOC202" s="885"/>
      <c r="UOD202" s="885"/>
      <c r="UOE202" s="885"/>
      <c r="UOF202" s="885"/>
      <c r="UOG202" s="885"/>
      <c r="UOH202" s="885"/>
      <c r="UOI202" s="885"/>
      <c r="UOJ202" s="885"/>
      <c r="UOK202" s="885"/>
      <c r="UOL202" s="885"/>
      <c r="UOM202" s="885"/>
      <c r="UON202" s="885"/>
      <c r="UOO202" s="885"/>
      <c r="UOP202" s="885"/>
      <c r="UOQ202" s="885"/>
      <c r="UOR202" s="885"/>
      <c r="UOS202" s="885"/>
      <c r="UOT202" s="885"/>
      <c r="UOU202" s="885"/>
      <c r="UOV202" s="885"/>
      <c r="UOW202" s="885"/>
      <c r="UOX202" s="885"/>
      <c r="UOY202" s="885"/>
      <c r="UOZ202" s="885"/>
      <c r="UPA202" s="885"/>
      <c r="UPB202" s="885"/>
      <c r="UPC202" s="885"/>
      <c r="UPD202" s="885"/>
      <c r="UPE202" s="885"/>
      <c r="UPF202" s="885"/>
      <c r="UPG202" s="885"/>
      <c r="UPH202" s="885"/>
      <c r="UPI202" s="885"/>
      <c r="UPJ202" s="885"/>
      <c r="UPK202" s="885"/>
      <c r="UPL202" s="885"/>
      <c r="UPM202" s="885"/>
      <c r="UPN202" s="885"/>
      <c r="UPO202" s="885"/>
      <c r="UPP202" s="885"/>
      <c r="UPQ202" s="885"/>
      <c r="UPR202" s="885"/>
      <c r="UPS202" s="885"/>
      <c r="UPT202" s="885"/>
      <c r="UPU202" s="885"/>
      <c r="UPV202" s="885"/>
      <c r="UPW202" s="885"/>
      <c r="UPX202" s="885"/>
      <c r="UPY202" s="885"/>
      <c r="UPZ202" s="885"/>
      <c r="UQA202" s="885"/>
      <c r="UQB202" s="885"/>
      <c r="UQC202" s="885"/>
      <c r="UQD202" s="885"/>
      <c r="UQE202" s="885"/>
      <c r="UQF202" s="885"/>
      <c r="UQG202" s="885"/>
      <c r="UQH202" s="885"/>
      <c r="UQI202" s="885"/>
      <c r="UQJ202" s="885"/>
      <c r="UQK202" s="885"/>
      <c r="UQL202" s="885"/>
      <c r="UQM202" s="885"/>
      <c r="UQN202" s="885"/>
      <c r="UQO202" s="885"/>
      <c r="UQP202" s="885"/>
      <c r="UQQ202" s="885"/>
      <c r="UQR202" s="885"/>
      <c r="UQS202" s="885"/>
      <c r="UQT202" s="885"/>
      <c r="UQU202" s="885"/>
      <c r="UQV202" s="885"/>
      <c r="UQW202" s="885"/>
      <c r="UQX202" s="885"/>
      <c r="UQY202" s="885"/>
      <c r="UQZ202" s="885"/>
      <c r="URA202" s="885"/>
      <c r="URB202" s="885"/>
      <c r="URC202" s="885"/>
      <c r="URD202" s="885"/>
      <c r="URE202" s="885"/>
      <c r="URF202" s="885"/>
      <c r="URG202" s="885"/>
      <c r="URH202" s="885"/>
      <c r="URI202" s="885"/>
      <c r="URJ202" s="885"/>
      <c r="URK202" s="885"/>
      <c r="URL202" s="885"/>
      <c r="URM202" s="885"/>
      <c r="URN202" s="885"/>
      <c r="URO202" s="885"/>
      <c r="URP202" s="885"/>
      <c r="URQ202" s="885"/>
      <c r="URR202" s="885"/>
      <c r="URS202" s="885"/>
      <c r="URT202" s="885"/>
      <c r="URU202" s="885"/>
      <c r="URV202" s="885"/>
      <c r="URW202" s="885"/>
      <c r="URX202" s="885"/>
      <c r="URY202" s="885"/>
      <c r="URZ202" s="885"/>
      <c r="USA202" s="885"/>
      <c r="USB202" s="885"/>
      <c r="USC202" s="885"/>
      <c r="USD202" s="885"/>
      <c r="USE202" s="885"/>
      <c r="USF202" s="885"/>
      <c r="USG202" s="885"/>
      <c r="USH202" s="885"/>
      <c r="USI202" s="885"/>
      <c r="USJ202" s="885"/>
      <c r="USK202" s="885"/>
      <c r="USL202" s="885"/>
      <c r="USM202" s="885"/>
      <c r="USN202" s="885"/>
      <c r="USO202" s="885"/>
      <c r="USP202" s="885"/>
      <c r="USQ202" s="885"/>
      <c r="USR202" s="885"/>
      <c r="USS202" s="885"/>
      <c r="UST202" s="885"/>
      <c r="USU202" s="885"/>
      <c r="USV202" s="885"/>
      <c r="USW202" s="885"/>
      <c r="USX202" s="885"/>
      <c r="USY202" s="885"/>
      <c r="USZ202" s="885"/>
      <c r="UTA202" s="885"/>
      <c r="UTB202" s="885"/>
      <c r="UTC202" s="885"/>
      <c r="UTD202" s="885"/>
      <c r="UTE202" s="885"/>
      <c r="UTF202" s="885"/>
      <c r="UTG202" s="885"/>
      <c r="UTH202" s="885"/>
      <c r="UTI202" s="885"/>
      <c r="UTJ202" s="885"/>
      <c r="UTK202" s="885"/>
      <c r="UTL202" s="885"/>
      <c r="UTM202" s="885"/>
      <c r="UTN202" s="885"/>
      <c r="UTO202" s="885"/>
      <c r="UTP202" s="885"/>
      <c r="UTQ202" s="885"/>
      <c r="UTR202" s="885"/>
      <c r="UTS202" s="885"/>
      <c r="UTT202" s="885"/>
      <c r="UTU202" s="885"/>
      <c r="UTV202" s="885"/>
      <c r="UTW202" s="885"/>
      <c r="UTX202" s="885"/>
      <c r="UTY202" s="885"/>
      <c r="UTZ202" s="885"/>
      <c r="UUA202" s="885"/>
      <c r="UUB202" s="885"/>
      <c r="UUC202" s="885"/>
      <c r="UUD202" s="885"/>
      <c r="UUE202" s="885"/>
      <c r="UUF202" s="885"/>
      <c r="UUG202" s="885"/>
      <c r="UUH202" s="885"/>
      <c r="UUI202" s="885"/>
      <c r="UUJ202" s="885"/>
      <c r="UUK202" s="885"/>
      <c r="UUL202" s="885"/>
      <c r="UUM202" s="885"/>
      <c r="UUN202" s="885"/>
      <c r="UUO202" s="885"/>
      <c r="UUP202" s="885"/>
      <c r="UUQ202" s="885"/>
      <c r="UUR202" s="885"/>
      <c r="UUS202" s="885"/>
      <c r="UUT202" s="885"/>
      <c r="UUU202" s="885"/>
      <c r="UUV202" s="885"/>
      <c r="UUW202" s="885"/>
      <c r="UUX202" s="885"/>
      <c r="UUY202" s="885"/>
      <c r="UUZ202" s="885"/>
      <c r="UVA202" s="885"/>
      <c r="UVB202" s="885"/>
      <c r="UVC202" s="885"/>
      <c r="UVD202" s="885"/>
      <c r="UVE202" s="885"/>
      <c r="UVF202" s="885"/>
      <c r="UVG202" s="885"/>
      <c r="UVH202" s="885"/>
      <c r="UVI202" s="885"/>
      <c r="UVJ202" s="885"/>
      <c r="UVK202" s="885"/>
      <c r="UVL202" s="885"/>
      <c r="UVM202" s="885"/>
      <c r="UVN202" s="885"/>
      <c r="UVO202" s="885"/>
      <c r="UVP202" s="885"/>
      <c r="UVQ202" s="885"/>
      <c r="UVR202" s="885"/>
      <c r="UVS202" s="885"/>
      <c r="UVT202" s="885"/>
      <c r="UVU202" s="885"/>
      <c r="UVV202" s="885"/>
      <c r="UVW202" s="885"/>
      <c r="UVX202" s="885"/>
      <c r="UVY202" s="885"/>
      <c r="UVZ202" s="885"/>
      <c r="UWA202" s="885"/>
      <c r="UWB202" s="885"/>
      <c r="UWC202" s="885"/>
      <c r="UWD202" s="885"/>
      <c r="UWE202" s="885"/>
      <c r="UWF202" s="885"/>
      <c r="UWG202" s="885"/>
      <c r="UWH202" s="885"/>
      <c r="UWI202" s="885"/>
      <c r="UWJ202" s="885"/>
      <c r="UWK202" s="885"/>
      <c r="UWL202" s="885"/>
      <c r="UWM202" s="885"/>
      <c r="UWN202" s="885"/>
      <c r="UWO202" s="885"/>
      <c r="UWP202" s="885"/>
      <c r="UWQ202" s="885"/>
      <c r="UWR202" s="885"/>
      <c r="UWS202" s="885"/>
      <c r="UWT202" s="885"/>
      <c r="UWU202" s="885"/>
      <c r="UWV202" s="885"/>
      <c r="UWW202" s="885"/>
      <c r="UWX202" s="885"/>
      <c r="UWY202" s="885"/>
      <c r="UWZ202" s="885"/>
      <c r="UXA202" s="885"/>
      <c r="UXB202" s="885"/>
      <c r="UXC202" s="885"/>
      <c r="UXD202" s="885"/>
      <c r="UXE202" s="885"/>
      <c r="UXF202" s="885"/>
      <c r="UXG202" s="885"/>
      <c r="UXH202" s="885"/>
      <c r="UXI202" s="885"/>
      <c r="UXJ202" s="885"/>
      <c r="UXK202" s="885"/>
      <c r="UXL202" s="885"/>
      <c r="UXM202" s="885"/>
      <c r="UXN202" s="885"/>
      <c r="UXO202" s="885"/>
      <c r="UXP202" s="885"/>
      <c r="UXQ202" s="885"/>
      <c r="UXR202" s="885"/>
      <c r="UXS202" s="885"/>
      <c r="UXT202" s="885"/>
      <c r="UXU202" s="885"/>
      <c r="UXV202" s="885"/>
      <c r="UXW202" s="885"/>
      <c r="UXX202" s="885"/>
      <c r="UXY202" s="885"/>
      <c r="UXZ202" s="885"/>
      <c r="UYA202" s="885"/>
      <c r="UYB202" s="885"/>
      <c r="UYC202" s="885"/>
      <c r="UYD202" s="885"/>
      <c r="UYE202" s="885"/>
      <c r="UYF202" s="885"/>
      <c r="UYG202" s="885"/>
      <c r="UYH202" s="885"/>
      <c r="UYI202" s="885"/>
      <c r="UYJ202" s="885"/>
      <c r="UYK202" s="885"/>
      <c r="UYL202" s="885"/>
      <c r="UYM202" s="885"/>
      <c r="UYN202" s="885"/>
      <c r="UYO202" s="885"/>
      <c r="UYP202" s="885"/>
      <c r="UYQ202" s="885"/>
      <c r="UYR202" s="885"/>
      <c r="UYS202" s="885"/>
      <c r="UYT202" s="885"/>
      <c r="UYU202" s="885"/>
      <c r="UYV202" s="885"/>
      <c r="UYW202" s="885"/>
      <c r="UYX202" s="885"/>
      <c r="UYY202" s="885"/>
      <c r="UYZ202" s="885"/>
      <c r="UZA202" s="885"/>
      <c r="UZB202" s="885"/>
      <c r="UZC202" s="885"/>
      <c r="UZD202" s="885"/>
      <c r="UZE202" s="885"/>
      <c r="UZF202" s="885"/>
      <c r="UZG202" s="885"/>
      <c r="UZH202" s="885"/>
      <c r="UZI202" s="885"/>
      <c r="UZJ202" s="885"/>
      <c r="UZK202" s="885"/>
      <c r="UZL202" s="885"/>
      <c r="UZM202" s="885"/>
      <c r="UZN202" s="885"/>
      <c r="UZO202" s="885"/>
      <c r="UZP202" s="885"/>
      <c r="UZQ202" s="885"/>
      <c r="UZR202" s="885"/>
      <c r="UZS202" s="885"/>
      <c r="UZT202" s="885"/>
      <c r="UZU202" s="885"/>
      <c r="UZV202" s="885"/>
      <c r="UZW202" s="885"/>
      <c r="UZX202" s="885"/>
      <c r="UZY202" s="885"/>
      <c r="UZZ202" s="885"/>
      <c r="VAA202" s="885"/>
      <c r="VAB202" s="885"/>
      <c r="VAC202" s="885"/>
      <c r="VAD202" s="885"/>
      <c r="VAE202" s="885"/>
      <c r="VAF202" s="885"/>
      <c r="VAG202" s="885"/>
      <c r="VAH202" s="885"/>
      <c r="VAI202" s="885"/>
      <c r="VAJ202" s="885"/>
      <c r="VAK202" s="885"/>
      <c r="VAL202" s="885"/>
      <c r="VAM202" s="885"/>
      <c r="VAN202" s="885"/>
      <c r="VAO202" s="885"/>
      <c r="VAP202" s="885"/>
      <c r="VAQ202" s="885"/>
      <c r="VAR202" s="885"/>
      <c r="VAS202" s="885"/>
      <c r="VAT202" s="885"/>
      <c r="VAU202" s="885"/>
      <c r="VAV202" s="885"/>
      <c r="VAW202" s="885"/>
      <c r="VAX202" s="885"/>
      <c r="VAY202" s="885"/>
      <c r="VAZ202" s="885"/>
      <c r="VBA202" s="885"/>
      <c r="VBB202" s="885"/>
      <c r="VBC202" s="885"/>
      <c r="VBD202" s="885"/>
      <c r="VBE202" s="885"/>
      <c r="VBF202" s="885"/>
      <c r="VBG202" s="885"/>
      <c r="VBH202" s="885"/>
      <c r="VBI202" s="885"/>
      <c r="VBJ202" s="885"/>
      <c r="VBK202" s="885"/>
      <c r="VBL202" s="885"/>
      <c r="VBM202" s="885"/>
      <c r="VBN202" s="885"/>
      <c r="VBO202" s="885"/>
      <c r="VBP202" s="885"/>
      <c r="VBQ202" s="885"/>
      <c r="VBR202" s="885"/>
      <c r="VBS202" s="885"/>
      <c r="VBT202" s="885"/>
      <c r="VBU202" s="885"/>
      <c r="VBV202" s="885"/>
      <c r="VBW202" s="885"/>
      <c r="VBX202" s="885"/>
      <c r="VBY202" s="885"/>
      <c r="VBZ202" s="885"/>
      <c r="VCA202" s="885"/>
      <c r="VCB202" s="885"/>
      <c r="VCC202" s="885"/>
      <c r="VCD202" s="885"/>
      <c r="VCE202" s="885"/>
      <c r="VCF202" s="885"/>
      <c r="VCG202" s="885"/>
      <c r="VCH202" s="885"/>
      <c r="VCI202" s="885"/>
      <c r="VCJ202" s="885"/>
      <c r="VCK202" s="885"/>
      <c r="VCL202" s="885"/>
      <c r="VCM202" s="885"/>
      <c r="VCN202" s="885"/>
      <c r="VCO202" s="885"/>
      <c r="VCP202" s="885"/>
      <c r="VCQ202" s="885"/>
      <c r="VCR202" s="885"/>
      <c r="VCS202" s="885"/>
      <c r="VCT202" s="885"/>
      <c r="VCU202" s="885"/>
      <c r="VCV202" s="885"/>
      <c r="VCW202" s="885"/>
      <c r="VCX202" s="885"/>
      <c r="VCY202" s="885"/>
      <c r="VCZ202" s="885"/>
      <c r="VDA202" s="885"/>
      <c r="VDB202" s="885"/>
      <c r="VDC202" s="885"/>
      <c r="VDD202" s="885"/>
      <c r="VDE202" s="885"/>
      <c r="VDF202" s="885"/>
      <c r="VDG202" s="885"/>
      <c r="VDH202" s="885"/>
      <c r="VDI202" s="885"/>
      <c r="VDJ202" s="885"/>
      <c r="VDK202" s="885"/>
      <c r="VDL202" s="885"/>
      <c r="VDM202" s="885"/>
      <c r="VDN202" s="885"/>
      <c r="VDO202" s="885"/>
      <c r="VDP202" s="885"/>
      <c r="VDQ202" s="885"/>
      <c r="VDR202" s="885"/>
      <c r="VDS202" s="885"/>
      <c r="VDT202" s="885"/>
      <c r="VDU202" s="885"/>
      <c r="VDV202" s="885"/>
      <c r="VDW202" s="885"/>
      <c r="VDX202" s="885"/>
      <c r="VDY202" s="885"/>
      <c r="VDZ202" s="885"/>
      <c r="VEA202" s="885"/>
      <c r="VEB202" s="885"/>
      <c r="VEC202" s="885"/>
      <c r="VED202" s="885"/>
      <c r="VEE202" s="885"/>
      <c r="VEF202" s="885"/>
      <c r="VEG202" s="885"/>
      <c r="VEH202" s="885"/>
      <c r="VEI202" s="885"/>
      <c r="VEJ202" s="885"/>
      <c r="VEK202" s="885"/>
      <c r="VEL202" s="885"/>
      <c r="VEM202" s="885"/>
      <c r="VEN202" s="885"/>
      <c r="VEO202" s="885"/>
      <c r="VEP202" s="885"/>
      <c r="VEQ202" s="885"/>
      <c r="VER202" s="885"/>
      <c r="VES202" s="885"/>
      <c r="VET202" s="885"/>
      <c r="VEU202" s="885"/>
      <c r="VEV202" s="885"/>
      <c r="VEW202" s="885"/>
      <c r="VEX202" s="885"/>
      <c r="VEY202" s="885"/>
      <c r="VEZ202" s="885"/>
      <c r="VFA202" s="885"/>
      <c r="VFB202" s="885"/>
      <c r="VFC202" s="885"/>
      <c r="VFD202" s="885"/>
      <c r="VFE202" s="885"/>
      <c r="VFF202" s="885"/>
      <c r="VFG202" s="885"/>
      <c r="VFH202" s="885"/>
      <c r="VFI202" s="885"/>
      <c r="VFJ202" s="885"/>
      <c r="VFK202" s="885"/>
      <c r="VFL202" s="885"/>
      <c r="VFM202" s="885"/>
      <c r="VFN202" s="885"/>
      <c r="VFO202" s="885"/>
      <c r="VFP202" s="885"/>
      <c r="VFQ202" s="885"/>
      <c r="VFR202" s="885"/>
      <c r="VFS202" s="885"/>
      <c r="VFT202" s="885"/>
      <c r="VFU202" s="885"/>
      <c r="VFV202" s="885"/>
      <c r="VFW202" s="885"/>
      <c r="VFX202" s="885"/>
      <c r="VFY202" s="885"/>
      <c r="VFZ202" s="885"/>
      <c r="VGA202" s="885"/>
      <c r="VGB202" s="885"/>
      <c r="VGC202" s="885"/>
      <c r="VGD202" s="885"/>
      <c r="VGE202" s="885"/>
      <c r="VGF202" s="885"/>
      <c r="VGG202" s="885"/>
      <c r="VGH202" s="885"/>
      <c r="VGI202" s="885"/>
      <c r="VGJ202" s="885"/>
      <c r="VGK202" s="885"/>
      <c r="VGL202" s="885"/>
      <c r="VGM202" s="885"/>
      <c r="VGN202" s="885"/>
      <c r="VGO202" s="885"/>
      <c r="VGP202" s="885"/>
      <c r="VGQ202" s="885"/>
      <c r="VGR202" s="885"/>
      <c r="VGS202" s="885"/>
      <c r="VGT202" s="885"/>
      <c r="VGU202" s="885"/>
      <c r="VGV202" s="885"/>
      <c r="VGW202" s="885"/>
      <c r="VGX202" s="885"/>
      <c r="VGY202" s="885"/>
      <c r="VGZ202" s="885"/>
      <c r="VHA202" s="885"/>
      <c r="VHB202" s="885"/>
      <c r="VHC202" s="885"/>
      <c r="VHD202" s="885"/>
      <c r="VHE202" s="885"/>
      <c r="VHF202" s="885"/>
      <c r="VHG202" s="885"/>
      <c r="VHH202" s="885"/>
      <c r="VHI202" s="885"/>
      <c r="VHJ202" s="885"/>
      <c r="VHK202" s="885"/>
      <c r="VHL202" s="885"/>
      <c r="VHM202" s="885"/>
      <c r="VHN202" s="885"/>
      <c r="VHO202" s="885"/>
      <c r="VHP202" s="885"/>
      <c r="VHQ202" s="885"/>
      <c r="VHR202" s="885"/>
      <c r="VHS202" s="885"/>
      <c r="VHT202" s="885"/>
      <c r="VHU202" s="885"/>
      <c r="VHV202" s="885"/>
      <c r="VHW202" s="885"/>
      <c r="VHX202" s="885"/>
      <c r="VHY202" s="885"/>
      <c r="VHZ202" s="885"/>
      <c r="VIA202" s="885"/>
      <c r="VIB202" s="885"/>
      <c r="VIC202" s="885"/>
      <c r="VID202" s="885"/>
      <c r="VIE202" s="885"/>
      <c r="VIF202" s="885"/>
      <c r="VIG202" s="885"/>
      <c r="VIH202" s="885"/>
      <c r="VII202" s="885"/>
      <c r="VIJ202" s="885"/>
      <c r="VIK202" s="885"/>
      <c r="VIL202" s="885"/>
      <c r="VIM202" s="885"/>
      <c r="VIN202" s="885"/>
      <c r="VIO202" s="885"/>
      <c r="VIP202" s="885"/>
      <c r="VIQ202" s="885"/>
      <c r="VIR202" s="885"/>
      <c r="VIS202" s="885"/>
      <c r="VIT202" s="885"/>
      <c r="VIU202" s="885"/>
      <c r="VIV202" s="885"/>
      <c r="VIW202" s="885"/>
      <c r="VIX202" s="885"/>
      <c r="VIY202" s="885"/>
      <c r="VIZ202" s="885"/>
      <c r="VJA202" s="885"/>
      <c r="VJB202" s="885"/>
      <c r="VJC202" s="885"/>
      <c r="VJD202" s="885"/>
      <c r="VJE202" s="885"/>
      <c r="VJF202" s="885"/>
      <c r="VJG202" s="885"/>
      <c r="VJH202" s="885"/>
      <c r="VJI202" s="885"/>
      <c r="VJJ202" s="885"/>
      <c r="VJK202" s="885"/>
      <c r="VJL202" s="885"/>
      <c r="VJM202" s="885"/>
      <c r="VJN202" s="885"/>
      <c r="VJO202" s="885"/>
      <c r="VJP202" s="885"/>
      <c r="VJQ202" s="885"/>
      <c r="VJR202" s="885"/>
      <c r="VJS202" s="885"/>
      <c r="VJT202" s="885"/>
      <c r="VJU202" s="885"/>
      <c r="VJV202" s="885"/>
      <c r="VJW202" s="885"/>
      <c r="VJX202" s="885"/>
      <c r="VJY202" s="885"/>
      <c r="VJZ202" s="885"/>
      <c r="VKA202" s="885"/>
      <c r="VKB202" s="885"/>
      <c r="VKC202" s="885"/>
      <c r="VKD202" s="885"/>
      <c r="VKE202" s="885"/>
      <c r="VKF202" s="885"/>
      <c r="VKG202" s="885"/>
      <c r="VKH202" s="885"/>
      <c r="VKI202" s="885"/>
      <c r="VKJ202" s="885"/>
      <c r="VKK202" s="885"/>
      <c r="VKL202" s="885"/>
      <c r="VKM202" s="885"/>
      <c r="VKN202" s="885"/>
      <c r="VKO202" s="885"/>
      <c r="VKP202" s="885"/>
      <c r="VKQ202" s="885"/>
      <c r="VKR202" s="885"/>
      <c r="VKS202" s="885"/>
      <c r="VKT202" s="885"/>
      <c r="VKU202" s="885"/>
      <c r="VKV202" s="885"/>
      <c r="VKW202" s="885"/>
      <c r="VKX202" s="885"/>
      <c r="VKY202" s="885"/>
      <c r="VKZ202" s="885"/>
      <c r="VLA202" s="885"/>
      <c r="VLB202" s="885"/>
      <c r="VLC202" s="885"/>
      <c r="VLD202" s="885"/>
      <c r="VLE202" s="885"/>
      <c r="VLF202" s="885"/>
      <c r="VLG202" s="885"/>
      <c r="VLH202" s="885"/>
      <c r="VLI202" s="885"/>
      <c r="VLJ202" s="885"/>
      <c r="VLK202" s="885"/>
      <c r="VLL202" s="885"/>
      <c r="VLM202" s="885"/>
      <c r="VLN202" s="885"/>
      <c r="VLO202" s="885"/>
      <c r="VLP202" s="885"/>
      <c r="VLQ202" s="885"/>
      <c r="VLR202" s="885"/>
      <c r="VLS202" s="885"/>
      <c r="VLT202" s="885"/>
      <c r="VLU202" s="885"/>
      <c r="VLV202" s="885"/>
      <c r="VLW202" s="885"/>
      <c r="VLX202" s="885"/>
      <c r="VLY202" s="885"/>
      <c r="VLZ202" s="885"/>
      <c r="VMA202" s="885"/>
      <c r="VMB202" s="885"/>
      <c r="VMC202" s="885"/>
      <c r="VMD202" s="885"/>
      <c r="VME202" s="885"/>
      <c r="VMF202" s="885"/>
      <c r="VMG202" s="885"/>
      <c r="VMH202" s="885"/>
      <c r="VMI202" s="885"/>
      <c r="VMJ202" s="885"/>
      <c r="VMK202" s="885"/>
      <c r="VML202" s="885"/>
      <c r="VMM202" s="885"/>
      <c r="VMN202" s="885"/>
      <c r="VMO202" s="885"/>
      <c r="VMP202" s="885"/>
      <c r="VMQ202" s="885"/>
      <c r="VMR202" s="885"/>
      <c r="VMS202" s="885"/>
      <c r="VMT202" s="885"/>
      <c r="VMU202" s="885"/>
      <c r="VMV202" s="885"/>
      <c r="VMW202" s="885"/>
      <c r="VMX202" s="885"/>
      <c r="VMY202" s="885"/>
      <c r="VMZ202" s="885"/>
      <c r="VNA202" s="885"/>
      <c r="VNB202" s="885"/>
      <c r="VNC202" s="885"/>
      <c r="VND202" s="885"/>
      <c r="VNE202" s="885"/>
      <c r="VNF202" s="885"/>
      <c r="VNG202" s="885"/>
      <c r="VNH202" s="885"/>
      <c r="VNI202" s="885"/>
      <c r="VNJ202" s="885"/>
      <c r="VNK202" s="885"/>
      <c r="VNL202" s="885"/>
      <c r="VNM202" s="885"/>
      <c r="VNN202" s="885"/>
      <c r="VNO202" s="885"/>
      <c r="VNP202" s="885"/>
      <c r="VNQ202" s="885"/>
      <c r="VNR202" s="885"/>
      <c r="VNS202" s="885"/>
      <c r="VNT202" s="885"/>
      <c r="VNU202" s="885"/>
      <c r="VNV202" s="885"/>
      <c r="VNW202" s="885"/>
      <c r="VNX202" s="885"/>
      <c r="VNY202" s="885"/>
      <c r="VNZ202" s="885"/>
      <c r="VOA202" s="885"/>
      <c r="VOB202" s="885"/>
      <c r="VOC202" s="885"/>
      <c r="VOD202" s="885"/>
      <c r="VOE202" s="885"/>
      <c r="VOF202" s="885"/>
      <c r="VOG202" s="885"/>
      <c r="VOH202" s="885"/>
      <c r="VOI202" s="885"/>
      <c r="VOJ202" s="885"/>
      <c r="VOK202" s="885"/>
      <c r="VOL202" s="885"/>
      <c r="VOM202" s="885"/>
      <c r="VON202" s="885"/>
      <c r="VOO202" s="885"/>
      <c r="VOP202" s="885"/>
      <c r="VOQ202" s="885"/>
      <c r="VOR202" s="885"/>
      <c r="VOS202" s="885"/>
      <c r="VOT202" s="885"/>
      <c r="VOU202" s="885"/>
      <c r="VOV202" s="885"/>
      <c r="VOW202" s="885"/>
      <c r="VOX202" s="885"/>
      <c r="VOY202" s="885"/>
      <c r="VOZ202" s="885"/>
      <c r="VPA202" s="885"/>
      <c r="VPB202" s="885"/>
      <c r="VPC202" s="885"/>
      <c r="VPD202" s="885"/>
      <c r="VPE202" s="885"/>
      <c r="VPF202" s="885"/>
      <c r="VPG202" s="885"/>
      <c r="VPH202" s="885"/>
      <c r="VPI202" s="885"/>
      <c r="VPJ202" s="885"/>
      <c r="VPK202" s="885"/>
      <c r="VPL202" s="885"/>
      <c r="VPM202" s="885"/>
      <c r="VPN202" s="885"/>
      <c r="VPO202" s="885"/>
      <c r="VPP202" s="885"/>
      <c r="VPQ202" s="885"/>
      <c r="VPR202" s="885"/>
      <c r="VPS202" s="885"/>
      <c r="VPT202" s="885"/>
      <c r="VPU202" s="885"/>
      <c r="VPV202" s="885"/>
      <c r="VPW202" s="885"/>
      <c r="VPX202" s="885"/>
      <c r="VPY202" s="885"/>
      <c r="VPZ202" s="885"/>
      <c r="VQA202" s="885"/>
      <c r="VQB202" s="885"/>
      <c r="VQC202" s="885"/>
      <c r="VQD202" s="885"/>
      <c r="VQE202" s="885"/>
      <c r="VQF202" s="885"/>
      <c r="VQG202" s="885"/>
      <c r="VQH202" s="885"/>
      <c r="VQI202" s="885"/>
      <c r="VQJ202" s="885"/>
      <c r="VQK202" s="885"/>
      <c r="VQL202" s="885"/>
      <c r="VQM202" s="885"/>
      <c r="VQN202" s="885"/>
      <c r="VQO202" s="885"/>
      <c r="VQP202" s="885"/>
      <c r="VQQ202" s="885"/>
      <c r="VQR202" s="885"/>
      <c r="VQS202" s="885"/>
      <c r="VQT202" s="885"/>
      <c r="VQU202" s="885"/>
      <c r="VQV202" s="885"/>
      <c r="VQW202" s="885"/>
      <c r="VQX202" s="885"/>
      <c r="VQY202" s="885"/>
      <c r="VQZ202" s="885"/>
      <c r="VRA202" s="885"/>
      <c r="VRB202" s="885"/>
      <c r="VRC202" s="885"/>
      <c r="VRD202" s="885"/>
      <c r="VRE202" s="885"/>
      <c r="VRF202" s="885"/>
      <c r="VRG202" s="885"/>
      <c r="VRH202" s="885"/>
      <c r="VRI202" s="885"/>
      <c r="VRJ202" s="885"/>
      <c r="VRK202" s="885"/>
      <c r="VRL202" s="885"/>
      <c r="VRM202" s="885"/>
      <c r="VRN202" s="885"/>
      <c r="VRO202" s="885"/>
      <c r="VRP202" s="885"/>
      <c r="VRQ202" s="885"/>
      <c r="VRR202" s="885"/>
      <c r="VRS202" s="885"/>
      <c r="VRT202" s="885"/>
      <c r="VRU202" s="885"/>
      <c r="VRV202" s="885"/>
      <c r="VRW202" s="885"/>
      <c r="VRX202" s="885"/>
      <c r="VRY202" s="885"/>
      <c r="VRZ202" s="885"/>
      <c r="VSA202" s="885"/>
      <c r="VSB202" s="885"/>
      <c r="VSC202" s="885"/>
      <c r="VSD202" s="885"/>
      <c r="VSE202" s="885"/>
      <c r="VSF202" s="885"/>
      <c r="VSG202" s="885"/>
      <c r="VSH202" s="885"/>
      <c r="VSI202" s="885"/>
      <c r="VSJ202" s="885"/>
      <c r="VSK202" s="885"/>
      <c r="VSL202" s="885"/>
      <c r="VSM202" s="885"/>
      <c r="VSN202" s="885"/>
      <c r="VSO202" s="885"/>
      <c r="VSP202" s="885"/>
      <c r="VSQ202" s="885"/>
      <c r="VSR202" s="885"/>
      <c r="VSS202" s="885"/>
      <c r="VST202" s="885"/>
      <c r="VSU202" s="885"/>
      <c r="VSV202" s="885"/>
      <c r="VSW202" s="885"/>
      <c r="VSX202" s="885"/>
      <c r="VSY202" s="885"/>
      <c r="VSZ202" s="885"/>
      <c r="VTA202" s="885"/>
      <c r="VTB202" s="885"/>
      <c r="VTC202" s="885"/>
      <c r="VTD202" s="885"/>
      <c r="VTE202" s="885"/>
      <c r="VTF202" s="885"/>
      <c r="VTG202" s="885"/>
      <c r="VTH202" s="885"/>
      <c r="VTI202" s="885"/>
      <c r="VTJ202" s="885"/>
      <c r="VTK202" s="885"/>
      <c r="VTL202" s="885"/>
      <c r="VTM202" s="885"/>
      <c r="VTN202" s="885"/>
      <c r="VTO202" s="885"/>
      <c r="VTP202" s="885"/>
      <c r="VTQ202" s="885"/>
      <c r="VTR202" s="885"/>
      <c r="VTS202" s="885"/>
      <c r="VTT202" s="885"/>
      <c r="VTU202" s="885"/>
      <c r="VTV202" s="885"/>
      <c r="VTW202" s="885"/>
      <c r="VTX202" s="885"/>
      <c r="VTY202" s="885"/>
      <c r="VTZ202" s="885"/>
      <c r="VUA202" s="885"/>
      <c r="VUB202" s="885"/>
      <c r="VUC202" s="885"/>
      <c r="VUD202" s="885"/>
      <c r="VUE202" s="885"/>
      <c r="VUF202" s="885"/>
      <c r="VUG202" s="885"/>
      <c r="VUH202" s="885"/>
      <c r="VUI202" s="885"/>
      <c r="VUJ202" s="885"/>
      <c r="VUK202" s="885"/>
      <c r="VUL202" s="885"/>
      <c r="VUM202" s="885"/>
      <c r="VUN202" s="885"/>
      <c r="VUO202" s="885"/>
      <c r="VUP202" s="885"/>
      <c r="VUQ202" s="885"/>
      <c r="VUR202" s="885"/>
      <c r="VUS202" s="885"/>
      <c r="VUT202" s="885"/>
      <c r="VUU202" s="885"/>
      <c r="VUV202" s="885"/>
      <c r="VUW202" s="885"/>
      <c r="VUX202" s="885"/>
      <c r="VUY202" s="885"/>
      <c r="VUZ202" s="885"/>
      <c r="VVA202" s="885"/>
      <c r="VVB202" s="885"/>
      <c r="VVC202" s="885"/>
      <c r="VVD202" s="885"/>
      <c r="VVE202" s="885"/>
      <c r="VVF202" s="885"/>
      <c r="VVG202" s="885"/>
      <c r="VVH202" s="885"/>
      <c r="VVI202" s="885"/>
      <c r="VVJ202" s="885"/>
      <c r="VVK202" s="885"/>
      <c r="VVL202" s="885"/>
      <c r="VVM202" s="885"/>
      <c r="VVN202" s="885"/>
      <c r="VVO202" s="885"/>
      <c r="VVP202" s="885"/>
      <c r="VVQ202" s="885"/>
      <c r="VVR202" s="885"/>
      <c r="VVS202" s="885"/>
      <c r="VVT202" s="885"/>
      <c r="VVU202" s="885"/>
      <c r="VVV202" s="885"/>
      <c r="VVW202" s="885"/>
      <c r="VVX202" s="885"/>
      <c r="VVY202" s="885"/>
      <c r="VVZ202" s="885"/>
      <c r="VWA202" s="885"/>
      <c r="VWB202" s="885"/>
      <c r="VWC202" s="885"/>
      <c r="VWD202" s="885"/>
      <c r="VWE202" s="885"/>
      <c r="VWF202" s="885"/>
      <c r="VWG202" s="885"/>
      <c r="VWH202" s="885"/>
      <c r="VWI202" s="885"/>
      <c r="VWJ202" s="885"/>
      <c r="VWK202" s="885"/>
      <c r="VWL202" s="885"/>
      <c r="VWM202" s="885"/>
      <c r="VWN202" s="885"/>
      <c r="VWO202" s="885"/>
      <c r="VWP202" s="885"/>
      <c r="VWQ202" s="885"/>
      <c r="VWR202" s="885"/>
      <c r="VWS202" s="885"/>
      <c r="VWT202" s="885"/>
      <c r="VWU202" s="885"/>
      <c r="VWV202" s="885"/>
      <c r="VWW202" s="885"/>
      <c r="VWX202" s="885"/>
      <c r="VWY202" s="885"/>
      <c r="VWZ202" s="885"/>
      <c r="VXA202" s="885"/>
      <c r="VXB202" s="885"/>
      <c r="VXC202" s="885"/>
      <c r="VXD202" s="885"/>
      <c r="VXE202" s="885"/>
      <c r="VXF202" s="885"/>
      <c r="VXG202" s="885"/>
      <c r="VXH202" s="885"/>
      <c r="VXI202" s="885"/>
      <c r="VXJ202" s="885"/>
      <c r="VXK202" s="885"/>
      <c r="VXL202" s="885"/>
      <c r="VXM202" s="885"/>
      <c r="VXN202" s="885"/>
      <c r="VXO202" s="885"/>
      <c r="VXP202" s="885"/>
      <c r="VXQ202" s="885"/>
      <c r="VXR202" s="885"/>
      <c r="VXS202" s="885"/>
      <c r="VXT202" s="885"/>
      <c r="VXU202" s="885"/>
      <c r="VXV202" s="885"/>
      <c r="VXW202" s="885"/>
      <c r="VXX202" s="885"/>
      <c r="VXY202" s="885"/>
      <c r="VXZ202" s="885"/>
      <c r="VYA202" s="885"/>
      <c r="VYB202" s="885"/>
      <c r="VYC202" s="885"/>
      <c r="VYD202" s="885"/>
      <c r="VYE202" s="885"/>
      <c r="VYF202" s="885"/>
      <c r="VYG202" s="885"/>
      <c r="VYH202" s="885"/>
      <c r="VYI202" s="885"/>
      <c r="VYJ202" s="885"/>
      <c r="VYK202" s="885"/>
      <c r="VYL202" s="885"/>
      <c r="VYM202" s="885"/>
      <c r="VYN202" s="885"/>
      <c r="VYO202" s="885"/>
      <c r="VYP202" s="885"/>
      <c r="VYQ202" s="885"/>
      <c r="VYR202" s="885"/>
      <c r="VYS202" s="885"/>
      <c r="VYT202" s="885"/>
      <c r="VYU202" s="885"/>
      <c r="VYV202" s="885"/>
      <c r="VYW202" s="885"/>
      <c r="VYX202" s="885"/>
      <c r="VYY202" s="885"/>
      <c r="VYZ202" s="885"/>
      <c r="VZA202" s="885"/>
      <c r="VZB202" s="885"/>
      <c r="VZC202" s="885"/>
      <c r="VZD202" s="885"/>
      <c r="VZE202" s="885"/>
      <c r="VZF202" s="885"/>
      <c r="VZG202" s="885"/>
      <c r="VZH202" s="885"/>
      <c r="VZI202" s="885"/>
      <c r="VZJ202" s="885"/>
      <c r="VZK202" s="885"/>
      <c r="VZL202" s="885"/>
      <c r="VZM202" s="885"/>
      <c r="VZN202" s="885"/>
      <c r="VZO202" s="885"/>
      <c r="VZP202" s="885"/>
      <c r="VZQ202" s="885"/>
      <c r="VZR202" s="885"/>
      <c r="VZS202" s="885"/>
      <c r="VZT202" s="885"/>
      <c r="VZU202" s="885"/>
      <c r="VZV202" s="885"/>
      <c r="VZW202" s="885"/>
      <c r="VZX202" s="885"/>
      <c r="VZY202" s="885"/>
      <c r="VZZ202" s="885"/>
      <c r="WAA202" s="885"/>
      <c r="WAB202" s="885"/>
      <c r="WAC202" s="885"/>
      <c r="WAD202" s="885"/>
      <c r="WAE202" s="885"/>
      <c r="WAF202" s="885"/>
      <c r="WAG202" s="885"/>
      <c r="WAH202" s="885"/>
      <c r="WAI202" s="885"/>
      <c r="WAJ202" s="885"/>
      <c r="WAK202" s="885"/>
      <c r="WAL202" s="885"/>
      <c r="WAM202" s="885"/>
      <c r="WAN202" s="885"/>
      <c r="WAO202" s="885"/>
      <c r="WAP202" s="885"/>
      <c r="WAQ202" s="885"/>
      <c r="WAR202" s="885"/>
      <c r="WAS202" s="885"/>
      <c r="WAT202" s="885"/>
      <c r="WAU202" s="885"/>
      <c r="WAV202" s="885"/>
      <c r="WAW202" s="885"/>
      <c r="WAX202" s="885"/>
      <c r="WAY202" s="885"/>
      <c r="WAZ202" s="885"/>
      <c r="WBA202" s="885"/>
      <c r="WBB202" s="885"/>
      <c r="WBC202" s="885"/>
      <c r="WBD202" s="885"/>
      <c r="WBE202" s="885"/>
      <c r="WBF202" s="885"/>
      <c r="WBG202" s="885"/>
      <c r="WBH202" s="885"/>
      <c r="WBI202" s="885"/>
      <c r="WBJ202" s="885"/>
      <c r="WBK202" s="885"/>
      <c r="WBL202" s="885"/>
      <c r="WBM202" s="885"/>
      <c r="WBN202" s="885"/>
      <c r="WBO202" s="885"/>
      <c r="WBP202" s="885"/>
      <c r="WBQ202" s="885"/>
      <c r="WBR202" s="885"/>
      <c r="WBS202" s="885"/>
      <c r="WBT202" s="885"/>
      <c r="WBU202" s="885"/>
      <c r="WBV202" s="885"/>
      <c r="WBW202" s="885"/>
      <c r="WBX202" s="885"/>
      <c r="WBY202" s="885"/>
      <c r="WBZ202" s="885"/>
      <c r="WCA202" s="885"/>
      <c r="WCB202" s="885"/>
      <c r="WCC202" s="885"/>
      <c r="WCD202" s="885"/>
      <c r="WCE202" s="885"/>
      <c r="WCF202" s="885"/>
      <c r="WCG202" s="885"/>
      <c r="WCH202" s="885"/>
      <c r="WCI202" s="885"/>
      <c r="WCJ202" s="885"/>
      <c r="WCK202" s="885"/>
      <c r="WCL202" s="885"/>
      <c r="WCM202" s="885"/>
      <c r="WCN202" s="885"/>
      <c r="WCO202" s="885"/>
      <c r="WCP202" s="885"/>
      <c r="WCQ202" s="885"/>
      <c r="WCR202" s="885"/>
      <c r="WCS202" s="885"/>
      <c r="WCT202" s="885"/>
      <c r="WCU202" s="885"/>
      <c r="WCV202" s="885"/>
      <c r="WCW202" s="885"/>
      <c r="WCX202" s="885"/>
      <c r="WCY202" s="885"/>
      <c r="WCZ202" s="885"/>
      <c r="WDA202" s="885"/>
      <c r="WDB202" s="885"/>
      <c r="WDC202" s="885"/>
      <c r="WDD202" s="885"/>
      <c r="WDE202" s="885"/>
      <c r="WDF202" s="885"/>
      <c r="WDG202" s="885"/>
      <c r="WDH202" s="885"/>
      <c r="WDI202" s="885"/>
      <c r="WDJ202" s="885"/>
      <c r="WDK202" s="885"/>
      <c r="WDL202" s="885"/>
      <c r="WDM202" s="885"/>
      <c r="WDN202" s="885"/>
      <c r="WDO202" s="885"/>
      <c r="WDP202" s="885"/>
      <c r="WDQ202" s="885"/>
      <c r="WDR202" s="885"/>
      <c r="WDS202" s="885"/>
      <c r="WDT202" s="885"/>
      <c r="WDU202" s="885"/>
      <c r="WDV202" s="885"/>
      <c r="WDW202" s="885"/>
      <c r="WDX202" s="885"/>
      <c r="WDY202" s="885"/>
      <c r="WDZ202" s="885"/>
      <c r="WEA202" s="885"/>
      <c r="WEB202" s="885"/>
      <c r="WEC202" s="885"/>
      <c r="WED202" s="885"/>
      <c r="WEE202" s="885"/>
      <c r="WEF202" s="885"/>
      <c r="WEG202" s="885"/>
      <c r="WEH202" s="885"/>
      <c r="WEI202" s="885"/>
      <c r="WEJ202" s="885"/>
      <c r="WEK202" s="885"/>
      <c r="WEL202" s="885"/>
      <c r="WEM202" s="885"/>
      <c r="WEN202" s="885"/>
      <c r="WEO202" s="885"/>
      <c r="WEP202" s="885"/>
      <c r="WEQ202" s="885"/>
      <c r="WER202" s="885"/>
      <c r="WES202" s="885"/>
      <c r="WET202" s="885"/>
      <c r="WEU202" s="885"/>
      <c r="WEV202" s="885"/>
      <c r="WEW202" s="885"/>
      <c r="WEX202" s="885"/>
      <c r="WEY202" s="885"/>
      <c r="WEZ202" s="885"/>
      <c r="WFA202" s="885"/>
      <c r="WFB202" s="885"/>
      <c r="WFC202" s="885"/>
      <c r="WFD202" s="885"/>
      <c r="WFE202" s="885"/>
      <c r="WFF202" s="885"/>
      <c r="WFG202" s="885"/>
      <c r="WFH202" s="885"/>
      <c r="WFI202" s="885"/>
      <c r="WFJ202" s="885"/>
      <c r="WFK202" s="885"/>
      <c r="WFL202" s="885"/>
      <c r="WFM202" s="885"/>
      <c r="WFN202" s="885"/>
      <c r="WFO202" s="885"/>
      <c r="WFP202" s="885"/>
      <c r="WFQ202" s="885"/>
      <c r="WFR202" s="885"/>
      <c r="WFS202" s="885"/>
      <c r="WFT202" s="885"/>
      <c r="WFU202" s="885"/>
      <c r="WFV202" s="885"/>
      <c r="WFW202" s="885"/>
      <c r="WFX202" s="885"/>
      <c r="WFY202" s="885"/>
      <c r="WFZ202" s="885"/>
      <c r="WGA202" s="885"/>
      <c r="WGB202" s="885"/>
      <c r="WGC202" s="885"/>
      <c r="WGD202" s="885"/>
      <c r="WGE202" s="885"/>
      <c r="WGF202" s="885"/>
      <c r="WGG202" s="885"/>
      <c r="WGH202" s="885"/>
      <c r="WGI202" s="885"/>
      <c r="WGJ202" s="885"/>
      <c r="WGK202" s="885"/>
      <c r="WGL202" s="885"/>
      <c r="WGM202" s="885"/>
      <c r="WGN202" s="885"/>
      <c r="WGO202" s="885"/>
      <c r="WGP202" s="885"/>
      <c r="WGQ202" s="885"/>
      <c r="WGR202" s="885"/>
      <c r="WGS202" s="885"/>
      <c r="WGT202" s="885"/>
      <c r="WGU202" s="885"/>
      <c r="WGV202" s="885"/>
      <c r="WGW202" s="885"/>
      <c r="WGX202" s="885"/>
      <c r="WGY202" s="885"/>
      <c r="WGZ202" s="885"/>
      <c r="WHA202" s="885"/>
      <c r="WHB202" s="885"/>
      <c r="WHC202" s="885"/>
      <c r="WHD202" s="885"/>
      <c r="WHE202" s="885"/>
      <c r="WHF202" s="885"/>
      <c r="WHG202" s="885"/>
      <c r="WHH202" s="885"/>
      <c r="WHI202" s="885"/>
      <c r="WHJ202" s="885"/>
      <c r="WHK202" s="885"/>
      <c r="WHL202" s="885"/>
      <c r="WHM202" s="885"/>
      <c r="WHN202" s="885"/>
      <c r="WHO202" s="885"/>
      <c r="WHP202" s="885"/>
      <c r="WHQ202" s="885"/>
      <c r="WHR202" s="885"/>
      <c r="WHS202" s="885"/>
      <c r="WHT202" s="885"/>
      <c r="WHU202" s="885"/>
      <c r="WHV202" s="885"/>
      <c r="WHW202" s="885"/>
      <c r="WHX202" s="885"/>
      <c r="WHY202" s="885"/>
      <c r="WHZ202" s="885"/>
      <c r="WIA202" s="885"/>
      <c r="WIB202" s="885"/>
      <c r="WIC202" s="885"/>
      <c r="WID202" s="885"/>
      <c r="WIE202" s="885"/>
      <c r="WIF202" s="885"/>
      <c r="WIG202" s="885"/>
      <c r="WIH202" s="885"/>
      <c r="WII202" s="885"/>
      <c r="WIJ202" s="885"/>
      <c r="WIK202" s="885"/>
      <c r="WIL202" s="885"/>
      <c r="WIM202" s="885"/>
      <c r="WIN202" s="885"/>
      <c r="WIO202" s="885"/>
      <c r="WIP202" s="885"/>
      <c r="WIQ202" s="885"/>
      <c r="WIR202" s="885"/>
      <c r="WIS202" s="885"/>
      <c r="WIT202" s="885"/>
      <c r="WIU202" s="885"/>
      <c r="WIV202" s="885"/>
      <c r="WIW202" s="885"/>
      <c r="WIX202" s="885"/>
      <c r="WIY202" s="885"/>
      <c r="WIZ202" s="885"/>
      <c r="WJA202" s="885"/>
      <c r="WJB202" s="885"/>
      <c r="WJC202" s="885"/>
      <c r="WJD202" s="885"/>
      <c r="WJE202" s="885"/>
      <c r="WJF202" s="885"/>
      <c r="WJG202" s="885"/>
      <c r="WJH202" s="885"/>
      <c r="WJI202" s="885"/>
      <c r="WJJ202" s="885"/>
      <c r="WJK202" s="885"/>
      <c r="WJL202" s="885"/>
      <c r="WJM202" s="885"/>
      <c r="WJN202" s="885"/>
      <c r="WJO202" s="885"/>
      <c r="WJP202" s="885"/>
      <c r="WJQ202" s="885"/>
      <c r="WJR202" s="885"/>
      <c r="WJS202" s="885"/>
      <c r="WJT202" s="885"/>
      <c r="WJU202" s="885"/>
      <c r="WJV202" s="885"/>
      <c r="WJW202" s="885"/>
      <c r="WJX202" s="885"/>
      <c r="WJY202" s="885"/>
      <c r="WJZ202" s="885"/>
      <c r="WKA202" s="885"/>
      <c r="WKB202" s="885"/>
      <c r="WKC202" s="885"/>
      <c r="WKD202" s="885"/>
      <c r="WKE202" s="885"/>
      <c r="WKF202" s="885"/>
      <c r="WKG202" s="885"/>
      <c r="WKH202" s="885"/>
      <c r="WKI202" s="885"/>
      <c r="WKJ202" s="885"/>
      <c r="WKK202" s="885"/>
      <c r="WKL202" s="885"/>
      <c r="WKM202" s="885"/>
      <c r="WKN202" s="885"/>
      <c r="WKO202" s="885"/>
      <c r="WKP202" s="885"/>
      <c r="WKQ202" s="885"/>
      <c r="WKR202" s="885"/>
      <c r="WKS202" s="885"/>
      <c r="WKT202" s="885"/>
      <c r="WKU202" s="885"/>
      <c r="WKV202" s="885"/>
      <c r="WKW202" s="885"/>
      <c r="WKX202" s="885"/>
      <c r="WKY202" s="885"/>
      <c r="WKZ202" s="885"/>
      <c r="WLA202" s="885"/>
      <c r="WLB202" s="885"/>
      <c r="WLC202" s="885"/>
      <c r="WLD202" s="885"/>
      <c r="WLE202" s="885"/>
      <c r="WLF202" s="885"/>
      <c r="WLG202" s="885"/>
      <c r="WLH202" s="885"/>
      <c r="WLI202" s="885"/>
      <c r="WLJ202" s="885"/>
      <c r="WLK202" s="885"/>
      <c r="WLL202" s="885"/>
      <c r="WLM202" s="885"/>
      <c r="WLN202" s="885"/>
      <c r="WLO202" s="885"/>
      <c r="WLP202" s="885"/>
      <c r="WLQ202" s="885"/>
      <c r="WLR202" s="885"/>
      <c r="WLS202" s="885"/>
      <c r="WLT202" s="885"/>
      <c r="WLU202" s="885"/>
      <c r="WLV202" s="885"/>
      <c r="WLW202" s="885"/>
      <c r="WLX202" s="885"/>
      <c r="WLY202" s="885"/>
      <c r="WLZ202" s="885"/>
      <c r="WMA202" s="885"/>
      <c r="WMB202" s="885"/>
      <c r="WMC202" s="885"/>
      <c r="WMD202" s="885"/>
      <c r="WME202" s="885"/>
      <c r="WMF202" s="885"/>
      <c r="WMG202" s="885"/>
      <c r="WMH202" s="885"/>
      <c r="WMI202" s="885"/>
      <c r="WMJ202" s="885"/>
      <c r="WMK202" s="885"/>
      <c r="WML202" s="885"/>
      <c r="WMM202" s="885"/>
      <c r="WMN202" s="885"/>
      <c r="WMO202" s="885"/>
      <c r="WMP202" s="885"/>
      <c r="WMQ202" s="885"/>
      <c r="WMR202" s="885"/>
      <c r="WMS202" s="885"/>
      <c r="WMT202" s="885"/>
      <c r="WMU202" s="885"/>
      <c r="WMV202" s="885"/>
      <c r="WMW202" s="885"/>
      <c r="WMX202" s="885"/>
      <c r="WMY202" s="885"/>
      <c r="WMZ202" s="885"/>
      <c r="WNA202" s="885"/>
      <c r="WNB202" s="885"/>
      <c r="WNC202" s="885"/>
      <c r="WND202" s="885"/>
      <c r="WNE202" s="885"/>
      <c r="WNF202" s="885"/>
      <c r="WNG202" s="885"/>
      <c r="WNH202" s="885"/>
      <c r="WNI202" s="885"/>
      <c r="WNJ202" s="885"/>
      <c r="WNK202" s="885"/>
      <c r="WNL202" s="885"/>
      <c r="WNM202" s="885"/>
      <c r="WNN202" s="885"/>
      <c r="WNO202" s="885"/>
      <c r="WNP202" s="885"/>
      <c r="WNQ202" s="885"/>
      <c r="WNR202" s="885"/>
      <c r="WNS202" s="885"/>
      <c r="WNT202" s="885"/>
      <c r="WNU202" s="885"/>
      <c r="WNV202" s="885"/>
      <c r="WNW202" s="885"/>
      <c r="WNX202" s="885"/>
      <c r="WNY202" s="885"/>
      <c r="WNZ202" s="885"/>
      <c r="WOA202" s="885"/>
      <c r="WOB202" s="885"/>
      <c r="WOC202" s="885"/>
      <c r="WOD202" s="885"/>
      <c r="WOE202" s="885"/>
      <c r="WOF202" s="885"/>
      <c r="WOG202" s="885"/>
      <c r="WOH202" s="885"/>
      <c r="WOI202" s="885"/>
      <c r="WOJ202" s="885"/>
      <c r="WOK202" s="885"/>
      <c r="WOL202" s="885"/>
      <c r="WOM202" s="885"/>
      <c r="WON202" s="885"/>
      <c r="WOO202" s="885"/>
      <c r="WOP202" s="885"/>
      <c r="WOQ202" s="885"/>
      <c r="WOR202" s="885"/>
      <c r="WOS202" s="885"/>
      <c r="WOT202" s="885"/>
      <c r="WOU202" s="885"/>
      <c r="WOV202" s="885"/>
      <c r="WOW202" s="885"/>
      <c r="WOX202" s="885"/>
      <c r="WOY202" s="885"/>
      <c r="WOZ202" s="885"/>
      <c r="WPA202" s="885"/>
      <c r="WPB202" s="885"/>
      <c r="WPC202" s="885"/>
      <c r="WPD202" s="885"/>
      <c r="WPE202" s="885"/>
      <c r="WPF202" s="885"/>
      <c r="WPG202" s="885"/>
      <c r="WPH202" s="885"/>
      <c r="WPI202" s="885"/>
      <c r="WPJ202" s="885"/>
      <c r="WPK202" s="885"/>
      <c r="WPL202" s="885"/>
      <c r="WPM202" s="885"/>
      <c r="WPN202" s="885"/>
      <c r="WPO202" s="885"/>
      <c r="WPP202" s="885"/>
      <c r="WPQ202" s="885"/>
      <c r="WPR202" s="885"/>
      <c r="WPS202" s="885"/>
      <c r="WPT202" s="885"/>
      <c r="WPU202" s="885"/>
      <c r="WPV202" s="885"/>
      <c r="WPW202" s="885"/>
      <c r="WPX202" s="885"/>
      <c r="WPY202" s="885"/>
      <c r="WPZ202" s="885"/>
      <c r="WQA202" s="885"/>
      <c r="WQB202" s="885"/>
      <c r="WQC202" s="885"/>
      <c r="WQD202" s="885"/>
      <c r="WQE202" s="885"/>
      <c r="WQF202" s="885"/>
      <c r="WQG202" s="885"/>
      <c r="WQH202" s="885"/>
      <c r="WQI202" s="885"/>
      <c r="WQJ202" s="885"/>
      <c r="WQK202" s="885"/>
      <c r="WQL202" s="885"/>
      <c r="WQM202" s="885"/>
      <c r="WQN202" s="885"/>
      <c r="WQO202" s="885"/>
      <c r="WQP202" s="885"/>
      <c r="WQQ202" s="885"/>
      <c r="WQR202" s="885"/>
      <c r="WQS202" s="885"/>
      <c r="WQT202" s="885"/>
      <c r="WQU202" s="885"/>
      <c r="WQV202" s="885"/>
      <c r="WQW202" s="885"/>
      <c r="WQX202" s="885"/>
      <c r="WQY202" s="885"/>
      <c r="WQZ202" s="885"/>
      <c r="WRA202" s="885"/>
      <c r="WRB202" s="885"/>
      <c r="WRC202" s="885"/>
      <c r="WRD202" s="885"/>
      <c r="WRE202" s="885"/>
      <c r="WRF202" s="885"/>
      <c r="WRG202" s="885"/>
      <c r="WRH202" s="885"/>
      <c r="WRI202" s="885"/>
      <c r="WRJ202" s="885"/>
      <c r="WRK202" s="885"/>
      <c r="WRL202" s="885"/>
      <c r="WRM202" s="885"/>
      <c r="WRN202" s="885"/>
      <c r="WRO202" s="885"/>
      <c r="WRP202" s="885"/>
      <c r="WRQ202" s="885"/>
      <c r="WRR202" s="885"/>
      <c r="WRS202" s="885"/>
      <c r="WRT202" s="885"/>
      <c r="WRU202" s="885"/>
      <c r="WRV202" s="885"/>
      <c r="WRW202" s="885"/>
      <c r="WRX202" s="885"/>
      <c r="WRY202" s="885"/>
      <c r="WRZ202" s="885"/>
      <c r="WSA202" s="885"/>
      <c r="WSB202" s="885"/>
      <c r="WSC202" s="885"/>
      <c r="WSD202" s="885"/>
      <c r="WSE202" s="885"/>
      <c r="WSF202" s="885"/>
      <c r="WSG202" s="885"/>
      <c r="WSH202" s="885"/>
      <c r="WSI202" s="885"/>
      <c r="WSJ202" s="885"/>
      <c r="WSK202" s="885"/>
      <c r="WSL202" s="885"/>
      <c r="WSM202" s="885"/>
      <c r="WSN202" s="885"/>
      <c r="WSO202" s="885"/>
      <c r="WSP202" s="885"/>
      <c r="WSQ202" s="885"/>
      <c r="WSR202" s="885"/>
      <c r="WSS202" s="885"/>
      <c r="WST202" s="885"/>
      <c r="WSU202" s="885"/>
      <c r="WSV202" s="885"/>
      <c r="WSW202" s="885"/>
      <c r="WSX202" s="885"/>
      <c r="WSY202" s="885"/>
      <c r="WSZ202" s="885"/>
      <c r="WTA202" s="885"/>
      <c r="WTB202" s="885"/>
      <c r="WTC202" s="885"/>
      <c r="WTD202" s="885"/>
      <c r="WTE202" s="885"/>
      <c r="WTF202" s="885"/>
      <c r="WTG202" s="885"/>
      <c r="WTH202" s="885"/>
      <c r="WTI202" s="885"/>
      <c r="WTJ202" s="885"/>
      <c r="WTK202" s="885"/>
      <c r="WTL202" s="885"/>
      <c r="WTM202" s="885"/>
      <c r="WTN202" s="885"/>
      <c r="WTO202" s="885"/>
      <c r="WTP202" s="885"/>
      <c r="WTQ202" s="885"/>
      <c r="WTR202" s="885"/>
      <c r="WTS202" s="885"/>
      <c r="WTT202" s="885"/>
      <c r="WTU202" s="885"/>
      <c r="WTV202" s="885"/>
      <c r="WTW202" s="885"/>
      <c r="WTX202" s="885"/>
      <c r="WTY202" s="885"/>
      <c r="WTZ202" s="885"/>
      <c r="WUA202" s="885"/>
      <c r="WUB202" s="885"/>
      <c r="WUC202" s="885"/>
      <c r="WUD202" s="885"/>
      <c r="WUE202" s="885"/>
      <c r="WUF202" s="885"/>
      <c r="WUG202" s="885"/>
      <c r="WUH202" s="885"/>
      <c r="WUI202" s="885"/>
      <c r="WUJ202" s="885"/>
      <c r="WUK202" s="885"/>
      <c r="WUL202" s="885"/>
      <c r="WUM202" s="885"/>
      <c r="WUN202" s="885"/>
      <c r="WUO202" s="885"/>
      <c r="WUP202" s="885"/>
      <c r="WUQ202" s="885"/>
      <c r="WUR202" s="885"/>
      <c r="WUS202" s="885"/>
      <c r="WUT202" s="885"/>
      <c r="WUU202" s="885"/>
      <c r="WUV202" s="885"/>
      <c r="WUW202" s="885"/>
      <c r="WUX202" s="885"/>
      <c r="WUY202" s="885"/>
      <c r="WUZ202" s="885"/>
      <c r="WVA202" s="885"/>
      <c r="WVB202" s="885"/>
      <c r="WVC202" s="885"/>
      <c r="WVD202" s="885"/>
      <c r="WVE202" s="885"/>
      <c r="WVF202" s="885"/>
      <c r="WVG202" s="885"/>
      <c r="WVH202" s="885"/>
      <c r="WVI202" s="885"/>
      <c r="WVJ202" s="885"/>
      <c r="WVK202" s="885"/>
      <c r="WVL202" s="885"/>
      <c r="WVM202" s="885"/>
      <c r="WVN202" s="885"/>
      <c r="WVO202" s="885"/>
      <c r="WVP202" s="885"/>
      <c r="WVQ202" s="885"/>
      <c r="WVR202" s="885"/>
      <c r="WVS202" s="885"/>
      <c r="WVT202" s="885"/>
      <c r="WVU202" s="885"/>
      <c r="WVV202" s="885"/>
      <c r="WVW202" s="885"/>
      <c r="WVX202" s="885"/>
      <c r="WVY202" s="885"/>
      <c r="WVZ202" s="885"/>
      <c r="WWA202" s="885"/>
    </row>
    <row r="203" spans="1:16147" s="2" customFormat="1" ht="18" customHeight="1">
      <c r="A203" s="64"/>
      <c r="B203" s="22"/>
      <c r="C203" s="22"/>
      <c r="D203" s="22"/>
      <c r="E203" s="22"/>
      <c r="F203" s="2937" t="s">
        <v>23</v>
      </c>
      <c r="G203" s="2937"/>
      <c r="H203" s="755">
        <f>H204</f>
        <v>20000</v>
      </c>
      <c r="I203" s="755">
        <v>20000</v>
      </c>
      <c r="J203" s="50">
        <f>H203-I203</f>
        <v>0</v>
      </c>
      <c r="K203" s="696"/>
      <c r="L203" s="729"/>
      <c r="M203" s="694">
        <f>M204</f>
        <v>20000</v>
      </c>
      <c r="N203" s="84"/>
      <c r="O203" s="4"/>
      <c r="P203" s="39"/>
      <c r="Q203" s="11"/>
      <c r="R203" s="11"/>
      <c r="S203" s="11"/>
      <c r="T203" s="15"/>
      <c r="U203" s="5"/>
    </row>
    <row r="204" spans="1:16147" s="2" customFormat="1" ht="18" customHeight="1">
      <c r="A204" s="64"/>
      <c r="B204" s="22"/>
      <c r="C204" s="22"/>
      <c r="D204" s="22"/>
      <c r="E204" s="22"/>
      <c r="F204" s="30"/>
      <c r="G204" s="22" t="s">
        <v>47</v>
      </c>
      <c r="H204" s="756">
        <f>M204</f>
        <v>20000</v>
      </c>
      <c r="I204" s="756">
        <v>20000</v>
      </c>
      <c r="J204" s="21">
        <f>H204-I204</f>
        <v>0</v>
      </c>
      <c r="K204" s="688" t="s">
        <v>21</v>
      </c>
      <c r="L204" s="704" t="s">
        <v>6</v>
      </c>
      <c r="M204" s="475">
        <v>20000</v>
      </c>
      <c r="N204" s="84"/>
      <c r="O204" s="4"/>
      <c r="P204" s="39"/>
      <c r="Q204" s="11"/>
      <c r="R204" s="11"/>
      <c r="S204" s="11"/>
      <c r="T204" s="15"/>
      <c r="U204" s="5"/>
    </row>
    <row r="205" spans="1:16147" s="2" customFormat="1" ht="18" customHeight="1">
      <c r="A205" s="64"/>
      <c r="B205" s="22"/>
      <c r="C205" s="22"/>
      <c r="D205" s="22"/>
      <c r="E205" s="22"/>
      <c r="F205" s="24"/>
      <c r="G205" s="27"/>
      <c r="H205" s="756"/>
      <c r="I205" s="756"/>
      <c r="J205" s="21"/>
      <c r="K205" s="698" t="s">
        <v>7</v>
      </c>
      <c r="L205" s="698"/>
      <c r="M205" s="685"/>
      <c r="N205" s="84"/>
      <c r="O205" s="4"/>
      <c r="P205" s="39"/>
      <c r="Q205" s="11"/>
      <c r="R205" s="11"/>
      <c r="S205" s="11"/>
      <c r="T205" s="15"/>
      <c r="U205" s="5"/>
    </row>
    <row r="206" spans="1:16147" s="2" customFormat="1" ht="18" customHeight="1">
      <c r="A206" s="64"/>
      <c r="B206" s="22"/>
      <c r="C206" s="22"/>
      <c r="D206" s="22"/>
      <c r="E206" s="22"/>
      <c r="F206" s="24"/>
      <c r="G206" s="27"/>
      <c r="H206" s="756"/>
      <c r="I206" s="756"/>
      <c r="J206" s="21"/>
      <c r="K206" s="698" t="s">
        <v>8</v>
      </c>
      <c r="L206" s="698"/>
      <c r="M206" s="685"/>
      <c r="N206" s="84"/>
      <c r="O206" s="4"/>
      <c r="P206" s="39"/>
      <c r="Q206" s="6"/>
      <c r="R206" s="6"/>
      <c r="S206" s="6"/>
      <c r="T206" s="14"/>
      <c r="U206" s="5"/>
    </row>
    <row r="207" spans="1:16147" s="2" customFormat="1" ht="18" customHeight="1">
      <c r="A207" s="64"/>
      <c r="B207" s="22"/>
      <c r="C207" s="22"/>
      <c r="D207" s="22"/>
      <c r="E207" s="22"/>
      <c r="F207" s="2929" t="s">
        <v>46</v>
      </c>
      <c r="G207" s="2929"/>
      <c r="H207" s="755">
        <f>H208</f>
        <v>170112</v>
      </c>
      <c r="I207" s="755">
        <v>14850</v>
      </c>
      <c r="J207" s="50">
        <f>H207-I207</f>
        <v>155262</v>
      </c>
      <c r="K207" s="696"/>
      <c r="L207" s="729"/>
      <c r="M207" s="694">
        <f>M208</f>
        <v>170112</v>
      </c>
      <c r="N207" s="84"/>
      <c r="O207" s="4"/>
      <c r="P207" s="39"/>
      <c r="Q207" s="46"/>
      <c r="R207" s="11"/>
      <c r="S207" s="11"/>
      <c r="T207" s="48"/>
      <c r="U207" s="47"/>
    </row>
    <row r="208" spans="1:16147" s="2" customFormat="1" ht="18" customHeight="1">
      <c r="A208" s="64"/>
      <c r="B208" s="22"/>
      <c r="C208" s="22"/>
      <c r="D208" s="22"/>
      <c r="E208" s="22"/>
      <c r="F208" s="23"/>
      <c r="G208" s="22" t="s">
        <v>43</v>
      </c>
      <c r="H208" s="756">
        <f>M208</f>
        <v>170112</v>
      </c>
      <c r="I208" s="756">
        <v>14850</v>
      </c>
      <c r="J208" s="21">
        <f>H208-I208</f>
        <v>155262</v>
      </c>
      <c r="K208" s="701" t="s">
        <v>647</v>
      </c>
      <c r="L208" s="704"/>
      <c r="M208" s="475">
        <f>M209+M210+M211+M212+M213</f>
        <v>170112</v>
      </c>
      <c r="N208" s="84"/>
      <c r="O208" s="4"/>
      <c r="P208" s="39"/>
      <c r="Q208" s="46"/>
      <c r="R208" s="11"/>
      <c r="S208" s="11"/>
      <c r="T208" s="48">
        <f>SUM(T209:T225)</f>
        <v>116860000</v>
      </c>
      <c r="U208" s="47"/>
    </row>
    <row r="209" spans="1:24" s="2" customFormat="1" ht="18" customHeight="1">
      <c r="A209" s="64"/>
      <c r="B209" s="22"/>
      <c r="C209" s="22"/>
      <c r="D209" s="22"/>
      <c r="E209" s="22"/>
      <c r="F209" s="22"/>
      <c r="G209" s="22"/>
      <c r="H209" s="756"/>
      <c r="I209" s="756"/>
      <c r="J209" s="21"/>
      <c r="K209" s="806" t="s">
        <v>1166</v>
      </c>
      <c r="L209" s="805" t="s">
        <v>6</v>
      </c>
      <c r="M209" s="1770">
        <v>600</v>
      </c>
      <c r="N209" s="4"/>
      <c r="O209" s="4"/>
      <c r="P209" s="39">
        <v>300000</v>
      </c>
      <c r="Q209" s="6"/>
      <c r="R209" s="6">
        <v>2</v>
      </c>
      <c r="S209" s="6"/>
      <c r="T209" s="45">
        <v>600000</v>
      </c>
      <c r="U209" s="5"/>
      <c r="V209" s="59" t="s">
        <v>1044</v>
      </c>
      <c r="W209" s="59" t="s">
        <v>1045</v>
      </c>
      <c r="X209" s="59" t="s">
        <v>1046</v>
      </c>
    </row>
    <row r="210" spans="1:24" s="2" customFormat="1" ht="18" customHeight="1">
      <c r="A210" s="64"/>
      <c r="B210" s="22"/>
      <c r="C210" s="22"/>
      <c r="D210" s="22"/>
      <c r="E210" s="22"/>
      <c r="F210" s="22"/>
      <c r="G210" s="22"/>
      <c r="H210" s="756"/>
      <c r="I210" s="756"/>
      <c r="J210" s="21"/>
      <c r="K210" s="806" t="s">
        <v>1167</v>
      </c>
      <c r="L210" s="805" t="s">
        <v>6</v>
      </c>
      <c r="M210" s="1770">
        <v>2000</v>
      </c>
      <c r="N210" s="4"/>
      <c r="O210" s="4"/>
      <c r="P210" s="39">
        <v>1600000</v>
      </c>
      <c r="Q210" s="6"/>
      <c r="R210" s="6">
        <v>1</v>
      </c>
      <c r="S210" s="6"/>
      <c r="T210" s="45">
        <v>1600000</v>
      </c>
      <c r="U210" s="5"/>
      <c r="V210" s="59" t="s">
        <v>1168</v>
      </c>
      <c r="W210" s="1777">
        <v>1600</v>
      </c>
      <c r="X210" s="1777">
        <v>2000</v>
      </c>
    </row>
    <row r="211" spans="1:24" s="2" customFormat="1" ht="18" customHeight="1">
      <c r="A211" s="64"/>
      <c r="B211" s="22"/>
      <c r="C211" s="22"/>
      <c r="D211" s="22"/>
      <c r="E211" s="22"/>
      <c r="F211" s="22"/>
      <c r="G211" s="22"/>
      <c r="H211" s="756"/>
      <c r="I211" s="756"/>
      <c r="J211" s="21"/>
      <c r="K211" s="806" t="s">
        <v>1169</v>
      </c>
      <c r="L211" s="805" t="s">
        <v>6</v>
      </c>
      <c r="M211" s="1770">
        <v>250</v>
      </c>
      <c r="N211" s="4"/>
      <c r="O211" s="4"/>
      <c r="P211" s="39">
        <v>250000</v>
      </c>
      <c r="Q211" s="6"/>
      <c r="R211" s="6">
        <v>1</v>
      </c>
      <c r="S211" s="6"/>
      <c r="T211" s="45">
        <v>250000</v>
      </c>
      <c r="U211" s="5"/>
      <c r="V211" s="59"/>
      <c r="W211" s="59"/>
      <c r="X211" s="59"/>
    </row>
    <row r="212" spans="1:24" s="2" customFormat="1" ht="18" customHeight="1">
      <c r="A212" s="64"/>
      <c r="B212" s="22"/>
      <c r="C212" s="22"/>
      <c r="D212" s="22"/>
      <c r="E212" s="22"/>
      <c r="F212" s="22"/>
      <c r="G212" s="22"/>
      <c r="H212" s="756"/>
      <c r="I212" s="756"/>
      <c r="J212" s="21"/>
      <c r="K212" s="806" t="s">
        <v>2356</v>
      </c>
      <c r="L212" s="805" t="s">
        <v>6</v>
      </c>
      <c r="M212" s="1770">
        <v>500</v>
      </c>
      <c r="N212" s="4"/>
      <c r="O212" s="4"/>
      <c r="P212" s="39">
        <v>300000</v>
      </c>
      <c r="Q212" s="6"/>
      <c r="R212" s="6">
        <v>2</v>
      </c>
      <c r="S212" s="6"/>
      <c r="T212" s="45">
        <v>600000</v>
      </c>
      <c r="U212" s="5"/>
      <c r="V212" s="59"/>
      <c r="W212" s="59"/>
      <c r="X212" s="59"/>
    </row>
    <row r="213" spans="1:24" s="2" customFormat="1" ht="18" customHeight="1">
      <c r="A213" s="64"/>
      <c r="B213" s="22"/>
      <c r="C213" s="22"/>
      <c r="D213" s="22"/>
      <c r="E213" s="22"/>
      <c r="F213" s="22"/>
      <c r="G213" s="22"/>
      <c r="H213" s="756"/>
      <c r="I213" s="756"/>
      <c r="J213" s="21"/>
      <c r="K213" s="806" t="s">
        <v>1174</v>
      </c>
      <c r="L213" s="805"/>
      <c r="M213" s="1770">
        <f>SUM(M214:M225)</f>
        <v>166762</v>
      </c>
      <c r="N213" s="4"/>
      <c r="O213" s="4"/>
      <c r="P213" s="39"/>
      <c r="Q213" s="6"/>
      <c r="R213" s="6"/>
      <c r="S213" s="6"/>
      <c r="T213" s="45"/>
      <c r="U213" s="5"/>
      <c r="V213" s="59"/>
      <c r="W213" s="59"/>
      <c r="X213" s="59"/>
    </row>
    <row r="214" spans="1:24" s="2" customFormat="1" ht="18" customHeight="1">
      <c r="A214" s="64"/>
      <c r="B214" s="22"/>
      <c r="C214" s="22"/>
      <c r="D214" s="22"/>
      <c r="E214" s="22"/>
      <c r="F214" s="22"/>
      <c r="G214" s="22"/>
      <c r="H214" s="756"/>
      <c r="I214" s="756"/>
      <c r="J214" s="21"/>
      <c r="K214" s="806" t="s">
        <v>1472</v>
      </c>
      <c r="L214" s="805" t="s">
        <v>6</v>
      </c>
      <c r="M214" s="1769">
        <v>52800</v>
      </c>
      <c r="N214" s="4"/>
      <c r="O214" s="4"/>
      <c r="P214" s="39"/>
      <c r="Q214" s="6"/>
      <c r="R214" s="6"/>
      <c r="S214" s="6"/>
      <c r="T214" s="45"/>
      <c r="U214" s="5"/>
      <c r="V214" s="59"/>
      <c r="W214" s="59"/>
      <c r="X214" s="59"/>
    </row>
    <row r="215" spans="1:24" s="2" customFormat="1" ht="18" customHeight="1">
      <c r="A215" s="64"/>
      <c r="B215" s="22"/>
      <c r="C215" s="22"/>
      <c r="D215" s="22"/>
      <c r="E215" s="22"/>
      <c r="F215" s="22"/>
      <c r="G215" s="22"/>
      <c r="H215" s="756"/>
      <c r="I215" s="756"/>
      <c r="J215" s="21"/>
      <c r="K215" s="806" t="s">
        <v>1463</v>
      </c>
      <c r="L215" s="805" t="s">
        <v>6</v>
      </c>
      <c r="M215" s="1769">
        <v>15960</v>
      </c>
      <c r="N215" s="4"/>
      <c r="O215" s="4"/>
      <c r="P215" s="39">
        <v>1330000</v>
      </c>
      <c r="Q215" s="6"/>
      <c r="R215" s="6">
        <v>1</v>
      </c>
      <c r="S215" s="6">
        <v>12</v>
      </c>
      <c r="T215" s="45">
        <v>15960000</v>
      </c>
      <c r="U215" s="5"/>
      <c r="V215" s="59"/>
      <c r="W215" s="59"/>
      <c r="X215" s="59"/>
    </row>
    <row r="216" spans="1:24" s="2" customFormat="1" ht="18" customHeight="1">
      <c r="A216" s="64"/>
      <c r="B216" s="22"/>
      <c r="C216" s="22"/>
      <c r="D216" s="22"/>
      <c r="E216" s="22"/>
      <c r="F216" s="22"/>
      <c r="G216" s="22"/>
      <c r="H216" s="756"/>
      <c r="I216" s="756"/>
      <c r="J216" s="21"/>
      <c r="K216" s="806" t="s">
        <v>1473</v>
      </c>
      <c r="L216" s="805" t="s">
        <v>6</v>
      </c>
      <c r="M216" s="1769">
        <v>2250</v>
      </c>
      <c r="N216" s="4"/>
      <c r="O216" s="4"/>
      <c r="P216" s="39">
        <v>450000</v>
      </c>
      <c r="Q216" s="6">
        <v>1</v>
      </c>
      <c r="R216" s="6">
        <v>1</v>
      </c>
      <c r="S216" s="6">
        <v>5</v>
      </c>
      <c r="T216" s="45">
        <v>2250000</v>
      </c>
      <c r="U216" s="5"/>
      <c r="V216" s="59"/>
      <c r="W216" s="59"/>
      <c r="X216" s="59"/>
    </row>
    <row r="217" spans="1:24" s="2" customFormat="1" ht="18" customHeight="1">
      <c r="A217" s="64"/>
      <c r="B217" s="22"/>
      <c r="C217" s="22"/>
      <c r="D217" s="22"/>
      <c r="E217" s="22"/>
      <c r="F217" s="22"/>
      <c r="G217" s="22"/>
      <c r="H217" s="756"/>
      <c r="I217" s="756"/>
      <c r="J217" s="21"/>
      <c r="K217" s="806" t="s">
        <v>1474</v>
      </c>
      <c r="L217" s="805" t="s">
        <v>6</v>
      </c>
      <c r="M217" s="1769">
        <v>6600</v>
      </c>
      <c r="N217" s="4"/>
      <c r="O217" s="4"/>
      <c r="P217" s="39">
        <v>550000</v>
      </c>
      <c r="Q217" s="6">
        <v>1</v>
      </c>
      <c r="R217" s="6">
        <v>1</v>
      </c>
      <c r="S217" s="6">
        <v>12</v>
      </c>
      <c r="T217" s="45">
        <v>6600000</v>
      </c>
      <c r="U217" s="5"/>
      <c r="V217" s="59"/>
      <c r="W217" s="59"/>
      <c r="X217" s="59"/>
    </row>
    <row r="218" spans="1:24" s="2" customFormat="1" ht="18" customHeight="1">
      <c r="A218" s="64"/>
      <c r="B218" s="22"/>
      <c r="C218" s="22"/>
      <c r="D218" s="22"/>
      <c r="E218" s="22"/>
      <c r="F218" s="22"/>
      <c r="G218" s="22"/>
      <c r="H218" s="756"/>
      <c r="I218" s="756"/>
      <c r="J218" s="21"/>
      <c r="K218" s="806" t="s">
        <v>1527</v>
      </c>
      <c r="L218" s="805" t="s">
        <v>6</v>
      </c>
      <c r="M218" s="1769">
        <v>6600</v>
      </c>
      <c r="N218" s="4"/>
      <c r="O218" s="4"/>
      <c r="P218" s="39">
        <v>550000</v>
      </c>
      <c r="Q218" s="6">
        <v>1</v>
      </c>
      <c r="R218" s="6">
        <v>1</v>
      </c>
      <c r="S218" s="6">
        <v>12</v>
      </c>
      <c r="T218" s="45">
        <v>6600000</v>
      </c>
      <c r="U218" s="5"/>
      <c r="V218" s="59"/>
      <c r="W218" s="59"/>
      <c r="X218" s="59"/>
    </row>
    <row r="219" spans="1:24" s="2" customFormat="1" ht="18" customHeight="1">
      <c r="A219" s="64"/>
      <c r="B219" s="22"/>
      <c r="C219" s="22"/>
      <c r="D219" s="22"/>
      <c r="E219" s="22"/>
      <c r="F219" s="22"/>
      <c r="G219" s="22"/>
      <c r="H219" s="756"/>
      <c r="I219" s="756"/>
      <c r="J219" s="21"/>
      <c r="K219" s="806" t="s">
        <v>1509</v>
      </c>
      <c r="L219" s="805" t="s">
        <v>6</v>
      </c>
      <c r="M219" s="1769">
        <v>1672</v>
      </c>
      <c r="N219" s="4"/>
      <c r="O219" s="4"/>
      <c r="P219" s="39">
        <v>1520000</v>
      </c>
      <c r="Q219" s="6">
        <v>1</v>
      </c>
      <c r="R219" s="6">
        <v>1</v>
      </c>
      <c r="S219" s="6">
        <v>1</v>
      </c>
      <c r="T219" s="45">
        <v>1520000</v>
      </c>
      <c r="U219" s="5"/>
      <c r="V219" s="59" t="s">
        <v>1044</v>
      </c>
      <c r="W219" s="59" t="s">
        <v>1045</v>
      </c>
      <c r="X219" s="59" t="s">
        <v>1046</v>
      </c>
    </row>
    <row r="220" spans="1:24" s="2" customFormat="1" ht="18" customHeight="1">
      <c r="A220" s="64"/>
      <c r="B220" s="22"/>
      <c r="C220" s="22"/>
      <c r="D220" s="22"/>
      <c r="E220" s="22"/>
      <c r="F220" s="22"/>
      <c r="G220" s="22"/>
      <c r="H220" s="756"/>
      <c r="I220" s="756"/>
      <c r="J220" s="21"/>
      <c r="K220" s="806" t="s">
        <v>1475</v>
      </c>
      <c r="L220" s="805" t="s">
        <v>6</v>
      </c>
      <c r="M220" s="1769">
        <v>14400</v>
      </c>
      <c r="N220" s="4"/>
      <c r="O220" s="4"/>
      <c r="P220" s="39">
        <v>1200000</v>
      </c>
      <c r="Q220" s="6">
        <v>1</v>
      </c>
      <c r="R220" s="6">
        <v>1</v>
      </c>
      <c r="S220" s="6">
        <v>12</v>
      </c>
      <c r="T220" s="45">
        <v>14400000</v>
      </c>
      <c r="U220" s="5"/>
      <c r="V220" s="59" t="s">
        <v>1171</v>
      </c>
      <c r="W220" s="1777">
        <v>10200</v>
      </c>
      <c r="X220" s="1777">
        <v>14400</v>
      </c>
    </row>
    <row r="221" spans="1:24" s="2" customFormat="1" ht="18" customHeight="1">
      <c r="A221" s="64"/>
      <c r="B221" s="22"/>
      <c r="C221" s="22"/>
      <c r="D221" s="22"/>
      <c r="E221" s="22"/>
      <c r="F221" s="22"/>
      <c r="G221" s="22"/>
      <c r="H221" s="756"/>
      <c r="I221" s="756"/>
      <c r="J221" s="21"/>
      <c r="K221" s="806" t="s">
        <v>1476</v>
      </c>
      <c r="L221" s="805" t="s">
        <v>6</v>
      </c>
      <c r="M221" s="1769">
        <v>8400</v>
      </c>
      <c r="N221" s="4"/>
      <c r="O221" s="4"/>
      <c r="P221" s="39">
        <v>700000</v>
      </c>
      <c r="Q221" s="6">
        <v>1</v>
      </c>
      <c r="R221" s="6">
        <v>1</v>
      </c>
      <c r="S221" s="6">
        <v>12</v>
      </c>
      <c r="T221" s="45">
        <v>8400000</v>
      </c>
      <c r="U221" s="5"/>
      <c r="V221" s="59" t="s">
        <v>1171</v>
      </c>
      <c r="W221" s="1777">
        <v>5760</v>
      </c>
      <c r="X221" s="1777">
        <v>6600</v>
      </c>
    </row>
    <row r="222" spans="1:24" s="2" customFormat="1" ht="18" customHeight="1">
      <c r="A222" s="64"/>
      <c r="B222" s="22"/>
      <c r="C222" s="22"/>
      <c r="D222" s="22"/>
      <c r="E222" s="22"/>
      <c r="F222" s="22"/>
      <c r="G222" s="22"/>
      <c r="H222" s="756"/>
      <c r="I222" s="756"/>
      <c r="J222" s="21"/>
      <c r="K222" s="806" t="s">
        <v>1477</v>
      </c>
      <c r="L222" s="805" t="s">
        <v>6</v>
      </c>
      <c r="M222" s="1769">
        <v>5520</v>
      </c>
      <c r="N222" s="4"/>
      <c r="O222" s="4"/>
      <c r="P222" s="39">
        <v>460000</v>
      </c>
      <c r="Q222" s="6">
        <v>1</v>
      </c>
      <c r="R222" s="6">
        <v>1</v>
      </c>
      <c r="S222" s="6">
        <v>12</v>
      </c>
      <c r="T222" s="45">
        <v>5520000</v>
      </c>
      <c r="U222" s="5"/>
      <c r="V222" s="59" t="s">
        <v>1171</v>
      </c>
      <c r="W222" s="1777">
        <v>4680</v>
      </c>
      <c r="X222" s="1777">
        <v>5520</v>
      </c>
    </row>
    <row r="223" spans="1:24" s="2" customFormat="1" ht="18" customHeight="1">
      <c r="A223" s="64"/>
      <c r="B223" s="22"/>
      <c r="C223" s="22"/>
      <c r="D223" s="22"/>
      <c r="E223" s="22"/>
      <c r="F223" s="23"/>
      <c r="G223" s="22"/>
      <c r="H223" s="756"/>
      <c r="I223" s="756"/>
      <c r="J223" s="21"/>
      <c r="K223" s="806" t="s">
        <v>1478</v>
      </c>
      <c r="L223" s="807" t="s">
        <v>6</v>
      </c>
      <c r="M223" s="1769">
        <v>4560</v>
      </c>
      <c r="N223" s="12"/>
      <c r="O223" s="12"/>
      <c r="P223" s="39">
        <v>380000</v>
      </c>
      <c r="Q223" s="46">
        <v>1</v>
      </c>
      <c r="R223" s="6">
        <v>1</v>
      </c>
      <c r="S223" s="11">
        <v>12</v>
      </c>
      <c r="T223" s="45">
        <v>4560000</v>
      </c>
      <c r="U223" s="5"/>
      <c r="V223" s="59" t="s">
        <v>1172</v>
      </c>
      <c r="W223" s="59"/>
      <c r="X223" s="59"/>
    </row>
    <row r="224" spans="1:24" s="2" customFormat="1" ht="18" customHeight="1">
      <c r="A224" s="64"/>
      <c r="B224" s="22"/>
      <c r="C224" s="22"/>
      <c r="D224" s="22"/>
      <c r="E224" s="22"/>
      <c r="F224" s="22"/>
      <c r="G224" s="22"/>
      <c r="H224" s="756"/>
      <c r="I224" s="756"/>
      <c r="J224" s="21"/>
      <c r="K224" s="806" t="s">
        <v>1479</v>
      </c>
      <c r="L224" s="804" t="s">
        <v>6</v>
      </c>
      <c r="M224" s="1769">
        <v>36000</v>
      </c>
      <c r="N224" s="12"/>
      <c r="O224" s="12"/>
      <c r="P224" s="39">
        <v>3000000</v>
      </c>
      <c r="Q224" s="6">
        <v>1</v>
      </c>
      <c r="R224" s="6">
        <v>1</v>
      </c>
      <c r="S224" s="6">
        <v>12</v>
      </c>
      <c r="T224" s="45">
        <v>36000000</v>
      </c>
      <c r="U224" s="5"/>
      <c r="V224" s="59" t="s">
        <v>1171</v>
      </c>
      <c r="W224" s="1777">
        <v>24000</v>
      </c>
      <c r="X224" s="1777">
        <v>36000</v>
      </c>
    </row>
    <row r="225" spans="1:44" s="2" customFormat="1" ht="18" customHeight="1">
      <c r="A225" s="64"/>
      <c r="B225" s="22"/>
      <c r="C225" s="22"/>
      <c r="D225" s="22"/>
      <c r="E225" s="22"/>
      <c r="F225" s="22"/>
      <c r="G225" s="22"/>
      <c r="H225" s="756"/>
      <c r="I225" s="756"/>
      <c r="J225" s="21"/>
      <c r="K225" s="894" t="s">
        <v>1480</v>
      </c>
      <c r="L225" s="804" t="s">
        <v>6</v>
      </c>
      <c r="M225" s="1769">
        <v>12000</v>
      </c>
      <c r="N225" s="12"/>
      <c r="O225" s="12"/>
      <c r="P225" s="39">
        <v>1000000</v>
      </c>
      <c r="Q225" s="6">
        <v>1</v>
      </c>
      <c r="R225" s="6">
        <v>1</v>
      </c>
      <c r="S225" s="6">
        <v>12</v>
      </c>
      <c r="T225" s="45">
        <v>12000000</v>
      </c>
      <c r="U225" s="5"/>
      <c r="V225" s="59" t="s">
        <v>1171</v>
      </c>
      <c r="W225" s="1777">
        <v>11000</v>
      </c>
      <c r="X225" s="1777">
        <v>12000</v>
      </c>
    </row>
    <row r="226" spans="1:44" s="2" customFormat="1" ht="18" customHeight="1">
      <c r="A226" s="64"/>
      <c r="B226" s="22"/>
      <c r="C226" s="22"/>
      <c r="D226" s="22"/>
      <c r="E226" s="22"/>
      <c r="F226" s="2929" t="s">
        <v>53</v>
      </c>
      <c r="G226" s="2929"/>
      <c r="H226" s="755">
        <f>H227+H229</f>
        <v>27435</v>
      </c>
      <c r="I226" s="755">
        <v>26955</v>
      </c>
      <c r="J226" s="50">
        <f>H226-I226</f>
        <v>480</v>
      </c>
      <c r="K226" s="696"/>
      <c r="L226" s="693"/>
      <c r="M226" s="694">
        <f>M227+M229</f>
        <v>27435</v>
      </c>
      <c r="N226" s="86"/>
      <c r="O226" s="7"/>
      <c r="P226" s="40" t="s">
        <v>87</v>
      </c>
      <c r="Q226" s="41" t="s">
        <v>5</v>
      </c>
      <c r="R226" s="41" t="s">
        <v>16</v>
      </c>
      <c r="S226" s="41" t="s">
        <v>1</v>
      </c>
      <c r="T226" s="42" t="s">
        <v>91</v>
      </c>
      <c r="U226" s="5"/>
    </row>
    <row r="227" spans="1:44" s="2" customFormat="1" ht="18" customHeight="1">
      <c r="A227" s="64"/>
      <c r="B227" s="22"/>
      <c r="C227" s="22"/>
      <c r="D227" s="22"/>
      <c r="E227" s="22"/>
      <c r="F227" s="23"/>
      <c r="G227" s="25" t="s">
        <v>44</v>
      </c>
      <c r="H227" s="757">
        <f>M227</f>
        <v>21735</v>
      </c>
      <c r="I227" s="757">
        <v>21555</v>
      </c>
      <c r="J227" s="26">
        <f>H227-I227</f>
        <v>180</v>
      </c>
      <c r="K227" s="701" t="s">
        <v>19</v>
      </c>
      <c r="L227" s="714"/>
      <c r="M227" s="691">
        <f>T227/1000</f>
        <v>21735</v>
      </c>
      <c r="N227" s="84"/>
      <c r="O227" s="4"/>
      <c r="P227" s="39"/>
      <c r="Q227" s="6"/>
      <c r="R227" s="6"/>
      <c r="S227" s="6"/>
      <c r="T227" s="14">
        <f>SUM(T228)</f>
        <v>21735000</v>
      </c>
      <c r="U227" s="5"/>
    </row>
    <row r="228" spans="1:44" s="2" customFormat="1" ht="18" customHeight="1">
      <c r="A228" s="64"/>
      <c r="B228" s="22"/>
      <c r="C228" s="22"/>
      <c r="D228" s="22"/>
      <c r="E228" s="22"/>
      <c r="F228" s="23"/>
      <c r="G228" s="55"/>
      <c r="H228" s="754"/>
      <c r="I228" s="754"/>
      <c r="J228" s="21"/>
      <c r="K228" s="897" t="s">
        <v>648</v>
      </c>
      <c r="L228" s="817" t="s">
        <v>6</v>
      </c>
      <c r="M228" s="818">
        <f>T228/1000</f>
        <v>21735</v>
      </c>
      <c r="N228" s="4"/>
      <c r="O228" s="4"/>
      <c r="P228" s="39">
        <v>45000</v>
      </c>
      <c r="Q228" s="6">
        <v>483</v>
      </c>
      <c r="R228" s="11"/>
      <c r="S228" s="6"/>
      <c r="T228" s="45">
        <f>P228*Q228</f>
        <v>21735000</v>
      </c>
      <c r="U228" s="5"/>
      <c r="V228" s="59"/>
      <c r="W228" s="59"/>
      <c r="X228" s="59"/>
    </row>
    <row r="229" spans="1:44" s="2" customFormat="1" ht="18" customHeight="1">
      <c r="A229" s="64"/>
      <c r="B229" s="22"/>
      <c r="C229" s="22"/>
      <c r="D229" s="22"/>
      <c r="E229" s="22"/>
      <c r="F229" s="23"/>
      <c r="G229" s="25" t="s">
        <v>50</v>
      </c>
      <c r="H229" s="757">
        <f>M229</f>
        <v>5700</v>
      </c>
      <c r="I229" s="757">
        <v>5400</v>
      </c>
      <c r="J229" s="26">
        <f>H229-I229</f>
        <v>300</v>
      </c>
      <c r="K229" s="701" t="s">
        <v>101</v>
      </c>
      <c r="L229" s="699"/>
      <c r="M229" s="475">
        <f>SUM(M230:M233)</f>
        <v>5700</v>
      </c>
      <c r="N229" s="84"/>
      <c r="O229" s="4"/>
      <c r="P229" s="61"/>
      <c r="Q229" s="6"/>
      <c r="R229" s="11"/>
      <c r="S229" s="6"/>
      <c r="T229" s="14">
        <f>SUM(T230:T233)</f>
        <v>5400000</v>
      </c>
      <c r="U229" s="5"/>
    </row>
    <row r="230" spans="1:44" ht="18" customHeight="1">
      <c r="A230" s="64"/>
      <c r="B230" s="22"/>
      <c r="C230" s="22"/>
      <c r="D230" s="22"/>
      <c r="E230" s="22"/>
      <c r="F230" s="24"/>
      <c r="G230" s="27"/>
      <c r="H230" s="756"/>
      <c r="I230" s="756"/>
      <c r="J230" s="21"/>
      <c r="K230" s="688" t="s">
        <v>1178</v>
      </c>
      <c r="L230" s="699" t="s">
        <v>6</v>
      </c>
      <c r="M230" s="685">
        <f>T230/1000</f>
        <v>1200</v>
      </c>
      <c r="P230" s="39">
        <v>100000</v>
      </c>
      <c r="Q230" s="6">
        <v>3</v>
      </c>
      <c r="R230" s="11"/>
      <c r="S230" s="6">
        <v>12</v>
      </c>
      <c r="T230" s="14">
        <f>S230*P230</f>
        <v>1200000</v>
      </c>
      <c r="V230" s="2"/>
    </row>
    <row r="231" spans="1:44" s="2" customFormat="1" ht="18" customHeight="1">
      <c r="A231" s="64"/>
      <c r="B231" s="22"/>
      <c r="C231" s="22"/>
      <c r="D231" s="22"/>
      <c r="E231" s="22"/>
      <c r="F231" s="24"/>
      <c r="G231" s="27"/>
      <c r="H231" s="756"/>
      <c r="I231" s="756"/>
      <c r="J231" s="21"/>
      <c r="K231" s="688" t="s">
        <v>1176</v>
      </c>
      <c r="L231" s="699" t="s">
        <v>6</v>
      </c>
      <c r="M231" s="685">
        <v>1200</v>
      </c>
      <c r="N231" s="84"/>
      <c r="O231" s="4"/>
      <c r="P231" s="39">
        <v>175000</v>
      </c>
      <c r="Q231" s="6">
        <v>8</v>
      </c>
      <c r="R231" s="6"/>
      <c r="S231" s="6">
        <v>12</v>
      </c>
      <c r="T231" s="14">
        <f>S231*P231</f>
        <v>2100000</v>
      </c>
      <c r="U231" s="5"/>
    </row>
    <row r="232" spans="1:44" s="2" customFormat="1" ht="18" customHeight="1">
      <c r="A232" s="64"/>
      <c r="B232" s="22"/>
      <c r="C232" s="22"/>
      <c r="D232" s="22"/>
      <c r="E232" s="22"/>
      <c r="F232" s="24"/>
      <c r="G232" s="27"/>
      <c r="H232" s="756"/>
      <c r="I232" s="756"/>
      <c r="J232" s="21"/>
      <c r="K232" s="688" t="s">
        <v>1177</v>
      </c>
      <c r="L232" s="699"/>
      <c r="M232" s="685">
        <v>1200</v>
      </c>
      <c r="N232" s="84"/>
      <c r="O232" s="4"/>
      <c r="P232" s="39"/>
      <c r="Q232" s="6"/>
      <c r="R232" s="6"/>
      <c r="S232" s="6"/>
      <c r="T232" s="14"/>
      <c r="U232" s="5"/>
    </row>
    <row r="233" spans="1:44" ht="18" customHeight="1">
      <c r="A233" s="64"/>
      <c r="B233" s="22"/>
      <c r="C233" s="22"/>
      <c r="D233" s="22"/>
      <c r="E233" s="22"/>
      <c r="F233" s="24"/>
      <c r="G233" s="27"/>
      <c r="H233" s="756"/>
      <c r="I233" s="756"/>
      <c r="J233" s="57"/>
      <c r="K233" s="688" t="s">
        <v>1175</v>
      </c>
      <c r="L233" s="699" t="s">
        <v>6</v>
      </c>
      <c r="M233" s="685">
        <f>T233/1000</f>
        <v>2100</v>
      </c>
      <c r="P233" s="39">
        <v>175000</v>
      </c>
      <c r="Q233" s="6">
        <v>9</v>
      </c>
      <c r="S233" s="6">
        <v>12</v>
      </c>
      <c r="T233" s="14">
        <f>S233*P233</f>
        <v>2100000</v>
      </c>
      <c r="V233" s="2"/>
    </row>
    <row r="234" spans="1:44" s="840" customFormat="1" ht="18" customHeight="1">
      <c r="A234" s="831"/>
      <c r="B234" s="832"/>
      <c r="D234" s="1093"/>
      <c r="E234" s="1026" t="s">
        <v>38</v>
      </c>
      <c r="F234" s="1027"/>
      <c r="G234" s="1028"/>
      <c r="H234" s="825">
        <f>H235+H251+H254</f>
        <v>3625735</v>
      </c>
      <c r="I234" s="825">
        <v>3673512</v>
      </c>
      <c r="J234" s="51">
        <f>H234-I234</f>
        <v>-47777</v>
      </c>
      <c r="K234" s="728"/>
      <c r="L234" s="827"/>
      <c r="M234" s="694">
        <f>M235+M251+M254</f>
        <v>3625735</v>
      </c>
      <c r="N234" s="833"/>
      <c r="O234" s="834"/>
      <c r="P234" s="835" t="s">
        <v>87</v>
      </c>
      <c r="Q234" s="836" t="s">
        <v>5</v>
      </c>
      <c r="R234" s="836" t="s">
        <v>16</v>
      </c>
      <c r="S234" s="836" t="s">
        <v>1</v>
      </c>
      <c r="T234" s="837" t="s">
        <v>91</v>
      </c>
      <c r="U234" s="838"/>
      <c r="V234" s="839"/>
    </row>
    <row r="235" spans="1:44" ht="18" customHeight="1">
      <c r="A235" s="64"/>
      <c r="B235" s="22"/>
      <c r="C235" s="22"/>
      <c r="D235" s="22"/>
      <c r="E235" s="22"/>
      <c r="F235" s="2929" t="s">
        <v>60</v>
      </c>
      <c r="G235" s="2929"/>
      <c r="H235" s="755">
        <f>M235</f>
        <v>3600295</v>
      </c>
      <c r="I235" s="755">
        <v>3650232</v>
      </c>
      <c r="J235" s="50">
        <f>H235-I235</f>
        <v>-49937</v>
      </c>
      <c r="K235" s="696"/>
      <c r="L235" s="693"/>
      <c r="M235" s="694">
        <f>M236+M238+M244</f>
        <v>3600295</v>
      </c>
      <c r="N235" s="86"/>
      <c r="O235" s="7"/>
      <c r="P235" s="40"/>
      <c r="Q235" s="41" t="s">
        <v>14</v>
      </c>
      <c r="R235" s="41" t="s">
        <v>2</v>
      </c>
      <c r="S235" s="41" t="s">
        <v>1</v>
      </c>
      <c r="T235" s="42" t="s">
        <v>91</v>
      </c>
      <c r="U235" s="1"/>
    </row>
    <row r="236" spans="1:44" ht="18" customHeight="1">
      <c r="A236" s="64"/>
      <c r="B236" s="22"/>
      <c r="C236" s="22"/>
      <c r="D236" s="22"/>
      <c r="E236" s="22"/>
      <c r="F236" s="22"/>
      <c r="G236" s="22" t="s">
        <v>56</v>
      </c>
      <c r="H236" s="756">
        <f>M236</f>
        <v>241392</v>
      </c>
      <c r="I236" s="756">
        <v>261417</v>
      </c>
      <c r="J236" s="21">
        <f>H236-I236</f>
        <v>-20025</v>
      </c>
      <c r="K236" s="872" t="s">
        <v>70</v>
      </c>
      <c r="L236" s="807"/>
      <c r="M236" s="788">
        <f>M237</f>
        <v>241392</v>
      </c>
      <c r="N236" s="1724" t="s">
        <v>1026</v>
      </c>
      <c r="O236" s="10"/>
      <c r="T236" s="45">
        <f>SUM(T237)</f>
        <v>241392226.95000002</v>
      </c>
      <c r="V236" s="6"/>
    </row>
    <row r="237" spans="1:44" s="1811" customFormat="1" ht="18" customHeight="1">
      <c r="A237" s="1797"/>
      <c r="B237" s="1798"/>
      <c r="C237" s="1798"/>
      <c r="D237" s="1798"/>
      <c r="E237" s="1798"/>
      <c r="F237" s="1798"/>
      <c r="G237" s="1799"/>
      <c r="H237" s="1800"/>
      <c r="I237" s="1800"/>
      <c r="J237" s="1801"/>
      <c r="K237" s="1802" t="s">
        <v>1481</v>
      </c>
      <c r="L237" s="1803" t="s">
        <v>6</v>
      </c>
      <c r="M237" s="1804">
        <v>241392</v>
      </c>
      <c r="N237" s="1805"/>
      <c r="O237" s="1805"/>
      <c r="P237" s="1806">
        <v>5676478000</v>
      </c>
      <c r="Q237" s="1806">
        <f>P237*1.05</f>
        <v>5960301900</v>
      </c>
      <c r="R237" s="1807">
        <v>0.09</v>
      </c>
      <c r="S237" s="1805">
        <v>0.5</v>
      </c>
      <c r="T237" s="1808">
        <f>Q237*R237*S237*90%</f>
        <v>241392226.95000002</v>
      </c>
      <c r="U237" s="1809"/>
      <c r="V237" s="1810">
        <v>0.9</v>
      </c>
      <c r="W237" s="1809"/>
      <c r="X237" s="1809"/>
      <c r="Y237" s="1809"/>
      <c r="Z237" s="1809"/>
      <c r="AA237" s="1809"/>
      <c r="AB237" s="1809"/>
      <c r="AC237" s="1809"/>
      <c r="AD237" s="1809"/>
      <c r="AE237" s="1809"/>
      <c r="AF237" s="1809"/>
      <c r="AG237" s="1809"/>
      <c r="AH237" s="1809"/>
      <c r="AI237" s="1809"/>
      <c r="AJ237" s="1809"/>
      <c r="AK237" s="1809"/>
      <c r="AL237" s="1809"/>
      <c r="AM237" s="1809"/>
      <c r="AN237" s="1809"/>
      <c r="AO237" s="1809"/>
      <c r="AP237" s="1809"/>
      <c r="AQ237" s="1809"/>
      <c r="AR237" s="1809"/>
    </row>
    <row r="238" spans="1:44" ht="18" customHeight="1">
      <c r="A238" s="64"/>
      <c r="B238" s="22"/>
      <c r="C238" s="22"/>
      <c r="D238" s="22"/>
      <c r="E238" s="22"/>
      <c r="F238" s="22"/>
      <c r="G238" s="37" t="s">
        <v>66</v>
      </c>
      <c r="H238" s="756">
        <f>M238</f>
        <v>461412</v>
      </c>
      <c r="I238" s="756">
        <v>500878</v>
      </c>
      <c r="J238" s="21">
        <f>H238-I238</f>
        <v>-39466</v>
      </c>
      <c r="K238" s="701" t="s">
        <v>70</v>
      </c>
      <c r="L238" s="704"/>
      <c r="M238" s="475">
        <v>461412</v>
      </c>
      <c r="N238" s="1724" t="s">
        <v>1026</v>
      </c>
      <c r="O238" s="10"/>
      <c r="T238" s="14">
        <f>SUM(T239:T243)</f>
        <v>461412384.06126392</v>
      </c>
    </row>
    <row r="239" spans="1:44" s="1811" customFormat="1" ht="18" customHeight="1">
      <c r="A239" s="1797"/>
      <c r="B239" s="1798"/>
      <c r="C239" s="1798"/>
      <c r="D239" s="1798"/>
      <c r="E239" s="1798"/>
      <c r="F239" s="1798"/>
      <c r="G239" s="1798"/>
      <c r="H239" s="1812"/>
      <c r="I239" s="1812"/>
      <c r="J239" s="1813"/>
      <c r="K239" s="1814" t="s">
        <v>1482</v>
      </c>
      <c r="L239" s="1815" t="s">
        <v>6</v>
      </c>
      <c r="M239" s="1816">
        <f t="shared" ref="M239:M243" si="9">T239/1000</f>
        <v>190163.43211950001</v>
      </c>
      <c r="N239" s="1805"/>
      <c r="O239" s="1805"/>
      <c r="P239" s="1806"/>
      <c r="Q239" s="1806">
        <f>Q237</f>
        <v>5960301900</v>
      </c>
      <c r="R239" s="1807">
        <v>7.0900000000000005E-2</v>
      </c>
      <c r="S239" s="1805">
        <v>0.5</v>
      </c>
      <c r="T239" s="1808">
        <f>Q239*R239*S239*V237</f>
        <v>190163432.11950001</v>
      </c>
      <c r="U239" s="1817"/>
      <c r="V239" s="1805"/>
      <c r="W239" s="1805"/>
      <c r="X239" s="1805"/>
      <c r="Y239" s="1809"/>
      <c r="Z239" s="1809"/>
      <c r="AA239" s="1809"/>
      <c r="AB239" s="1809"/>
      <c r="AC239" s="1809"/>
      <c r="AD239" s="1809"/>
      <c r="AE239" s="1809"/>
      <c r="AF239" s="1809"/>
      <c r="AG239" s="1809"/>
      <c r="AH239" s="1809"/>
      <c r="AI239" s="1809"/>
      <c r="AJ239" s="1809"/>
      <c r="AK239" s="1809"/>
      <c r="AL239" s="1809"/>
      <c r="AM239" s="1809"/>
      <c r="AN239" s="1809"/>
      <c r="AO239" s="1809"/>
      <c r="AP239" s="1809"/>
      <c r="AQ239" s="1809"/>
      <c r="AR239" s="1809"/>
    </row>
    <row r="240" spans="1:44" s="1811" customFormat="1" ht="18" customHeight="1">
      <c r="A240" s="1797"/>
      <c r="B240" s="1798"/>
      <c r="C240" s="1798"/>
      <c r="D240" s="1798"/>
      <c r="E240" s="1798"/>
      <c r="F240" s="1798"/>
      <c r="G240" s="1798"/>
      <c r="H240" s="1812"/>
      <c r="I240" s="1812"/>
      <c r="J240" s="1813"/>
      <c r="K240" s="1814" t="s">
        <v>1483</v>
      </c>
      <c r="L240" s="1815" t="s">
        <v>6</v>
      </c>
      <c r="M240" s="1816">
        <f t="shared" si="9"/>
        <v>11081.774006763864</v>
      </c>
      <c r="N240" s="1805"/>
      <c r="O240" s="1805"/>
      <c r="P240" s="1806"/>
      <c r="Q240" s="1806">
        <f>T239</f>
        <v>190163432.11950001</v>
      </c>
      <c r="R240" s="1807">
        <v>0.1295</v>
      </c>
      <c r="S240" s="1805">
        <v>0.5</v>
      </c>
      <c r="T240" s="1808">
        <f>Q240*R240*S240*V237</f>
        <v>11081774.006763864</v>
      </c>
      <c r="U240" s="1817"/>
      <c r="V240" s="1805"/>
      <c r="W240" s="1805"/>
      <c r="X240" s="1805"/>
      <c r="Y240" s="1809"/>
      <c r="Z240" s="1809"/>
      <c r="AA240" s="1809"/>
      <c r="AB240" s="1809"/>
      <c r="AC240" s="1809"/>
      <c r="AD240" s="1809"/>
      <c r="AE240" s="1809"/>
      <c r="AF240" s="1809"/>
      <c r="AG240" s="1809"/>
      <c r="AH240" s="1809"/>
      <c r="AI240" s="1809"/>
      <c r="AJ240" s="1809"/>
      <c r="AK240" s="1809"/>
      <c r="AL240" s="1809"/>
      <c r="AM240" s="1809"/>
      <c r="AN240" s="1809"/>
      <c r="AO240" s="1809"/>
      <c r="AP240" s="1809"/>
      <c r="AQ240" s="1809"/>
      <c r="AR240" s="1809"/>
    </row>
    <row r="241" spans="1:44" s="1811" customFormat="1" ht="18" customHeight="1">
      <c r="A241" s="1797"/>
      <c r="B241" s="1798"/>
      <c r="C241" s="1798"/>
      <c r="D241" s="1798"/>
      <c r="E241" s="1798"/>
      <c r="F241" s="1798"/>
      <c r="G241" s="1798"/>
      <c r="H241" s="1812"/>
      <c r="I241" s="1812"/>
      <c r="J241" s="1813"/>
      <c r="K241" s="1814" t="s">
        <v>1484</v>
      </c>
      <c r="L241" s="1815" t="s">
        <v>6</v>
      </c>
      <c r="M241" s="1816">
        <f t="shared" si="9"/>
        <v>48278.445389999993</v>
      </c>
      <c r="N241" s="1805"/>
      <c r="O241" s="1805"/>
      <c r="P241" s="1806"/>
      <c r="Q241" s="1806">
        <f>Q239</f>
        <v>5960301900</v>
      </c>
      <c r="R241" s="1807">
        <v>1.7999999999999999E-2</v>
      </c>
      <c r="S241" s="1805">
        <v>0.5</v>
      </c>
      <c r="T241" s="1808">
        <f>Q241*R241*S241*V237</f>
        <v>48278445.389999993</v>
      </c>
      <c r="U241" s="1817"/>
      <c r="V241" s="1805"/>
      <c r="W241" s="1805"/>
      <c r="X241" s="1805"/>
      <c r="Y241" s="1809"/>
      <c r="Z241" s="1809"/>
      <c r="AA241" s="1809"/>
      <c r="AB241" s="1809"/>
      <c r="AC241" s="1809"/>
      <c r="AD241" s="1809"/>
      <c r="AE241" s="1809"/>
      <c r="AF241" s="1809"/>
      <c r="AG241" s="1809"/>
      <c r="AH241" s="1809"/>
      <c r="AI241" s="1809"/>
      <c r="AJ241" s="1809"/>
      <c r="AK241" s="1809"/>
      <c r="AL241" s="1809"/>
      <c r="AM241" s="1809"/>
      <c r="AN241" s="1809"/>
      <c r="AO241" s="1809"/>
      <c r="AP241" s="1809"/>
      <c r="AQ241" s="1809"/>
      <c r="AR241" s="1809"/>
    </row>
    <row r="242" spans="1:44" s="1811" customFormat="1" ht="18" customHeight="1">
      <c r="A242" s="1797"/>
      <c r="B242" s="1798"/>
      <c r="C242" s="1798"/>
      <c r="D242" s="1798"/>
      <c r="E242" s="1798"/>
      <c r="F242" s="1798"/>
      <c r="G242" s="1798"/>
      <c r="H242" s="1812"/>
      <c r="I242" s="1812"/>
      <c r="J242" s="1813"/>
      <c r="K242" s="1814" t="s">
        <v>1485</v>
      </c>
      <c r="L242" s="1815" t="s">
        <v>6</v>
      </c>
      <c r="M242" s="1816">
        <f t="shared" si="9"/>
        <v>45596.309535</v>
      </c>
      <c r="N242" s="1805"/>
      <c r="O242" s="1805"/>
      <c r="P242" s="1806"/>
      <c r="Q242" s="1806">
        <f>Q239</f>
        <v>5960301900</v>
      </c>
      <c r="R242" s="1807">
        <v>8.5000000000000006E-3</v>
      </c>
      <c r="S242" s="1805">
        <v>1</v>
      </c>
      <c r="T242" s="1808">
        <f>Q242*R242*S242*V237</f>
        <v>45596309.535000004</v>
      </c>
      <c r="U242" s="1817"/>
      <c r="V242" s="1805"/>
      <c r="W242" s="1805"/>
      <c r="X242" s="1805"/>
      <c r="Y242" s="1809"/>
      <c r="Z242" s="1809"/>
      <c r="AA242" s="1809"/>
      <c r="AB242" s="1809"/>
      <c r="AC242" s="1809"/>
      <c r="AD242" s="1809"/>
      <c r="AE242" s="1809"/>
      <c r="AF242" s="1809"/>
      <c r="AG242" s="1809"/>
      <c r="AH242" s="1809"/>
      <c r="AI242" s="1809"/>
      <c r="AJ242" s="1809"/>
      <c r="AK242" s="1809"/>
      <c r="AL242" s="1809"/>
      <c r="AM242" s="1809"/>
      <c r="AN242" s="1809"/>
      <c r="AO242" s="1809"/>
      <c r="AP242" s="1809"/>
      <c r="AQ242" s="1809"/>
      <c r="AR242" s="1809"/>
    </row>
    <row r="243" spans="1:44" s="1811" customFormat="1" ht="18" customHeight="1">
      <c r="A243" s="1797"/>
      <c r="B243" s="1798"/>
      <c r="C243" s="1798"/>
      <c r="D243" s="1798"/>
      <c r="E243" s="1798"/>
      <c r="F243" s="1798"/>
      <c r="G243" s="1799"/>
      <c r="H243" s="1800"/>
      <c r="I243" s="1800"/>
      <c r="J243" s="1801"/>
      <c r="K243" s="1802" t="s">
        <v>1486</v>
      </c>
      <c r="L243" s="1803" t="s">
        <v>6</v>
      </c>
      <c r="M243" s="1804">
        <f t="shared" si="9"/>
        <v>166292.42301000003</v>
      </c>
      <c r="N243" s="1805"/>
      <c r="O243" s="1805"/>
      <c r="P243" s="1806"/>
      <c r="Q243" s="1806">
        <f>Q239</f>
        <v>5960301900</v>
      </c>
      <c r="R243" s="1805">
        <f>31/1000</f>
        <v>3.1E-2</v>
      </c>
      <c r="S243" s="1805">
        <v>1</v>
      </c>
      <c r="T243" s="1808">
        <f>Q243*R243*S243*V237</f>
        <v>166292423.01000002</v>
      </c>
      <c r="U243" s="1817"/>
      <c r="V243" s="1805"/>
      <c r="W243" s="1805"/>
      <c r="X243" s="1805"/>
      <c r="Y243" s="1809"/>
      <c r="Z243" s="1809"/>
      <c r="AA243" s="1809"/>
      <c r="AB243" s="1809"/>
      <c r="AC243" s="1809"/>
      <c r="AD243" s="1809"/>
      <c r="AE243" s="1809"/>
      <c r="AF243" s="1809"/>
      <c r="AG243" s="1809"/>
      <c r="AH243" s="1809"/>
      <c r="AI243" s="1809"/>
      <c r="AJ243" s="1809"/>
      <c r="AK243" s="1809"/>
      <c r="AL243" s="1809"/>
      <c r="AM243" s="1809"/>
      <c r="AN243" s="1809"/>
      <c r="AO243" s="1809"/>
      <c r="AP243" s="1809"/>
      <c r="AQ243" s="1809"/>
      <c r="AR243" s="1809"/>
    </row>
    <row r="244" spans="1:44" ht="21">
      <c r="A244" s="64"/>
      <c r="B244" s="22"/>
      <c r="C244" s="22"/>
      <c r="D244" s="22"/>
      <c r="E244" s="22"/>
      <c r="F244" s="22"/>
      <c r="G244" s="910" t="s">
        <v>653</v>
      </c>
      <c r="H244" s="756">
        <f>M244</f>
        <v>2897491</v>
      </c>
      <c r="I244" s="756">
        <v>2887937</v>
      </c>
      <c r="J244" s="21">
        <f>H244-I244</f>
        <v>9554</v>
      </c>
      <c r="K244" s="872" t="s">
        <v>70</v>
      </c>
      <c r="L244" s="807"/>
      <c r="M244" s="788">
        <v>2897491</v>
      </c>
      <c r="N244" s="1724" t="s">
        <v>1026</v>
      </c>
      <c r="O244" s="10"/>
      <c r="T244" s="45">
        <f>SUM(T245:T250)</f>
        <v>2897490845.5962625</v>
      </c>
      <c r="V244" s="847"/>
      <c r="W244" s="847"/>
      <c r="X244" s="847"/>
    </row>
    <row r="245" spans="1:44" s="1811" customFormat="1" ht="18" customHeight="1">
      <c r="A245" s="1797"/>
      <c r="B245" s="1798"/>
      <c r="C245" s="1798"/>
      <c r="D245" s="1798"/>
      <c r="E245" s="1798"/>
      <c r="F245" s="1798"/>
      <c r="G245" s="1798"/>
      <c r="H245" s="1812"/>
      <c r="I245" s="1812"/>
      <c r="J245" s="1813"/>
      <c r="K245" s="1814" t="s">
        <v>1487</v>
      </c>
      <c r="L245" s="1815" t="s">
        <v>6</v>
      </c>
      <c r="M245" s="1816">
        <f t="shared" ref="M245:M250" si="10">T245/1000</f>
        <v>995200.88062499999</v>
      </c>
      <c r="N245" s="1805"/>
      <c r="O245" s="1805"/>
      <c r="P245" s="1806">
        <v>23402725000</v>
      </c>
      <c r="Q245" s="1806">
        <f>P245*1.05</f>
        <v>24572861250</v>
      </c>
      <c r="R245" s="1807">
        <v>0.09</v>
      </c>
      <c r="S245" s="1805">
        <v>0.5</v>
      </c>
      <c r="T245" s="1808">
        <f>Q245*R245*S245*V237</f>
        <v>995200880.625</v>
      </c>
      <c r="U245" s="1817"/>
      <c r="V245" s="1805"/>
      <c r="W245" s="1805"/>
      <c r="X245" s="1805"/>
      <c r="Y245" s="1809"/>
      <c r="Z245" s="1809"/>
      <c r="AA245" s="1809"/>
      <c r="AB245" s="1809"/>
      <c r="AC245" s="1809"/>
      <c r="AD245" s="1809"/>
      <c r="AE245" s="1809"/>
      <c r="AF245" s="1809"/>
      <c r="AG245" s="1809"/>
      <c r="AH245" s="1809"/>
      <c r="AI245" s="1809"/>
      <c r="AJ245" s="1809"/>
      <c r="AK245" s="1809"/>
      <c r="AL245" s="1809"/>
      <c r="AM245" s="1809"/>
      <c r="AN245" s="1809"/>
      <c r="AO245" s="1809"/>
      <c r="AP245" s="1809"/>
      <c r="AQ245" s="1809"/>
      <c r="AR245" s="1809"/>
    </row>
    <row r="246" spans="1:44" s="1811" customFormat="1" ht="18" customHeight="1">
      <c r="A246" s="1797"/>
      <c r="B246" s="1798"/>
      <c r="C246" s="1798"/>
      <c r="D246" s="1798"/>
      <c r="E246" s="1798"/>
      <c r="F246" s="1798"/>
      <c r="G246" s="1798"/>
      <c r="H246" s="1812"/>
      <c r="I246" s="1812"/>
      <c r="J246" s="1813"/>
      <c r="K246" s="1814" t="s">
        <v>1488</v>
      </c>
      <c r="L246" s="1815" t="s">
        <v>6</v>
      </c>
      <c r="M246" s="1816">
        <f t="shared" si="10"/>
        <v>783997.13818124996</v>
      </c>
      <c r="N246" s="1805"/>
      <c r="O246" s="1805"/>
      <c r="P246" s="1806"/>
      <c r="Q246" s="1806">
        <f>Q245</f>
        <v>24572861250</v>
      </c>
      <c r="R246" s="1807">
        <v>7.0900000000000005E-2</v>
      </c>
      <c r="S246" s="1805">
        <v>0.5</v>
      </c>
      <c r="T246" s="1808">
        <f>Q246*R246*S246*V237</f>
        <v>783997138.18124998</v>
      </c>
      <c r="U246" s="1817"/>
      <c r="V246" s="1805"/>
      <c r="W246" s="1805"/>
      <c r="X246" s="1805"/>
      <c r="Y246" s="1809"/>
      <c r="Z246" s="1809"/>
      <c r="AA246" s="1809"/>
      <c r="AB246" s="1809"/>
      <c r="AC246" s="1809"/>
      <c r="AD246" s="1809"/>
      <c r="AE246" s="1809"/>
      <c r="AF246" s="1809"/>
      <c r="AG246" s="1809"/>
      <c r="AH246" s="1809"/>
      <c r="AI246" s="1809"/>
      <c r="AJ246" s="1809"/>
      <c r="AK246" s="1809"/>
      <c r="AL246" s="1809"/>
      <c r="AM246" s="1809"/>
      <c r="AN246" s="1809"/>
      <c r="AO246" s="1809"/>
      <c r="AP246" s="1809"/>
      <c r="AQ246" s="1809"/>
      <c r="AR246" s="1809"/>
    </row>
    <row r="247" spans="1:44" s="1811" customFormat="1" ht="18" customHeight="1">
      <c r="A247" s="1797"/>
      <c r="B247" s="1798"/>
      <c r="C247" s="1798"/>
      <c r="D247" s="1798"/>
      <c r="E247" s="1798"/>
      <c r="F247" s="1798"/>
      <c r="G247" s="1798"/>
      <c r="H247" s="1812"/>
      <c r="I247" s="1812"/>
      <c r="J247" s="1813"/>
      <c r="K247" s="1814" t="s">
        <v>1489</v>
      </c>
      <c r="L247" s="1815" t="s">
        <v>6</v>
      </c>
      <c r="M247" s="1816">
        <f t="shared" si="10"/>
        <v>45687.433227512345</v>
      </c>
      <c r="N247" s="1805"/>
      <c r="O247" s="1805"/>
      <c r="P247" s="1806"/>
      <c r="Q247" s="1806">
        <f>T246</f>
        <v>783997138.18124998</v>
      </c>
      <c r="R247" s="1807">
        <v>0.1295</v>
      </c>
      <c r="S247" s="1805">
        <v>0.5</v>
      </c>
      <c r="T247" s="1808">
        <f>Q247*R247*S247*V237</f>
        <v>45687433.227512345</v>
      </c>
      <c r="U247" s="1817"/>
      <c r="V247" s="1805">
        <v>1114455</v>
      </c>
      <c r="W247" s="1805" t="s">
        <v>1490</v>
      </c>
      <c r="X247" s="1805"/>
      <c r="Y247" s="1809"/>
      <c r="Z247" s="1809"/>
      <c r="AA247" s="1809"/>
      <c r="AB247" s="1809"/>
      <c r="AC247" s="1809"/>
      <c r="AD247" s="1809"/>
      <c r="AE247" s="1809"/>
      <c r="AF247" s="1809"/>
      <c r="AG247" s="1809"/>
      <c r="AH247" s="1809"/>
      <c r="AI247" s="1809"/>
      <c r="AJ247" s="1809"/>
      <c r="AK247" s="1809"/>
      <c r="AL247" s="1809"/>
      <c r="AM247" s="1809"/>
      <c r="AN247" s="1809"/>
      <c r="AO247" s="1809"/>
      <c r="AP247" s="1809"/>
      <c r="AQ247" s="1809"/>
      <c r="AR247" s="1809"/>
    </row>
    <row r="248" spans="1:44" s="1811" customFormat="1" ht="18" customHeight="1">
      <c r="A248" s="1797"/>
      <c r="B248" s="1798"/>
      <c r="C248" s="1798"/>
      <c r="D248" s="1798"/>
      <c r="E248" s="1798"/>
      <c r="F248" s="1798"/>
      <c r="G248" s="1798"/>
      <c r="H248" s="1812"/>
      <c r="I248" s="1812"/>
      <c r="J248" s="1813"/>
      <c r="K248" s="1814" t="s">
        <v>1491</v>
      </c>
      <c r="L248" s="1815" t="s">
        <v>6</v>
      </c>
      <c r="M248" s="1816">
        <f t="shared" si="10"/>
        <v>199040.17612499997</v>
      </c>
      <c r="N248" s="1805"/>
      <c r="O248" s="1805"/>
      <c r="P248" s="1806"/>
      <c r="Q248" s="1806">
        <f>Q246</f>
        <v>24572861250</v>
      </c>
      <c r="R248" s="1807">
        <v>1.7999999999999999E-2</v>
      </c>
      <c r="S248" s="1805">
        <v>0.5</v>
      </c>
      <c r="T248" s="1808">
        <f>Q248*R248*S248*V237</f>
        <v>199040176.12499997</v>
      </c>
      <c r="U248" s="1817"/>
      <c r="V248" s="1805">
        <v>4608870</v>
      </c>
      <c r="W248" s="1805" t="s">
        <v>1492</v>
      </c>
      <c r="X248" s="1805"/>
      <c r="Y248" s="1809"/>
      <c r="Z248" s="1809"/>
      <c r="AA248" s="1809"/>
      <c r="AB248" s="1809"/>
      <c r="AC248" s="1809"/>
      <c r="AD248" s="1809"/>
      <c r="AE248" s="1809"/>
      <c r="AF248" s="1809"/>
      <c r="AG248" s="1809"/>
      <c r="AH248" s="1809"/>
      <c r="AI248" s="1809"/>
      <c r="AJ248" s="1809"/>
      <c r="AK248" s="1809"/>
      <c r="AL248" s="1809"/>
      <c r="AM248" s="1809"/>
      <c r="AN248" s="1809"/>
      <c r="AO248" s="1809"/>
      <c r="AP248" s="1809"/>
      <c r="AQ248" s="1809"/>
      <c r="AR248" s="1809"/>
    </row>
    <row r="249" spans="1:44" s="1811" customFormat="1" ht="18" customHeight="1">
      <c r="A249" s="1797"/>
      <c r="B249" s="1798"/>
      <c r="C249" s="1798"/>
      <c r="D249" s="1798"/>
      <c r="E249" s="1798"/>
      <c r="F249" s="1798"/>
      <c r="G249" s="1798"/>
      <c r="H249" s="1812"/>
      <c r="I249" s="1812"/>
      <c r="J249" s="1813"/>
      <c r="K249" s="1814" t="s">
        <v>1493</v>
      </c>
      <c r="L249" s="1815" t="s">
        <v>6</v>
      </c>
      <c r="M249" s="1816">
        <f t="shared" si="10"/>
        <v>187982.38856250004</v>
      </c>
      <c r="N249" s="1805"/>
      <c r="O249" s="1805"/>
      <c r="P249" s="1806"/>
      <c r="Q249" s="1806">
        <f>Q246</f>
        <v>24572861250</v>
      </c>
      <c r="R249" s="1807">
        <v>8.5000000000000006E-3</v>
      </c>
      <c r="S249" s="1805">
        <v>1</v>
      </c>
      <c r="T249" s="1808">
        <f>Q249*R249*S249*V237</f>
        <v>187982388.56250003</v>
      </c>
      <c r="U249" s="1817"/>
      <c r="V249" s="1805">
        <v>4562023</v>
      </c>
      <c r="W249" s="1805" t="s">
        <v>1494</v>
      </c>
      <c r="X249" s="1805"/>
      <c r="Y249" s="1809"/>
      <c r="Z249" s="1809"/>
      <c r="AA249" s="1809"/>
      <c r="AB249" s="1809"/>
      <c r="AC249" s="1809"/>
      <c r="AD249" s="1809"/>
      <c r="AE249" s="1809"/>
      <c r="AF249" s="1809"/>
      <c r="AG249" s="1809"/>
      <c r="AH249" s="1809"/>
      <c r="AI249" s="1809"/>
      <c r="AJ249" s="1809"/>
      <c r="AK249" s="1809"/>
      <c r="AL249" s="1809"/>
      <c r="AM249" s="1809"/>
      <c r="AN249" s="1809"/>
      <c r="AO249" s="1809"/>
      <c r="AP249" s="1809"/>
      <c r="AQ249" s="1809"/>
      <c r="AR249" s="1809"/>
    </row>
    <row r="250" spans="1:44" s="1811" customFormat="1" ht="18" customHeight="1">
      <c r="A250" s="1797"/>
      <c r="B250" s="1798"/>
      <c r="C250" s="1798"/>
      <c r="D250" s="1798"/>
      <c r="E250" s="1798"/>
      <c r="F250" s="1798"/>
      <c r="G250" s="1798"/>
      <c r="H250" s="1812"/>
      <c r="I250" s="1812"/>
      <c r="J250" s="1813"/>
      <c r="K250" s="1814" t="s">
        <v>1495</v>
      </c>
      <c r="L250" s="1815" t="s">
        <v>6</v>
      </c>
      <c r="M250" s="1816">
        <f t="shared" si="10"/>
        <v>685582.82887500001</v>
      </c>
      <c r="N250" s="1805"/>
      <c r="O250" s="1805"/>
      <c r="P250" s="1806"/>
      <c r="Q250" s="1806">
        <f>Q246</f>
        <v>24572861250</v>
      </c>
      <c r="R250" s="1805">
        <f>31/1000</f>
        <v>3.1E-2</v>
      </c>
      <c r="S250" s="1805">
        <v>1</v>
      </c>
      <c r="T250" s="1808">
        <f>Q250*R250*S250*V237</f>
        <v>685582828.875</v>
      </c>
      <c r="U250" s="1817"/>
      <c r="V250" s="1805">
        <v>18793855</v>
      </c>
      <c r="W250" s="1805" t="s">
        <v>1496</v>
      </c>
      <c r="X250" s="1805"/>
      <c r="Y250" s="1809"/>
      <c r="Z250" s="1809"/>
      <c r="AA250" s="1809"/>
      <c r="AB250" s="1809"/>
      <c r="AC250" s="1809"/>
      <c r="AD250" s="1809"/>
      <c r="AE250" s="1809"/>
      <c r="AF250" s="1809"/>
      <c r="AG250" s="1809"/>
      <c r="AH250" s="1809"/>
      <c r="AI250" s="1809"/>
      <c r="AJ250" s="1809"/>
      <c r="AK250" s="1809"/>
      <c r="AL250" s="1809"/>
      <c r="AM250" s="1809"/>
      <c r="AN250" s="1809"/>
      <c r="AO250" s="1809"/>
      <c r="AP250" s="1809"/>
      <c r="AQ250" s="1809"/>
      <c r="AR250" s="1809"/>
    </row>
    <row r="251" spans="1:44" s="2" customFormat="1" ht="18" customHeight="1">
      <c r="A251" s="64"/>
      <c r="B251" s="22"/>
      <c r="C251" s="22"/>
      <c r="D251" s="22"/>
      <c r="E251" s="22"/>
      <c r="F251" s="2929" t="s">
        <v>83</v>
      </c>
      <c r="G251" s="2929"/>
      <c r="H251" s="755">
        <f>H252</f>
        <v>21200</v>
      </c>
      <c r="I251" s="755">
        <v>19400</v>
      </c>
      <c r="J251" s="50">
        <f>H251-I251</f>
        <v>1800</v>
      </c>
      <c r="K251" s="696"/>
      <c r="L251" s="693"/>
      <c r="M251" s="697">
        <f>M252</f>
        <v>21200</v>
      </c>
      <c r="N251" s="88"/>
      <c r="O251" s="10"/>
      <c r="P251" s="39"/>
      <c r="Q251" s="6"/>
      <c r="R251" s="6"/>
      <c r="S251" s="6"/>
      <c r="T251" s="14"/>
      <c r="U251" s="5"/>
      <c r="V251" s="1"/>
    </row>
    <row r="252" spans="1:44" s="2" customFormat="1" ht="18" customHeight="1">
      <c r="A252" s="64"/>
      <c r="B252" s="22"/>
      <c r="C252" s="22"/>
      <c r="D252" s="22"/>
      <c r="E252" s="22"/>
      <c r="F252" s="24"/>
      <c r="G252" s="38" t="s">
        <v>67</v>
      </c>
      <c r="H252" s="756">
        <f>M252</f>
        <v>21200</v>
      </c>
      <c r="I252" s="756">
        <v>19400</v>
      </c>
      <c r="J252" s="21">
        <f>H252-I252</f>
        <v>1800</v>
      </c>
      <c r="K252" s="701" t="s">
        <v>20</v>
      </c>
      <c r="L252" s="739"/>
      <c r="M252" s="475">
        <f>M253</f>
        <v>21200</v>
      </c>
      <c r="N252" s="88"/>
      <c r="O252" s="10"/>
      <c r="P252" s="39"/>
      <c r="Q252" s="6"/>
      <c r="R252" s="6"/>
      <c r="S252" s="6"/>
      <c r="T252" s="14"/>
      <c r="U252" s="5"/>
      <c r="V252" s="1"/>
    </row>
    <row r="253" spans="1:44" s="2" customFormat="1" ht="18" customHeight="1">
      <c r="A253" s="64"/>
      <c r="B253" s="22"/>
      <c r="C253" s="22"/>
      <c r="D253" s="22"/>
      <c r="E253" s="22"/>
      <c r="F253" s="24"/>
      <c r="G253" s="27"/>
      <c r="H253" s="756"/>
      <c r="I253" s="756"/>
      <c r="J253" s="21"/>
      <c r="K253" s="709" t="s">
        <v>1497</v>
      </c>
      <c r="L253" s="699" t="s">
        <v>6</v>
      </c>
      <c r="M253" s="700">
        <v>21200</v>
      </c>
      <c r="N253" s="88"/>
      <c r="O253" s="10"/>
      <c r="P253" s="39"/>
      <c r="Q253" s="6"/>
      <c r="R253" s="6"/>
      <c r="S253" s="6"/>
      <c r="T253" s="14"/>
      <c r="U253" s="5"/>
      <c r="V253" s="1"/>
    </row>
    <row r="254" spans="1:44" s="2" customFormat="1" ht="18" customHeight="1">
      <c r="A254" s="64"/>
      <c r="B254" s="22"/>
      <c r="C254" s="22"/>
      <c r="D254" s="1087"/>
      <c r="E254" s="1087"/>
      <c r="F254" s="2948" t="s">
        <v>0</v>
      </c>
      <c r="G254" s="2949"/>
      <c r="H254" s="757">
        <f>M254</f>
        <v>4240</v>
      </c>
      <c r="I254" s="757">
        <v>3880</v>
      </c>
      <c r="J254" s="26">
        <f>H254-I254</f>
        <v>360</v>
      </c>
      <c r="K254" s="740" t="s">
        <v>785</v>
      </c>
      <c r="L254" s="714"/>
      <c r="M254" s="731">
        <f>M255</f>
        <v>4240</v>
      </c>
      <c r="N254" s="88"/>
      <c r="O254" s="10"/>
      <c r="P254" s="39"/>
      <c r="Q254" s="6"/>
      <c r="R254" s="6"/>
      <c r="S254" s="6"/>
      <c r="T254" s="14"/>
      <c r="U254" s="5"/>
      <c r="V254" s="1"/>
    </row>
    <row r="255" spans="1:44" s="2" customFormat="1" ht="18" customHeight="1">
      <c r="A255" s="64"/>
      <c r="B255" s="22"/>
      <c r="C255" s="22"/>
      <c r="D255" s="1087"/>
      <c r="E255" s="1087"/>
      <c r="F255" s="2950"/>
      <c r="G255" s="2951"/>
      <c r="H255" s="754"/>
      <c r="I255" s="754"/>
      <c r="J255" s="21"/>
      <c r="K255" s="741" t="s">
        <v>1498</v>
      </c>
      <c r="L255" s="699" t="s">
        <v>6</v>
      </c>
      <c r="M255" s="700">
        <f>21200*0.2</f>
        <v>4240</v>
      </c>
      <c r="N255" s="84"/>
      <c r="O255" s="4"/>
      <c r="P255" s="39"/>
      <c r="Q255" s="6"/>
      <c r="R255" s="6"/>
      <c r="S255" s="6"/>
      <c r="T255" s="14"/>
      <c r="U255" s="5"/>
    </row>
    <row r="256" spans="1:44" s="2" customFormat="1" ht="18" customHeight="1">
      <c r="A256" s="64"/>
      <c r="B256" s="1107"/>
      <c r="C256" s="1108"/>
      <c r="D256" s="1108"/>
      <c r="E256" s="478" t="s">
        <v>490</v>
      </c>
      <c r="F256" s="478"/>
      <c r="G256" s="479"/>
      <c r="H256" s="1109">
        <f>H257</f>
        <v>0</v>
      </c>
      <c r="I256" s="1109">
        <v>0</v>
      </c>
      <c r="J256" s="50">
        <f t="shared" ref="J256:J261" si="11">H256-I256</f>
        <v>0</v>
      </c>
      <c r="K256" s="724"/>
      <c r="L256" s="742"/>
      <c r="M256" s="694">
        <f>M257</f>
        <v>0</v>
      </c>
      <c r="N256" s="84"/>
      <c r="O256" s="4"/>
      <c r="P256" s="39"/>
      <c r="Q256" s="6"/>
      <c r="R256" s="6"/>
      <c r="S256" s="6"/>
      <c r="T256" s="14"/>
      <c r="U256" s="5"/>
    </row>
    <row r="257" spans="1:24" s="2" customFormat="1" ht="18" customHeight="1">
      <c r="A257" s="64"/>
      <c r="B257" s="22"/>
      <c r="C257" s="22"/>
      <c r="D257" s="22"/>
      <c r="E257" s="22"/>
      <c r="F257" s="2952" t="s">
        <v>59</v>
      </c>
      <c r="G257" s="2952"/>
      <c r="H257" s="760">
        <f>M257</f>
        <v>0</v>
      </c>
      <c r="I257" s="760">
        <v>0</v>
      </c>
      <c r="J257" s="26">
        <f t="shared" si="11"/>
        <v>0</v>
      </c>
      <c r="K257" s="688" t="s">
        <v>65</v>
      </c>
      <c r="L257" s="862" t="s">
        <v>6</v>
      </c>
      <c r="M257" s="475">
        <v>0</v>
      </c>
      <c r="N257" s="84"/>
      <c r="O257" s="4"/>
      <c r="P257" s="39"/>
      <c r="Q257" s="6"/>
      <c r="R257" s="13"/>
      <c r="S257" s="13"/>
      <c r="T257" s="48"/>
      <c r="U257" s="47"/>
    </row>
    <row r="258" spans="1:24" ht="18" customHeight="1">
      <c r="A258" s="1708"/>
      <c r="B258" s="1110"/>
      <c r="C258" s="1111"/>
      <c r="D258" s="1026" t="s">
        <v>882</v>
      </c>
      <c r="E258" s="1027"/>
      <c r="F258" s="1027"/>
      <c r="G258" s="1028"/>
      <c r="H258" s="1109">
        <f>H259+H281</f>
        <v>88499</v>
      </c>
      <c r="I258" s="1109">
        <v>156430</v>
      </c>
      <c r="J258" s="50">
        <f t="shared" si="11"/>
        <v>-67931</v>
      </c>
      <c r="K258" s="1055"/>
      <c r="L258" s="1112"/>
      <c r="M258" s="1057"/>
    </row>
    <row r="259" spans="1:24" ht="18" customHeight="1">
      <c r="A259" s="1707"/>
      <c r="B259" s="22"/>
      <c r="C259" s="22"/>
      <c r="D259" s="832"/>
      <c r="E259" s="1113" t="s">
        <v>623</v>
      </c>
      <c r="F259" s="832"/>
      <c r="G259" s="1028"/>
      <c r="H259" s="1109">
        <f>H260+H274</f>
        <v>78459</v>
      </c>
      <c r="I259" s="1109">
        <v>148280</v>
      </c>
      <c r="J259" s="50">
        <f t="shared" si="11"/>
        <v>-69821</v>
      </c>
      <c r="K259" s="1055"/>
      <c r="L259" s="1112"/>
      <c r="M259" s="1057"/>
    </row>
    <row r="260" spans="1:24" ht="18" customHeight="1">
      <c r="A260" s="1707"/>
      <c r="B260" s="22"/>
      <c r="C260" s="22"/>
      <c r="D260" s="832"/>
      <c r="E260" s="832"/>
      <c r="F260" s="52" t="s">
        <v>49</v>
      </c>
      <c r="G260" s="56"/>
      <c r="H260" s="1109">
        <f>H261</f>
        <v>36559</v>
      </c>
      <c r="I260" s="1109">
        <v>41280</v>
      </c>
      <c r="J260" s="50">
        <f t="shared" si="11"/>
        <v>-4721</v>
      </c>
      <c r="K260" s="1055"/>
      <c r="L260" s="1112"/>
      <c r="M260" s="1057"/>
    </row>
    <row r="261" spans="1:24" s="2" customFormat="1" ht="18" customHeight="1">
      <c r="A261" s="64"/>
      <c r="B261" s="22"/>
      <c r="C261" s="22"/>
      <c r="D261" s="22"/>
      <c r="E261" s="22"/>
      <c r="F261" s="22"/>
      <c r="G261" s="25" t="s">
        <v>31</v>
      </c>
      <c r="H261" s="759">
        <f>M261</f>
        <v>36559</v>
      </c>
      <c r="I261" s="759">
        <v>41280</v>
      </c>
      <c r="J261" s="476">
        <f t="shared" si="11"/>
        <v>-4721</v>
      </c>
      <c r="K261" s="715" t="s">
        <v>78</v>
      </c>
      <c r="L261" s="714"/>
      <c r="M261" s="691">
        <f>M262+M264+M266+M267+M268+M270+M263+M265+M271</f>
        <v>36559</v>
      </c>
      <c r="N261" s="86"/>
      <c r="O261" s="7"/>
      <c r="P261" s="40" t="s">
        <v>87</v>
      </c>
      <c r="Q261" s="41" t="s">
        <v>85</v>
      </c>
      <c r="R261" s="41" t="s">
        <v>16</v>
      </c>
      <c r="S261" s="41" t="s">
        <v>1</v>
      </c>
      <c r="T261" s="42" t="s">
        <v>91</v>
      </c>
      <c r="U261" s="5"/>
    </row>
    <row r="262" spans="1:24" s="2" customFormat="1" ht="18" customHeight="1">
      <c r="A262" s="64"/>
      <c r="B262" s="22"/>
      <c r="C262" s="22"/>
      <c r="D262" s="22"/>
      <c r="E262" s="22"/>
      <c r="F262" s="22"/>
      <c r="G262" s="22"/>
      <c r="H262" s="760"/>
      <c r="I262" s="760"/>
      <c r="J262" s="474"/>
      <c r="K262" s="732" t="s">
        <v>632</v>
      </c>
      <c r="L262" s="804" t="s">
        <v>292</v>
      </c>
      <c r="M262" s="873">
        <v>5500</v>
      </c>
      <c r="N262" s="9"/>
      <c r="O262" s="966"/>
      <c r="P262" s="39"/>
      <c r="Q262" s="6"/>
      <c r="R262" s="6"/>
      <c r="S262" s="6"/>
      <c r="T262" s="45"/>
      <c r="U262" s="5"/>
      <c r="V262" s="59"/>
      <c r="W262" s="59"/>
      <c r="X262" s="59"/>
    </row>
    <row r="263" spans="1:24" s="2" customFormat="1" ht="18" customHeight="1">
      <c r="A263" s="64"/>
      <c r="B263" s="22"/>
      <c r="C263" s="22"/>
      <c r="D263" s="22"/>
      <c r="E263" s="22"/>
      <c r="F263" s="22"/>
      <c r="G263" s="22"/>
      <c r="H263" s="760"/>
      <c r="I263" s="760"/>
      <c r="J263" s="474"/>
      <c r="K263" s="716" t="s">
        <v>1184</v>
      </c>
      <c r="L263" s="686" t="s">
        <v>6</v>
      </c>
      <c r="M263" s="705">
        <v>2508</v>
      </c>
      <c r="N263" s="9"/>
      <c r="O263" s="966"/>
      <c r="P263" s="39"/>
      <c r="Q263" s="6"/>
      <c r="R263" s="6"/>
      <c r="S263" s="6"/>
      <c r="T263" s="45"/>
      <c r="U263" s="5"/>
      <c r="V263" s="59"/>
      <c r="W263" s="59"/>
      <c r="X263" s="59"/>
    </row>
    <row r="264" spans="1:24" s="2" customFormat="1" ht="18" customHeight="1">
      <c r="A264" s="64"/>
      <c r="B264" s="22"/>
      <c r="C264" s="22"/>
      <c r="D264" s="22"/>
      <c r="E264" s="22"/>
      <c r="F264" s="22"/>
      <c r="G264" s="22"/>
      <c r="H264" s="760"/>
      <c r="I264" s="760"/>
      <c r="J264" s="474"/>
      <c r="K264" s="875" t="s">
        <v>1185</v>
      </c>
      <c r="L264" s="804" t="s">
        <v>6</v>
      </c>
      <c r="M264" s="874">
        <v>4290</v>
      </c>
      <c r="N264" s="9"/>
      <c r="O264" s="966"/>
      <c r="P264" s="39"/>
      <c r="Q264" s="6"/>
      <c r="R264" s="6"/>
      <c r="S264" s="6"/>
      <c r="T264" s="45"/>
      <c r="U264" s="5"/>
      <c r="V264" s="59"/>
      <c r="W264" s="59"/>
      <c r="X264" s="59"/>
    </row>
    <row r="265" spans="1:24" s="2" customFormat="1" ht="18" customHeight="1">
      <c r="A265" s="64"/>
      <c r="B265" s="22"/>
      <c r="C265" s="22"/>
      <c r="D265" s="22"/>
      <c r="E265" s="22"/>
      <c r="F265" s="22"/>
      <c r="G265" s="22"/>
      <c r="H265" s="760"/>
      <c r="I265" s="760"/>
      <c r="J265" s="474"/>
      <c r="K265" s="875" t="s">
        <v>656</v>
      </c>
      <c r="L265" s="804" t="s">
        <v>6</v>
      </c>
      <c r="M265" s="874">
        <v>3366</v>
      </c>
      <c r="N265" s="9"/>
      <c r="O265" s="966"/>
      <c r="P265" s="39"/>
      <c r="Q265" s="6"/>
      <c r="R265" s="6"/>
      <c r="S265" s="6"/>
      <c r="T265" s="45"/>
      <c r="U265" s="5"/>
      <c r="V265" s="59"/>
      <c r="W265" s="59"/>
      <c r="X265" s="59"/>
    </row>
    <row r="266" spans="1:24" s="2" customFormat="1" ht="18" customHeight="1">
      <c r="A266" s="64"/>
      <c r="B266" s="22"/>
      <c r="C266" s="22"/>
      <c r="D266" s="22"/>
      <c r="E266" s="22"/>
      <c r="F266" s="22"/>
      <c r="G266" s="22"/>
      <c r="H266" s="760"/>
      <c r="I266" s="760"/>
      <c r="J266" s="474"/>
      <c r="K266" s="877" t="s">
        <v>488</v>
      </c>
      <c r="L266" s="804" t="s">
        <v>6</v>
      </c>
      <c r="M266" s="874">
        <v>440</v>
      </c>
      <c r="N266" s="9"/>
      <c r="O266" s="966"/>
      <c r="P266" s="39"/>
      <c r="Q266" s="6"/>
      <c r="R266" s="6"/>
      <c r="S266" s="6"/>
      <c r="T266" s="45"/>
      <c r="U266" s="5"/>
      <c r="V266" s="59"/>
      <c r="W266" s="59"/>
      <c r="X266" s="59"/>
    </row>
    <row r="267" spans="1:24" s="2" customFormat="1" ht="18" customHeight="1">
      <c r="A267" s="64"/>
      <c r="B267" s="22"/>
      <c r="C267" s="22"/>
      <c r="D267" s="22"/>
      <c r="E267" s="22"/>
      <c r="F267" s="22"/>
      <c r="G267" s="22"/>
      <c r="H267" s="760"/>
      <c r="I267" s="760"/>
      <c r="J267" s="474"/>
      <c r="K267" s="698" t="s">
        <v>655</v>
      </c>
      <c r="L267" s="704" t="s">
        <v>292</v>
      </c>
      <c r="M267" s="708">
        <v>1650</v>
      </c>
      <c r="N267" s="9"/>
      <c r="O267" s="966"/>
      <c r="P267" s="39"/>
      <c r="Q267" s="6"/>
      <c r="R267" s="6"/>
      <c r="S267" s="6"/>
      <c r="T267" s="45"/>
      <c r="U267" s="5"/>
      <c r="V267" s="59"/>
      <c r="W267" s="59"/>
      <c r="X267" s="59"/>
    </row>
    <row r="268" spans="1:24" s="2" customFormat="1" ht="18" customHeight="1">
      <c r="A268" s="64"/>
      <c r="B268" s="22"/>
      <c r="C268" s="22"/>
      <c r="D268" s="22"/>
      <c r="E268" s="22"/>
      <c r="F268" s="22"/>
      <c r="G268" s="22"/>
      <c r="H268" s="760"/>
      <c r="I268" s="760"/>
      <c r="J268" s="474"/>
      <c r="K268" s="877" t="s">
        <v>1180</v>
      </c>
      <c r="L268" s="807"/>
      <c r="M268" s="874">
        <f>SUM(M269:M269)</f>
        <v>10800</v>
      </c>
      <c r="N268" s="9"/>
      <c r="O268" s="966"/>
      <c r="P268" s="39"/>
      <c r="Q268" s="6"/>
      <c r="R268" s="6"/>
      <c r="S268" s="6"/>
      <c r="T268" s="45"/>
      <c r="U268" s="5"/>
      <c r="V268" s="59"/>
      <c r="W268" s="59"/>
      <c r="X268" s="59"/>
    </row>
    <row r="269" spans="1:24" s="2" customFormat="1" ht="18" customHeight="1">
      <c r="A269" s="64"/>
      <c r="B269" s="22"/>
      <c r="C269" s="22"/>
      <c r="D269" s="22"/>
      <c r="E269" s="22"/>
      <c r="F269" s="22"/>
      <c r="G269" s="22"/>
      <c r="H269" s="760"/>
      <c r="I269" s="760"/>
      <c r="J269" s="474"/>
      <c r="K269" s="875" t="s">
        <v>654</v>
      </c>
      <c r="L269" s="807" t="s">
        <v>6</v>
      </c>
      <c r="M269" s="876">
        <v>10800</v>
      </c>
      <c r="N269" s="9"/>
      <c r="O269" s="966"/>
      <c r="P269" s="39"/>
      <c r="Q269" s="6"/>
      <c r="R269" s="6"/>
      <c r="S269" s="6"/>
      <c r="T269" s="45"/>
      <c r="U269" s="5"/>
      <c r="V269" s="59"/>
      <c r="W269" s="59"/>
      <c r="X269" s="59"/>
    </row>
    <row r="270" spans="1:24" s="2" customFormat="1" ht="18" customHeight="1">
      <c r="A270" s="64"/>
      <c r="B270" s="22"/>
      <c r="C270" s="22"/>
      <c r="D270" s="22"/>
      <c r="E270" s="22"/>
      <c r="F270" s="22"/>
      <c r="G270" s="22"/>
      <c r="H270" s="760"/>
      <c r="I270" s="760"/>
      <c r="J270" s="474"/>
      <c r="K270" s="698" t="s">
        <v>1186</v>
      </c>
      <c r="L270" s="704" t="s">
        <v>6</v>
      </c>
      <c r="M270" s="708">
        <v>7425</v>
      </c>
      <c r="N270" s="87"/>
      <c r="O270" s="966"/>
      <c r="P270" s="39">
        <v>5000000</v>
      </c>
      <c r="Q270" s="6">
        <v>1</v>
      </c>
      <c r="R270" s="6">
        <v>1</v>
      </c>
      <c r="S270" s="6"/>
      <c r="T270" s="14">
        <f>P270*Q270*R270</f>
        <v>5000000</v>
      </c>
      <c r="U270" s="5"/>
    </row>
    <row r="271" spans="1:24" s="2" customFormat="1" ht="18" customHeight="1">
      <c r="A271" s="64"/>
      <c r="B271" s="22"/>
      <c r="C271" s="22"/>
      <c r="D271" s="22"/>
      <c r="E271" s="22"/>
      <c r="F271" s="22"/>
      <c r="G271" s="22"/>
      <c r="H271" s="760"/>
      <c r="I271" s="760"/>
      <c r="J271" s="474"/>
      <c r="K271" s="698" t="s">
        <v>1183</v>
      </c>
      <c r="L271" s="704" t="s">
        <v>6</v>
      </c>
      <c r="M271" s="708">
        <f>M272+M273</f>
        <v>580</v>
      </c>
      <c r="N271" s="87"/>
      <c r="O271" s="966"/>
      <c r="P271" s="39"/>
      <c r="Q271" s="6"/>
      <c r="R271" s="6"/>
      <c r="S271" s="6"/>
      <c r="T271" s="14"/>
      <c r="U271" s="5"/>
    </row>
    <row r="272" spans="1:24" s="2" customFormat="1" ht="18" customHeight="1">
      <c r="A272" s="64"/>
      <c r="B272" s="22"/>
      <c r="C272" s="22"/>
      <c r="D272" s="22"/>
      <c r="E272" s="22"/>
      <c r="F272" s="22"/>
      <c r="G272" s="22"/>
      <c r="H272" s="760"/>
      <c r="I272" s="760"/>
      <c r="J272" s="474"/>
      <c r="K272" s="698" t="s">
        <v>1181</v>
      </c>
      <c r="L272" s="704" t="s">
        <v>1179</v>
      </c>
      <c r="M272" s="708">
        <v>180</v>
      </c>
      <c r="N272" s="87"/>
      <c r="O272" s="966"/>
      <c r="P272" s="39"/>
      <c r="Q272" s="6"/>
      <c r="R272" s="6"/>
      <c r="S272" s="6"/>
      <c r="T272" s="14"/>
      <c r="U272" s="5"/>
    </row>
    <row r="273" spans="1:16147" s="2" customFormat="1" ht="18" customHeight="1">
      <c r="A273" s="64"/>
      <c r="B273" s="22"/>
      <c r="C273" s="22"/>
      <c r="D273" s="22"/>
      <c r="E273" s="22"/>
      <c r="F273" s="22"/>
      <c r="G273" s="22"/>
      <c r="H273" s="760"/>
      <c r="I273" s="760"/>
      <c r="J273" s="474"/>
      <c r="K273" s="698" t="s">
        <v>1182</v>
      </c>
      <c r="L273" s="704" t="s">
        <v>1179</v>
      </c>
      <c r="M273" s="708">
        <v>400</v>
      </c>
      <c r="N273" s="87"/>
      <c r="O273" s="966"/>
      <c r="P273" s="39"/>
      <c r="Q273" s="6"/>
      <c r="R273" s="6"/>
      <c r="S273" s="6"/>
      <c r="T273" s="14"/>
      <c r="U273" s="5"/>
    </row>
    <row r="274" spans="1:16147" s="2" customFormat="1" ht="18" customHeight="1">
      <c r="A274" s="64"/>
      <c r="B274" s="22"/>
      <c r="C274" s="22"/>
      <c r="D274" s="22"/>
      <c r="E274" s="22"/>
      <c r="F274" s="2937" t="s">
        <v>24</v>
      </c>
      <c r="G274" s="2937"/>
      <c r="H274" s="755">
        <f>H278+H275</f>
        <v>41900</v>
      </c>
      <c r="I274" s="755">
        <v>107000</v>
      </c>
      <c r="J274" s="50">
        <f>H274-I274</f>
        <v>-65100</v>
      </c>
      <c r="K274" s="696"/>
      <c r="L274" s="729"/>
      <c r="M274" s="694">
        <f>M275+M278</f>
        <v>41900</v>
      </c>
      <c r="N274" s="84"/>
      <c r="O274" s="4"/>
      <c r="P274" s="39"/>
      <c r="Q274" s="6"/>
      <c r="R274" s="6"/>
      <c r="S274" s="6"/>
      <c r="T274" s="14"/>
      <c r="U274" s="5"/>
    </row>
    <row r="275" spans="1:16147" s="2" customFormat="1" ht="18" customHeight="1">
      <c r="A275" s="64"/>
      <c r="B275" s="22"/>
      <c r="C275" s="22"/>
      <c r="D275" s="22"/>
      <c r="E275" s="22"/>
      <c r="F275" s="1623"/>
      <c r="G275" s="25" t="s">
        <v>48</v>
      </c>
      <c r="H275" s="757">
        <f>M275</f>
        <v>29200</v>
      </c>
      <c r="I275" s="757">
        <v>5500</v>
      </c>
      <c r="J275" s="26">
        <f>H275-I275</f>
        <v>23700</v>
      </c>
      <c r="K275" s="715" t="s">
        <v>646</v>
      </c>
      <c r="L275" s="717"/>
      <c r="M275" s="691">
        <f>SUM(M276:M277)</f>
        <v>29200</v>
      </c>
      <c r="N275" s="84"/>
      <c r="O275" s="4"/>
      <c r="P275" s="39"/>
      <c r="Q275" s="6"/>
      <c r="R275" s="6"/>
      <c r="S275" s="6"/>
      <c r="T275" s="14"/>
      <c r="U275" s="5"/>
    </row>
    <row r="276" spans="1:16147" s="2" customFormat="1" ht="18" customHeight="1">
      <c r="A276" s="64"/>
      <c r="B276" s="22"/>
      <c r="C276" s="22"/>
      <c r="D276" s="22"/>
      <c r="E276" s="22"/>
      <c r="F276" s="2671"/>
      <c r="G276" s="22"/>
      <c r="H276" s="756"/>
      <c r="I276" s="756"/>
      <c r="J276" s="21"/>
      <c r="K276" s="806" t="s">
        <v>2357</v>
      </c>
      <c r="L276" s="704" t="s">
        <v>2358</v>
      </c>
      <c r="M276" s="475">
        <v>16500</v>
      </c>
      <c r="N276" s="84"/>
      <c r="O276" s="4"/>
      <c r="P276" s="39"/>
      <c r="Q276" s="6"/>
      <c r="R276" s="6"/>
      <c r="S276" s="6"/>
      <c r="T276" s="14"/>
      <c r="U276" s="5"/>
    </row>
    <row r="277" spans="1:16147" s="2" customFormat="1" ht="18" customHeight="1">
      <c r="A277" s="64"/>
      <c r="B277" s="22"/>
      <c r="C277" s="22"/>
      <c r="D277" s="22"/>
      <c r="E277" s="22"/>
      <c r="F277" s="1765"/>
      <c r="G277" s="22"/>
      <c r="H277" s="756"/>
      <c r="I277" s="756"/>
      <c r="J277" s="21"/>
      <c r="K277" s="806" t="s">
        <v>1187</v>
      </c>
      <c r="L277" s="807" t="s">
        <v>6</v>
      </c>
      <c r="M277" s="788">
        <v>12700</v>
      </c>
      <c r="N277" s="4"/>
      <c r="O277" s="4"/>
      <c r="P277" s="39"/>
      <c r="Q277" s="6"/>
      <c r="R277" s="6"/>
      <c r="S277" s="6"/>
      <c r="T277" s="45"/>
      <c r="U277" s="5"/>
      <c r="V277" s="59"/>
      <c r="W277" s="59"/>
      <c r="X277" s="59"/>
    </row>
    <row r="278" spans="1:16147" s="2" customFormat="1" ht="18" customHeight="1">
      <c r="A278" s="64"/>
      <c r="B278" s="22"/>
      <c r="C278" s="22"/>
      <c r="D278" s="22"/>
      <c r="E278" s="22"/>
      <c r="F278" s="1623"/>
      <c r="G278" s="25" t="s">
        <v>42</v>
      </c>
      <c r="H278" s="757">
        <f>M278</f>
        <v>12700</v>
      </c>
      <c r="I278" s="757">
        <v>101500</v>
      </c>
      <c r="J278" s="26">
        <f>H278-I278</f>
        <v>-88800</v>
      </c>
      <c r="K278" s="715" t="s">
        <v>96</v>
      </c>
      <c r="L278" s="967"/>
      <c r="M278" s="691">
        <f>SUM(M279:M280)</f>
        <v>12700</v>
      </c>
      <c r="N278" s="84"/>
      <c r="O278" s="4"/>
      <c r="P278" s="39"/>
      <c r="Q278" s="6"/>
      <c r="R278" s="6"/>
      <c r="S278" s="6"/>
      <c r="T278" s="14"/>
      <c r="U278" s="5"/>
    </row>
    <row r="279" spans="1:16147" s="2" customFormat="1" ht="18" customHeight="1">
      <c r="A279" s="64"/>
      <c r="B279" s="22"/>
      <c r="C279" s="22"/>
      <c r="D279" s="22"/>
      <c r="E279" s="22"/>
      <c r="F279" s="1623"/>
      <c r="G279" s="22"/>
      <c r="H279" s="756"/>
      <c r="I279" s="756"/>
      <c r="J279" s="21"/>
      <c r="K279" s="806" t="s">
        <v>1188</v>
      </c>
      <c r="L279" s="890" t="s">
        <v>6</v>
      </c>
      <c r="M279" s="788">
        <v>1700</v>
      </c>
      <c r="N279" s="4"/>
      <c r="O279" s="4"/>
      <c r="P279" s="39"/>
      <c r="Q279" s="6"/>
      <c r="R279" s="6"/>
      <c r="S279" s="6"/>
      <c r="T279" s="45"/>
      <c r="U279" s="5"/>
      <c r="V279" s="59"/>
      <c r="W279" s="59"/>
      <c r="X279" s="59"/>
    </row>
    <row r="280" spans="1:16147" s="2" customFormat="1" ht="18" customHeight="1">
      <c r="A280" s="64"/>
      <c r="B280" s="22"/>
      <c r="C280" s="22"/>
      <c r="D280" s="22"/>
      <c r="E280" s="22"/>
      <c r="F280" s="1623"/>
      <c r="G280" s="22"/>
      <c r="H280" s="756"/>
      <c r="I280" s="756"/>
      <c r="J280" s="21"/>
      <c r="K280" s="806" t="s">
        <v>1189</v>
      </c>
      <c r="L280" s="890" t="s">
        <v>6</v>
      </c>
      <c r="M280" s="788">
        <v>11000</v>
      </c>
      <c r="N280" s="4"/>
      <c r="O280" s="4"/>
      <c r="P280" s="39"/>
      <c r="Q280" s="6"/>
      <c r="R280" s="6"/>
      <c r="S280" s="6"/>
      <c r="T280" s="45"/>
      <c r="U280" s="5"/>
      <c r="V280" s="59"/>
      <c r="W280" s="59"/>
      <c r="X280" s="59"/>
    </row>
    <row r="281" spans="1:16147" s="2" customFormat="1" ht="18" customHeight="1">
      <c r="A281" s="891"/>
      <c r="B281" s="892"/>
      <c r="C281" s="893"/>
      <c r="D281" s="893"/>
      <c r="E281" s="56" t="s">
        <v>883</v>
      </c>
      <c r="F281" s="56"/>
      <c r="G281" s="1115"/>
      <c r="H281" s="755">
        <f>H282+H292</f>
        <v>10040</v>
      </c>
      <c r="I281" s="755">
        <v>8150</v>
      </c>
      <c r="J281" s="50">
        <f>H281-I281</f>
        <v>1890</v>
      </c>
      <c r="K281" s="1116"/>
      <c r="L281" s="1117"/>
      <c r="M281" s="1118"/>
      <c r="N281" s="4"/>
      <c r="O281" s="4"/>
      <c r="P281" s="39"/>
      <c r="Q281" s="46"/>
      <c r="R281" s="895"/>
      <c r="S281" s="895"/>
      <c r="T281" s="896"/>
      <c r="U281" s="47"/>
      <c r="V281" s="884"/>
      <c r="W281" s="884"/>
      <c r="X281" s="884"/>
      <c r="Y281" s="885"/>
      <c r="Z281" s="885"/>
      <c r="AA281" s="885"/>
      <c r="AB281" s="885"/>
      <c r="AC281" s="885"/>
      <c r="AD281" s="885"/>
      <c r="AE281" s="885"/>
      <c r="AF281" s="885"/>
      <c r="AG281" s="885"/>
      <c r="AH281" s="885"/>
      <c r="AI281" s="885"/>
      <c r="AJ281" s="885"/>
      <c r="AK281" s="885"/>
      <c r="AL281" s="885"/>
      <c r="AM281" s="885"/>
      <c r="AN281" s="885"/>
      <c r="AO281" s="885"/>
      <c r="AP281" s="885"/>
      <c r="AQ281" s="885"/>
      <c r="AR281" s="885"/>
      <c r="AS281" s="885"/>
      <c r="AT281" s="885"/>
      <c r="AU281" s="885"/>
      <c r="AV281" s="885"/>
      <c r="AW281" s="885"/>
      <c r="AX281" s="885"/>
      <c r="AY281" s="885"/>
      <c r="AZ281" s="885"/>
      <c r="BA281" s="885"/>
      <c r="BB281" s="885"/>
      <c r="BC281" s="885"/>
      <c r="BD281" s="885"/>
      <c r="BE281" s="885"/>
      <c r="BF281" s="885"/>
      <c r="BG281" s="885"/>
      <c r="BH281" s="885"/>
      <c r="BI281" s="885"/>
      <c r="BJ281" s="885"/>
      <c r="BK281" s="885"/>
      <c r="BL281" s="885"/>
      <c r="BM281" s="885"/>
      <c r="BN281" s="885"/>
      <c r="BO281" s="885"/>
      <c r="BP281" s="885"/>
      <c r="BQ281" s="885"/>
      <c r="BR281" s="885"/>
      <c r="BS281" s="885"/>
      <c r="BT281" s="885"/>
      <c r="BU281" s="885"/>
      <c r="BV281" s="885"/>
      <c r="BW281" s="885"/>
      <c r="BX281" s="885"/>
      <c r="BY281" s="885"/>
      <c r="BZ281" s="885"/>
      <c r="CA281" s="885"/>
      <c r="CB281" s="885"/>
      <c r="CC281" s="885"/>
      <c r="CD281" s="885"/>
      <c r="CE281" s="885"/>
      <c r="CF281" s="885"/>
      <c r="CG281" s="885"/>
      <c r="CH281" s="885"/>
      <c r="CI281" s="885"/>
      <c r="CJ281" s="885"/>
      <c r="CK281" s="885"/>
      <c r="CL281" s="885"/>
      <c r="CM281" s="885"/>
      <c r="CN281" s="885"/>
      <c r="CO281" s="885"/>
      <c r="CP281" s="885"/>
      <c r="CQ281" s="885"/>
      <c r="CR281" s="885"/>
      <c r="CS281" s="885"/>
      <c r="CT281" s="885"/>
      <c r="CU281" s="885"/>
      <c r="CV281" s="885"/>
      <c r="CW281" s="885"/>
      <c r="CX281" s="885"/>
      <c r="CY281" s="885"/>
      <c r="CZ281" s="885"/>
      <c r="DA281" s="885"/>
      <c r="DB281" s="885"/>
      <c r="DC281" s="885"/>
      <c r="DD281" s="885"/>
      <c r="DE281" s="885"/>
      <c r="DF281" s="885"/>
      <c r="DG281" s="885"/>
      <c r="DH281" s="885"/>
      <c r="DI281" s="885"/>
      <c r="DJ281" s="885"/>
      <c r="DK281" s="885"/>
      <c r="DL281" s="885"/>
      <c r="DM281" s="885"/>
      <c r="DN281" s="885"/>
      <c r="DO281" s="885"/>
      <c r="DP281" s="885"/>
      <c r="DQ281" s="885"/>
      <c r="DR281" s="885"/>
      <c r="DS281" s="885"/>
      <c r="DT281" s="885"/>
      <c r="DU281" s="885"/>
      <c r="DV281" s="885"/>
      <c r="DW281" s="885"/>
      <c r="DX281" s="885"/>
      <c r="DY281" s="885"/>
      <c r="DZ281" s="885"/>
      <c r="EA281" s="885"/>
      <c r="EB281" s="885"/>
      <c r="EC281" s="885"/>
      <c r="ED281" s="885"/>
      <c r="EE281" s="885"/>
      <c r="EF281" s="885"/>
      <c r="EG281" s="885"/>
      <c r="EH281" s="885"/>
      <c r="EI281" s="885"/>
      <c r="EJ281" s="885"/>
      <c r="EK281" s="885"/>
      <c r="EL281" s="885"/>
      <c r="EM281" s="885"/>
      <c r="EN281" s="885"/>
      <c r="EO281" s="885"/>
      <c r="EP281" s="885"/>
      <c r="EQ281" s="885"/>
      <c r="ER281" s="885"/>
      <c r="ES281" s="885"/>
      <c r="ET281" s="885"/>
      <c r="EU281" s="885"/>
      <c r="EV281" s="885"/>
      <c r="EW281" s="885"/>
      <c r="EX281" s="885"/>
      <c r="EY281" s="885"/>
      <c r="EZ281" s="885"/>
      <c r="FA281" s="885"/>
      <c r="FB281" s="885"/>
      <c r="FC281" s="885"/>
      <c r="FD281" s="885"/>
      <c r="FE281" s="885"/>
      <c r="FF281" s="885"/>
      <c r="FG281" s="885"/>
      <c r="FH281" s="885"/>
      <c r="FI281" s="885"/>
      <c r="FJ281" s="885"/>
      <c r="FK281" s="885"/>
      <c r="FL281" s="885"/>
      <c r="FM281" s="885"/>
      <c r="FN281" s="885"/>
      <c r="FO281" s="885"/>
      <c r="FP281" s="885"/>
      <c r="FQ281" s="885"/>
      <c r="FR281" s="885"/>
      <c r="FS281" s="885"/>
      <c r="FT281" s="885"/>
      <c r="FU281" s="885"/>
      <c r="FV281" s="885"/>
      <c r="FW281" s="885"/>
      <c r="FX281" s="885"/>
      <c r="FY281" s="885"/>
      <c r="FZ281" s="885"/>
      <c r="GA281" s="885"/>
      <c r="GB281" s="885"/>
      <c r="GC281" s="885"/>
      <c r="GD281" s="885"/>
      <c r="GE281" s="885"/>
      <c r="GF281" s="885"/>
      <c r="GG281" s="885"/>
      <c r="GH281" s="885"/>
      <c r="GI281" s="885"/>
      <c r="GJ281" s="885"/>
      <c r="GK281" s="885"/>
      <c r="GL281" s="885"/>
      <c r="GM281" s="885"/>
      <c r="GN281" s="885"/>
      <c r="GO281" s="885"/>
      <c r="GP281" s="885"/>
      <c r="GQ281" s="885"/>
      <c r="GR281" s="885"/>
      <c r="GS281" s="885"/>
      <c r="GT281" s="885"/>
      <c r="GU281" s="885"/>
      <c r="GV281" s="885"/>
      <c r="GW281" s="885"/>
      <c r="GX281" s="885"/>
      <c r="GY281" s="885"/>
      <c r="GZ281" s="885"/>
      <c r="HA281" s="885"/>
      <c r="HB281" s="885"/>
      <c r="HC281" s="885"/>
      <c r="HD281" s="885"/>
      <c r="HE281" s="885"/>
      <c r="HF281" s="885"/>
      <c r="HG281" s="885"/>
      <c r="HH281" s="885"/>
      <c r="HI281" s="885"/>
      <c r="HJ281" s="885"/>
      <c r="HK281" s="885"/>
      <c r="HL281" s="885"/>
      <c r="HM281" s="885"/>
      <c r="HN281" s="885"/>
      <c r="HO281" s="885"/>
      <c r="HP281" s="885"/>
      <c r="HQ281" s="885"/>
      <c r="HR281" s="885"/>
      <c r="HS281" s="885"/>
      <c r="HT281" s="885"/>
      <c r="HU281" s="885"/>
      <c r="HV281" s="885"/>
      <c r="HW281" s="885"/>
      <c r="HX281" s="885"/>
      <c r="HY281" s="885"/>
      <c r="HZ281" s="885"/>
      <c r="IA281" s="885"/>
      <c r="IB281" s="885"/>
      <c r="IC281" s="885"/>
      <c r="ID281" s="885"/>
      <c r="IE281" s="885"/>
      <c r="IF281" s="885"/>
      <c r="IG281" s="885"/>
      <c r="IH281" s="885"/>
      <c r="II281" s="885"/>
      <c r="IJ281" s="885"/>
      <c r="IK281" s="885"/>
      <c r="IL281" s="885"/>
      <c r="IM281" s="885"/>
      <c r="IN281" s="885"/>
      <c r="IO281" s="885"/>
      <c r="IP281" s="885"/>
      <c r="IQ281" s="885"/>
      <c r="IR281" s="885"/>
      <c r="IS281" s="885"/>
      <c r="IT281" s="885"/>
      <c r="IU281" s="885"/>
      <c r="IV281" s="885"/>
      <c r="IW281" s="885"/>
      <c r="IX281" s="885"/>
      <c r="IY281" s="885"/>
      <c r="IZ281" s="885"/>
      <c r="JA281" s="885"/>
      <c r="JB281" s="885"/>
      <c r="JC281" s="885"/>
      <c r="JD281" s="885"/>
      <c r="JE281" s="885"/>
      <c r="JF281" s="885"/>
      <c r="JG281" s="885"/>
      <c r="JH281" s="885"/>
      <c r="JI281" s="885"/>
      <c r="JJ281" s="885"/>
      <c r="JK281" s="885"/>
      <c r="JL281" s="885"/>
      <c r="JM281" s="885"/>
      <c r="JN281" s="885"/>
      <c r="JO281" s="885"/>
      <c r="JP281" s="885"/>
      <c r="JQ281" s="885"/>
      <c r="JR281" s="885"/>
      <c r="JS281" s="885"/>
      <c r="JT281" s="885"/>
      <c r="JU281" s="885"/>
      <c r="JV281" s="885"/>
      <c r="JW281" s="885"/>
      <c r="JX281" s="885"/>
      <c r="JY281" s="885"/>
      <c r="JZ281" s="885"/>
      <c r="KA281" s="885"/>
      <c r="KB281" s="885"/>
      <c r="KC281" s="885"/>
      <c r="KD281" s="885"/>
      <c r="KE281" s="885"/>
      <c r="KF281" s="885"/>
      <c r="KG281" s="885"/>
      <c r="KH281" s="885"/>
      <c r="KI281" s="885"/>
      <c r="KJ281" s="885"/>
      <c r="KK281" s="885"/>
      <c r="KL281" s="885"/>
      <c r="KM281" s="885"/>
      <c r="KN281" s="885"/>
      <c r="KO281" s="885"/>
      <c r="KP281" s="885"/>
      <c r="KQ281" s="885"/>
      <c r="KR281" s="885"/>
      <c r="KS281" s="885"/>
      <c r="KT281" s="885"/>
      <c r="KU281" s="885"/>
      <c r="KV281" s="885"/>
      <c r="KW281" s="885"/>
      <c r="KX281" s="885"/>
      <c r="KY281" s="885"/>
      <c r="KZ281" s="885"/>
      <c r="LA281" s="885"/>
      <c r="LB281" s="885"/>
      <c r="LC281" s="885"/>
      <c r="LD281" s="885"/>
      <c r="LE281" s="885"/>
      <c r="LF281" s="885"/>
      <c r="LG281" s="885"/>
      <c r="LH281" s="885"/>
      <c r="LI281" s="885"/>
      <c r="LJ281" s="885"/>
      <c r="LK281" s="885"/>
      <c r="LL281" s="885"/>
      <c r="LM281" s="885"/>
      <c r="LN281" s="885"/>
      <c r="LO281" s="885"/>
      <c r="LP281" s="885"/>
      <c r="LQ281" s="885"/>
      <c r="LR281" s="885"/>
      <c r="LS281" s="885"/>
      <c r="LT281" s="885"/>
      <c r="LU281" s="885"/>
      <c r="LV281" s="885"/>
      <c r="LW281" s="885"/>
      <c r="LX281" s="885"/>
      <c r="LY281" s="885"/>
      <c r="LZ281" s="885"/>
      <c r="MA281" s="885"/>
      <c r="MB281" s="885"/>
      <c r="MC281" s="885"/>
      <c r="MD281" s="885"/>
      <c r="ME281" s="885"/>
      <c r="MF281" s="885"/>
      <c r="MG281" s="885"/>
      <c r="MH281" s="885"/>
      <c r="MI281" s="885"/>
      <c r="MJ281" s="885"/>
      <c r="MK281" s="885"/>
      <c r="ML281" s="885"/>
      <c r="MM281" s="885"/>
      <c r="MN281" s="885"/>
      <c r="MO281" s="885"/>
      <c r="MP281" s="885"/>
      <c r="MQ281" s="885"/>
      <c r="MR281" s="885"/>
      <c r="MS281" s="885"/>
      <c r="MT281" s="885"/>
      <c r="MU281" s="885"/>
      <c r="MV281" s="885"/>
      <c r="MW281" s="885"/>
      <c r="MX281" s="885"/>
      <c r="MY281" s="885"/>
      <c r="MZ281" s="885"/>
      <c r="NA281" s="885"/>
      <c r="NB281" s="885"/>
      <c r="NC281" s="885"/>
      <c r="ND281" s="885"/>
      <c r="NE281" s="885"/>
      <c r="NF281" s="885"/>
      <c r="NG281" s="885"/>
      <c r="NH281" s="885"/>
      <c r="NI281" s="885"/>
      <c r="NJ281" s="885"/>
      <c r="NK281" s="885"/>
      <c r="NL281" s="885"/>
      <c r="NM281" s="885"/>
      <c r="NN281" s="885"/>
      <c r="NO281" s="885"/>
      <c r="NP281" s="885"/>
      <c r="NQ281" s="885"/>
      <c r="NR281" s="885"/>
      <c r="NS281" s="885"/>
      <c r="NT281" s="885"/>
      <c r="NU281" s="885"/>
      <c r="NV281" s="885"/>
      <c r="NW281" s="885"/>
      <c r="NX281" s="885"/>
      <c r="NY281" s="885"/>
      <c r="NZ281" s="885"/>
      <c r="OA281" s="885"/>
      <c r="OB281" s="885"/>
      <c r="OC281" s="885"/>
      <c r="OD281" s="885"/>
      <c r="OE281" s="885"/>
      <c r="OF281" s="885"/>
      <c r="OG281" s="885"/>
      <c r="OH281" s="885"/>
      <c r="OI281" s="885"/>
      <c r="OJ281" s="885"/>
      <c r="OK281" s="885"/>
      <c r="OL281" s="885"/>
      <c r="OM281" s="885"/>
      <c r="ON281" s="885"/>
      <c r="OO281" s="885"/>
      <c r="OP281" s="885"/>
      <c r="OQ281" s="885"/>
      <c r="OR281" s="885"/>
      <c r="OS281" s="885"/>
      <c r="OT281" s="885"/>
      <c r="OU281" s="885"/>
      <c r="OV281" s="885"/>
      <c r="OW281" s="885"/>
      <c r="OX281" s="885"/>
      <c r="OY281" s="885"/>
      <c r="OZ281" s="885"/>
      <c r="PA281" s="885"/>
      <c r="PB281" s="885"/>
      <c r="PC281" s="885"/>
      <c r="PD281" s="885"/>
      <c r="PE281" s="885"/>
      <c r="PF281" s="885"/>
      <c r="PG281" s="885"/>
      <c r="PH281" s="885"/>
      <c r="PI281" s="885"/>
      <c r="PJ281" s="885"/>
      <c r="PK281" s="885"/>
      <c r="PL281" s="885"/>
      <c r="PM281" s="885"/>
      <c r="PN281" s="885"/>
      <c r="PO281" s="885"/>
      <c r="PP281" s="885"/>
      <c r="PQ281" s="885"/>
      <c r="PR281" s="885"/>
      <c r="PS281" s="885"/>
      <c r="PT281" s="885"/>
      <c r="PU281" s="885"/>
      <c r="PV281" s="885"/>
      <c r="PW281" s="885"/>
      <c r="PX281" s="885"/>
      <c r="PY281" s="885"/>
      <c r="PZ281" s="885"/>
      <c r="QA281" s="885"/>
      <c r="QB281" s="885"/>
      <c r="QC281" s="885"/>
      <c r="QD281" s="885"/>
      <c r="QE281" s="885"/>
      <c r="QF281" s="885"/>
      <c r="QG281" s="885"/>
      <c r="QH281" s="885"/>
      <c r="QI281" s="885"/>
      <c r="QJ281" s="885"/>
      <c r="QK281" s="885"/>
      <c r="QL281" s="885"/>
      <c r="QM281" s="885"/>
      <c r="QN281" s="885"/>
      <c r="QO281" s="885"/>
      <c r="QP281" s="885"/>
      <c r="QQ281" s="885"/>
      <c r="QR281" s="885"/>
      <c r="QS281" s="885"/>
      <c r="QT281" s="885"/>
      <c r="QU281" s="885"/>
      <c r="QV281" s="885"/>
      <c r="QW281" s="885"/>
      <c r="QX281" s="885"/>
      <c r="QY281" s="885"/>
      <c r="QZ281" s="885"/>
      <c r="RA281" s="885"/>
      <c r="RB281" s="885"/>
      <c r="RC281" s="885"/>
      <c r="RD281" s="885"/>
      <c r="RE281" s="885"/>
      <c r="RF281" s="885"/>
      <c r="RG281" s="885"/>
      <c r="RH281" s="885"/>
      <c r="RI281" s="885"/>
      <c r="RJ281" s="885"/>
      <c r="RK281" s="885"/>
      <c r="RL281" s="885"/>
      <c r="RM281" s="885"/>
      <c r="RN281" s="885"/>
      <c r="RO281" s="885"/>
      <c r="RP281" s="885"/>
      <c r="RQ281" s="885"/>
      <c r="RR281" s="885"/>
      <c r="RS281" s="885"/>
      <c r="RT281" s="885"/>
      <c r="RU281" s="885"/>
      <c r="RV281" s="885"/>
      <c r="RW281" s="885"/>
      <c r="RX281" s="885"/>
      <c r="RY281" s="885"/>
      <c r="RZ281" s="885"/>
      <c r="SA281" s="885"/>
      <c r="SB281" s="885"/>
      <c r="SC281" s="885"/>
      <c r="SD281" s="885"/>
      <c r="SE281" s="885"/>
      <c r="SF281" s="885"/>
      <c r="SG281" s="885"/>
      <c r="SH281" s="885"/>
      <c r="SI281" s="885"/>
      <c r="SJ281" s="885"/>
      <c r="SK281" s="885"/>
      <c r="SL281" s="885"/>
      <c r="SM281" s="885"/>
      <c r="SN281" s="885"/>
      <c r="SO281" s="885"/>
      <c r="SP281" s="885"/>
      <c r="SQ281" s="885"/>
      <c r="SR281" s="885"/>
      <c r="SS281" s="885"/>
      <c r="ST281" s="885"/>
      <c r="SU281" s="885"/>
      <c r="SV281" s="885"/>
      <c r="SW281" s="885"/>
      <c r="SX281" s="885"/>
      <c r="SY281" s="885"/>
      <c r="SZ281" s="885"/>
      <c r="TA281" s="885"/>
      <c r="TB281" s="885"/>
      <c r="TC281" s="885"/>
      <c r="TD281" s="885"/>
      <c r="TE281" s="885"/>
      <c r="TF281" s="885"/>
      <c r="TG281" s="885"/>
      <c r="TH281" s="885"/>
      <c r="TI281" s="885"/>
      <c r="TJ281" s="885"/>
      <c r="TK281" s="885"/>
      <c r="TL281" s="885"/>
      <c r="TM281" s="885"/>
      <c r="TN281" s="885"/>
      <c r="TO281" s="885"/>
      <c r="TP281" s="885"/>
      <c r="TQ281" s="885"/>
      <c r="TR281" s="885"/>
      <c r="TS281" s="885"/>
      <c r="TT281" s="885"/>
      <c r="TU281" s="885"/>
      <c r="TV281" s="885"/>
      <c r="TW281" s="885"/>
      <c r="TX281" s="885"/>
      <c r="TY281" s="885"/>
      <c r="TZ281" s="885"/>
      <c r="UA281" s="885"/>
      <c r="UB281" s="885"/>
      <c r="UC281" s="885"/>
      <c r="UD281" s="885"/>
      <c r="UE281" s="885"/>
      <c r="UF281" s="885"/>
      <c r="UG281" s="885"/>
      <c r="UH281" s="885"/>
      <c r="UI281" s="885"/>
      <c r="UJ281" s="885"/>
      <c r="UK281" s="885"/>
      <c r="UL281" s="885"/>
      <c r="UM281" s="885"/>
      <c r="UN281" s="885"/>
      <c r="UO281" s="885"/>
      <c r="UP281" s="885"/>
      <c r="UQ281" s="885"/>
      <c r="UR281" s="885"/>
      <c r="US281" s="885"/>
      <c r="UT281" s="885"/>
      <c r="UU281" s="885"/>
      <c r="UV281" s="885"/>
      <c r="UW281" s="885"/>
      <c r="UX281" s="885"/>
      <c r="UY281" s="885"/>
      <c r="UZ281" s="885"/>
      <c r="VA281" s="885"/>
      <c r="VB281" s="885"/>
      <c r="VC281" s="885"/>
      <c r="VD281" s="885"/>
      <c r="VE281" s="885"/>
      <c r="VF281" s="885"/>
      <c r="VG281" s="885"/>
      <c r="VH281" s="885"/>
      <c r="VI281" s="885"/>
      <c r="VJ281" s="885"/>
      <c r="VK281" s="885"/>
      <c r="VL281" s="885"/>
      <c r="VM281" s="885"/>
      <c r="VN281" s="885"/>
      <c r="VO281" s="885"/>
      <c r="VP281" s="885"/>
      <c r="VQ281" s="885"/>
      <c r="VR281" s="885"/>
      <c r="VS281" s="885"/>
      <c r="VT281" s="885"/>
      <c r="VU281" s="885"/>
      <c r="VV281" s="885"/>
      <c r="VW281" s="885"/>
      <c r="VX281" s="885"/>
      <c r="VY281" s="885"/>
      <c r="VZ281" s="885"/>
      <c r="WA281" s="885"/>
      <c r="WB281" s="885"/>
      <c r="WC281" s="885"/>
      <c r="WD281" s="885"/>
      <c r="WE281" s="885"/>
      <c r="WF281" s="885"/>
      <c r="WG281" s="885"/>
      <c r="WH281" s="885"/>
      <c r="WI281" s="885"/>
      <c r="WJ281" s="885"/>
      <c r="WK281" s="885"/>
      <c r="WL281" s="885"/>
      <c r="WM281" s="885"/>
      <c r="WN281" s="885"/>
      <c r="WO281" s="885"/>
      <c r="WP281" s="885"/>
      <c r="WQ281" s="885"/>
      <c r="WR281" s="885"/>
      <c r="WS281" s="885"/>
      <c r="WT281" s="885"/>
      <c r="WU281" s="885"/>
      <c r="WV281" s="885"/>
      <c r="WW281" s="885"/>
      <c r="WX281" s="885"/>
      <c r="WY281" s="885"/>
      <c r="WZ281" s="885"/>
      <c r="XA281" s="885"/>
      <c r="XB281" s="885"/>
      <c r="XC281" s="885"/>
      <c r="XD281" s="885"/>
      <c r="XE281" s="885"/>
      <c r="XF281" s="885"/>
      <c r="XG281" s="885"/>
      <c r="XH281" s="885"/>
      <c r="XI281" s="885"/>
      <c r="XJ281" s="885"/>
      <c r="XK281" s="885"/>
      <c r="XL281" s="885"/>
      <c r="XM281" s="885"/>
      <c r="XN281" s="885"/>
      <c r="XO281" s="885"/>
      <c r="XP281" s="885"/>
      <c r="XQ281" s="885"/>
      <c r="XR281" s="885"/>
      <c r="XS281" s="885"/>
      <c r="XT281" s="885"/>
      <c r="XU281" s="885"/>
      <c r="XV281" s="885"/>
      <c r="XW281" s="885"/>
      <c r="XX281" s="885"/>
      <c r="XY281" s="885"/>
      <c r="XZ281" s="885"/>
      <c r="YA281" s="885"/>
      <c r="YB281" s="885"/>
      <c r="YC281" s="885"/>
      <c r="YD281" s="885"/>
      <c r="YE281" s="885"/>
      <c r="YF281" s="885"/>
      <c r="YG281" s="885"/>
      <c r="YH281" s="885"/>
      <c r="YI281" s="885"/>
      <c r="YJ281" s="885"/>
      <c r="YK281" s="885"/>
      <c r="YL281" s="885"/>
      <c r="YM281" s="885"/>
      <c r="YN281" s="885"/>
      <c r="YO281" s="885"/>
      <c r="YP281" s="885"/>
      <c r="YQ281" s="885"/>
      <c r="YR281" s="885"/>
      <c r="YS281" s="885"/>
      <c r="YT281" s="885"/>
      <c r="YU281" s="885"/>
      <c r="YV281" s="885"/>
      <c r="YW281" s="885"/>
      <c r="YX281" s="885"/>
      <c r="YY281" s="885"/>
      <c r="YZ281" s="885"/>
      <c r="ZA281" s="885"/>
      <c r="ZB281" s="885"/>
      <c r="ZC281" s="885"/>
      <c r="ZD281" s="885"/>
      <c r="ZE281" s="885"/>
      <c r="ZF281" s="885"/>
      <c r="ZG281" s="885"/>
      <c r="ZH281" s="885"/>
      <c r="ZI281" s="885"/>
      <c r="ZJ281" s="885"/>
      <c r="ZK281" s="885"/>
      <c r="ZL281" s="885"/>
      <c r="ZM281" s="885"/>
      <c r="ZN281" s="885"/>
      <c r="ZO281" s="885"/>
      <c r="ZP281" s="885"/>
      <c r="ZQ281" s="885"/>
      <c r="ZR281" s="885"/>
      <c r="ZS281" s="885"/>
      <c r="ZT281" s="885"/>
      <c r="ZU281" s="885"/>
      <c r="ZV281" s="885"/>
      <c r="ZW281" s="885"/>
      <c r="ZX281" s="885"/>
      <c r="ZY281" s="885"/>
      <c r="ZZ281" s="885"/>
      <c r="AAA281" s="885"/>
      <c r="AAB281" s="885"/>
      <c r="AAC281" s="885"/>
      <c r="AAD281" s="885"/>
      <c r="AAE281" s="885"/>
      <c r="AAF281" s="885"/>
      <c r="AAG281" s="885"/>
      <c r="AAH281" s="885"/>
      <c r="AAI281" s="885"/>
      <c r="AAJ281" s="885"/>
      <c r="AAK281" s="885"/>
      <c r="AAL281" s="885"/>
      <c r="AAM281" s="885"/>
      <c r="AAN281" s="885"/>
      <c r="AAO281" s="885"/>
      <c r="AAP281" s="885"/>
      <c r="AAQ281" s="885"/>
      <c r="AAR281" s="885"/>
      <c r="AAS281" s="885"/>
      <c r="AAT281" s="885"/>
      <c r="AAU281" s="885"/>
      <c r="AAV281" s="885"/>
      <c r="AAW281" s="885"/>
      <c r="AAX281" s="885"/>
      <c r="AAY281" s="885"/>
      <c r="AAZ281" s="885"/>
      <c r="ABA281" s="885"/>
      <c r="ABB281" s="885"/>
      <c r="ABC281" s="885"/>
      <c r="ABD281" s="885"/>
      <c r="ABE281" s="885"/>
      <c r="ABF281" s="885"/>
      <c r="ABG281" s="885"/>
      <c r="ABH281" s="885"/>
      <c r="ABI281" s="885"/>
      <c r="ABJ281" s="885"/>
      <c r="ABK281" s="885"/>
      <c r="ABL281" s="885"/>
      <c r="ABM281" s="885"/>
      <c r="ABN281" s="885"/>
      <c r="ABO281" s="885"/>
      <c r="ABP281" s="885"/>
      <c r="ABQ281" s="885"/>
      <c r="ABR281" s="885"/>
      <c r="ABS281" s="885"/>
      <c r="ABT281" s="885"/>
      <c r="ABU281" s="885"/>
      <c r="ABV281" s="885"/>
      <c r="ABW281" s="885"/>
      <c r="ABX281" s="885"/>
      <c r="ABY281" s="885"/>
      <c r="ABZ281" s="885"/>
      <c r="ACA281" s="885"/>
      <c r="ACB281" s="885"/>
      <c r="ACC281" s="885"/>
      <c r="ACD281" s="885"/>
      <c r="ACE281" s="885"/>
      <c r="ACF281" s="885"/>
      <c r="ACG281" s="885"/>
      <c r="ACH281" s="885"/>
      <c r="ACI281" s="885"/>
      <c r="ACJ281" s="885"/>
      <c r="ACK281" s="885"/>
      <c r="ACL281" s="885"/>
      <c r="ACM281" s="885"/>
      <c r="ACN281" s="885"/>
      <c r="ACO281" s="885"/>
      <c r="ACP281" s="885"/>
      <c r="ACQ281" s="885"/>
      <c r="ACR281" s="885"/>
      <c r="ACS281" s="885"/>
      <c r="ACT281" s="885"/>
      <c r="ACU281" s="885"/>
      <c r="ACV281" s="885"/>
      <c r="ACW281" s="885"/>
      <c r="ACX281" s="885"/>
      <c r="ACY281" s="885"/>
      <c r="ACZ281" s="885"/>
      <c r="ADA281" s="885"/>
      <c r="ADB281" s="885"/>
      <c r="ADC281" s="885"/>
      <c r="ADD281" s="885"/>
      <c r="ADE281" s="885"/>
      <c r="ADF281" s="885"/>
      <c r="ADG281" s="885"/>
      <c r="ADH281" s="885"/>
      <c r="ADI281" s="885"/>
      <c r="ADJ281" s="885"/>
      <c r="ADK281" s="885"/>
      <c r="ADL281" s="885"/>
      <c r="ADM281" s="885"/>
      <c r="ADN281" s="885"/>
      <c r="ADO281" s="885"/>
      <c r="ADP281" s="885"/>
      <c r="ADQ281" s="885"/>
      <c r="ADR281" s="885"/>
      <c r="ADS281" s="885"/>
      <c r="ADT281" s="885"/>
      <c r="ADU281" s="885"/>
      <c r="ADV281" s="885"/>
      <c r="ADW281" s="885"/>
      <c r="ADX281" s="885"/>
      <c r="ADY281" s="885"/>
      <c r="ADZ281" s="885"/>
      <c r="AEA281" s="885"/>
      <c r="AEB281" s="885"/>
      <c r="AEC281" s="885"/>
      <c r="AED281" s="885"/>
      <c r="AEE281" s="885"/>
      <c r="AEF281" s="885"/>
      <c r="AEG281" s="885"/>
      <c r="AEH281" s="885"/>
      <c r="AEI281" s="885"/>
      <c r="AEJ281" s="885"/>
      <c r="AEK281" s="885"/>
      <c r="AEL281" s="885"/>
      <c r="AEM281" s="885"/>
      <c r="AEN281" s="885"/>
      <c r="AEO281" s="885"/>
      <c r="AEP281" s="885"/>
      <c r="AEQ281" s="885"/>
      <c r="AER281" s="885"/>
      <c r="AES281" s="885"/>
      <c r="AET281" s="885"/>
      <c r="AEU281" s="885"/>
      <c r="AEV281" s="885"/>
      <c r="AEW281" s="885"/>
      <c r="AEX281" s="885"/>
      <c r="AEY281" s="885"/>
      <c r="AEZ281" s="885"/>
      <c r="AFA281" s="885"/>
      <c r="AFB281" s="885"/>
      <c r="AFC281" s="885"/>
      <c r="AFD281" s="885"/>
      <c r="AFE281" s="885"/>
      <c r="AFF281" s="885"/>
      <c r="AFG281" s="885"/>
      <c r="AFH281" s="885"/>
      <c r="AFI281" s="885"/>
      <c r="AFJ281" s="885"/>
      <c r="AFK281" s="885"/>
      <c r="AFL281" s="885"/>
      <c r="AFM281" s="885"/>
      <c r="AFN281" s="885"/>
      <c r="AFO281" s="885"/>
      <c r="AFP281" s="885"/>
      <c r="AFQ281" s="885"/>
      <c r="AFR281" s="885"/>
      <c r="AFS281" s="885"/>
      <c r="AFT281" s="885"/>
      <c r="AFU281" s="885"/>
      <c r="AFV281" s="885"/>
      <c r="AFW281" s="885"/>
      <c r="AFX281" s="885"/>
      <c r="AFY281" s="885"/>
      <c r="AFZ281" s="885"/>
      <c r="AGA281" s="885"/>
      <c r="AGB281" s="885"/>
      <c r="AGC281" s="885"/>
      <c r="AGD281" s="885"/>
      <c r="AGE281" s="885"/>
      <c r="AGF281" s="885"/>
      <c r="AGG281" s="885"/>
      <c r="AGH281" s="885"/>
      <c r="AGI281" s="885"/>
      <c r="AGJ281" s="885"/>
      <c r="AGK281" s="885"/>
      <c r="AGL281" s="885"/>
      <c r="AGM281" s="885"/>
      <c r="AGN281" s="885"/>
      <c r="AGO281" s="885"/>
      <c r="AGP281" s="885"/>
      <c r="AGQ281" s="885"/>
      <c r="AGR281" s="885"/>
      <c r="AGS281" s="885"/>
      <c r="AGT281" s="885"/>
      <c r="AGU281" s="885"/>
      <c r="AGV281" s="885"/>
      <c r="AGW281" s="885"/>
      <c r="AGX281" s="885"/>
      <c r="AGY281" s="885"/>
      <c r="AGZ281" s="885"/>
      <c r="AHA281" s="885"/>
      <c r="AHB281" s="885"/>
      <c r="AHC281" s="885"/>
      <c r="AHD281" s="885"/>
      <c r="AHE281" s="885"/>
      <c r="AHF281" s="885"/>
      <c r="AHG281" s="885"/>
      <c r="AHH281" s="885"/>
      <c r="AHI281" s="885"/>
      <c r="AHJ281" s="885"/>
      <c r="AHK281" s="885"/>
      <c r="AHL281" s="885"/>
      <c r="AHM281" s="885"/>
      <c r="AHN281" s="885"/>
      <c r="AHO281" s="885"/>
      <c r="AHP281" s="885"/>
      <c r="AHQ281" s="885"/>
      <c r="AHR281" s="885"/>
      <c r="AHS281" s="885"/>
      <c r="AHT281" s="885"/>
      <c r="AHU281" s="885"/>
      <c r="AHV281" s="885"/>
      <c r="AHW281" s="885"/>
      <c r="AHX281" s="885"/>
      <c r="AHY281" s="885"/>
      <c r="AHZ281" s="885"/>
      <c r="AIA281" s="885"/>
      <c r="AIB281" s="885"/>
      <c r="AIC281" s="885"/>
      <c r="AID281" s="885"/>
      <c r="AIE281" s="885"/>
      <c r="AIF281" s="885"/>
      <c r="AIG281" s="885"/>
      <c r="AIH281" s="885"/>
      <c r="AII281" s="885"/>
      <c r="AIJ281" s="885"/>
      <c r="AIK281" s="885"/>
      <c r="AIL281" s="885"/>
      <c r="AIM281" s="885"/>
      <c r="AIN281" s="885"/>
      <c r="AIO281" s="885"/>
      <c r="AIP281" s="885"/>
      <c r="AIQ281" s="885"/>
      <c r="AIR281" s="885"/>
      <c r="AIS281" s="885"/>
      <c r="AIT281" s="885"/>
      <c r="AIU281" s="885"/>
      <c r="AIV281" s="885"/>
      <c r="AIW281" s="885"/>
      <c r="AIX281" s="885"/>
      <c r="AIY281" s="885"/>
      <c r="AIZ281" s="885"/>
      <c r="AJA281" s="885"/>
      <c r="AJB281" s="885"/>
      <c r="AJC281" s="885"/>
      <c r="AJD281" s="885"/>
      <c r="AJE281" s="885"/>
      <c r="AJF281" s="885"/>
      <c r="AJG281" s="885"/>
      <c r="AJH281" s="885"/>
      <c r="AJI281" s="885"/>
      <c r="AJJ281" s="885"/>
      <c r="AJK281" s="885"/>
      <c r="AJL281" s="885"/>
      <c r="AJM281" s="885"/>
      <c r="AJN281" s="885"/>
      <c r="AJO281" s="885"/>
      <c r="AJP281" s="885"/>
      <c r="AJQ281" s="885"/>
      <c r="AJR281" s="885"/>
      <c r="AJS281" s="885"/>
      <c r="AJT281" s="885"/>
      <c r="AJU281" s="885"/>
      <c r="AJV281" s="885"/>
      <c r="AJW281" s="885"/>
      <c r="AJX281" s="885"/>
      <c r="AJY281" s="885"/>
      <c r="AJZ281" s="885"/>
      <c r="AKA281" s="885"/>
      <c r="AKB281" s="885"/>
      <c r="AKC281" s="885"/>
      <c r="AKD281" s="885"/>
      <c r="AKE281" s="885"/>
      <c r="AKF281" s="885"/>
      <c r="AKG281" s="885"/>
      <c r="AKH281" s="885"/>
      <c r="AKI281" s="885"/>
      <c r="AKJ281" s="885"/>
      <c r="AKK281" s="885"/>
      <c r="AKL281" s="885"/>
      <c r="AKM281" s="885"/>
      <c r="AKN281" s="885"/>
      <c r="AKO281" s="885"/>
      <c r="AKP281" s="885"/>
      <c r="AKQ281" s="885"/>
      <c r="AKR281" s="885"/>
      <c r="AKS281" s="885"/>
      <c r="AKT281" s="885"/>
      <c r="AKU281" s="885"/>
      <c r="AKV281" s="885"/>
      <c r="AKW281" s="885"/>
      <c r="AKX281" s="885"/>
      <c r="AKY281" s="885"/>
      <c r="AKZ281" s="885"/>
      <c r="ALA281" s="885"/>
      <c r="ALB281" s="885"/>
      <c r="ALC281" s="885"/>
      <c r="ALD281" s="885"/>
      <c r="ALE281" s="885"/>
      <c r="ALF281" s="885"/>
      <c r="ALG281" s="885"/>
      <c r="ALH281" s="885"/>
      <c r="ALI281" s="885"/>
      <c r="ALJ281" s="885"/>
      <c r="ALK281" s="885"/>
      <c r="ALL281" s="885"/>
      <c r="ALM281" s="885"/>
      <c r="ALN281" s="885"/>
      <c r="ALO281" s="885"/>
      <c r="ALP281" s="885"/>
      <c r="ALQ281" s="885"/>
      <c r="ALR281" s="885"/>
      <c r="ALS281" s="885"/>
      <c r="ALT281" s="885"/>
      <c r="ALU281" s="885"/>
      <c r="ALV281" s="885"/>
      <c r="ALW281" s="885"/>
      <c r="ALX281" s="885"/>
      <c r="ALY281" s="885"/>
      <c r="ALZ281" s="885"/>
      <c r="AMA281" s="885"/>
      <c r="AMB281" s="885"/>
      <c r="AMC281" s="885"/>
      <c r="AMD281" s="885"/>
      <c r="AME281" s="885"/>
      <c r="AMF281" s="885"/>
      <c r="AMG281" s="885"/>
      <c r="AMH281" s="885"/>
      <c r="AMI281" s="885"/>
      <c r="AMJ281" s="885"/>
      <c r="AMK281" s="885"/>
      <c r="AML281" s="885"/>
      <c r="AMM281" s="885"/>
      <c r="AMN281" s="885"/>
      <c r="AMO281" s="885"/>
      <c r="AMP281" s="885"/>
      <c r="AMQ281" s="885"/>
      <c r="AMR281" s="885"/>
      <c r="AMS281" s="885"/>
      <c r="AMT281" s="885"/>
      <c r="AMU281" s="885"/>
      <c r="AMV281" s="885"/>
      <c r="AMW281" s="885"/>
      <c r="AMX281" s="885"/>
      <c r="AMY281" s="885"/>
      <c r="AMZ281" s="885"/>
      <c r="ANA281" s="885"/>
      <c r="ANB281" s="885"/>
      <c r="ANC281" s="885"/>
      <c r="AND281" s="885"/>
      <c r="ANE281" s="885"/>
      <c r="ANF281" s="885"/>
      <c r="ANG281" s="885"/>
      <c r="ANH281" s="885"/>
      <c r="ANI281" s="885"/>
      <c r="ANJ281" s="885"/>
      <c r="ANK281" s="885"/>
      <c r="ANL281" s="885"/>
      <c r="ANM281" s="885"/>
      <c r="ANN281" s="885"/>
      <c r="ANO281" s="885"/>
      <c r="ANP281" s="885"/>
      <c r="ANQ281" s="885"/>
      <c r="ANR281" s="885"/>
      <c r="ANS281" s="885"/>
      <c r="ANT281" s="885"/>
      <c r="ANU281" s="885"/>
      <c r="ANV281" s="885"/>
      <c r="ANW281" s="885"/>
      <c r="ANX281" s="885"/>
      <c r="ANY281" s="885"/>
      <c r="ANZ281" s="885"/>
      <c r="AOA281" s="885"/>
      <c r="AOB281" s="885"/>
      <c r="AOC281" s="885"/>
      <c r="AOD281" s="885"/>
      <c r="AOE281" s="885"/>
      <c r="AOF281" s="885"/>
      <c r="AOG281" s="885"/>
      <c r="AOH281" s="885"/>
      <c r="AOI281" s="885"/>
      <c r="AOJ281" s="885"/>
      <c r="AOK281" s="885"/>
      <c r="AOL281" s="885"/>
      <c r="AOM281" s="885"/>
      <c r="AON281" s="885"/>
      <c r="AOO281" s="885"/>
      <c r="AOP281" s="885"/>
      <c r="AOQ281" s="885"/>
      <c r="AOR281" s="885"/>
      <c r="AOS281" s="885"/>
      <c r="AOT281" s="885"/>
      <c r="AOU281" s="885"/>
      <c r="AOV281" s="885"/>
      <c r="AOW281" s="885"/>
      <c r="AOX281" s="885"/>
      <c r="AOY281" s="885"/>
      <c r="AOZ281" s="885"/>
      <c r="APA281" s="885"/>
      <c r="APB281" s="885"/>
      <c r="APC281" s="885"/>
      <c r="APD281" s="885"/>
      <c r="APE281" s="885"/>
      <c r="APF281" s="885"/>
      <c r="APG281" s="885"/>
      <c r="APH281" s="885"/>
      <c r="API281" s="885"/>
      <c r="APJ281" s="885"/>
      <c r="APK281" s="885"/>
      <c r="APL281" s="885"/>
      <c r="APM281" s="885"/>
      <c r="APN281" s="885"/>
      <c r="APO281" s="885"/>
      <c r="APP281" s="885"/>
      <c r="APQ281" s="885"/>
      <c r="APR281" s="885"/>
      <c r="APS281" s="885"/>
      <c r="APT281" s="885"/>
      <c r="APU281" s="885"/>
      <c r="APV281" s="885"/>
      <c r="APW281" s="885"/>
      <c r="APX281" s="885"/>
      <c r="APY281" s="885"/>
      <c r="APZ281" s="885"/>
      <c r="AQA281" s="885"/>
      <c r="AQB281" s="885"/>
      <c r="AQC281" s="885"/>
      <c r="AQD281" s="885"/>
      <c r="AQE281" s="885"/>
      <c r="AQF281" s="885"/>
      <c r="AQG281" s="885"/>
      <c r="AQH281" s="885"/>
      <c r="AQI281" s="885"/>
      <c r="AQJ281" s="885"/>
      <c r="AQK281" s="885"/>
      <c r="AQL281" s="885"/>
      <c r="AQM281" s="885"/>
      <c r="AQN281" s="885"/>
      <c r="AQO281" s="885"/>
      <c r="AQP281" s="885"/>
      <c r="AQQ281" s="885"/>
      <c r="AQR281" s="885"/>
      <c r="AQS281" s="885"/>
      <c r="AQT281" s="885"/>
      <c r="AQU281" s="885"/>
      <c r="AQV281" s="885"/>
      <c r="AQW281" s="885"/>
      <c r="AQX281" s="885"/>
      <c r="AQY281" s="885"/>
      <c r="AQZ281" s="885"/>
      <c r="ARA281" s="885"/>
      <c r="ARB281" s="885"/>
      <c r="ARC281" s="885"/>
      <c r="ARD281" s="885"/>
      <c r="ARE281" s="885"/>
      <c r="ARF281" s="885"/>
      <c r="ARG281" s="885"/>
      <c r="ARH281" s="885"/>
      <c r="ARI281" s="885"/>
      <c r="ARJ281" s="885"/>
      <c r="ARK281" s="885"/>
      <c r="ARL281" s="885"/>
      <c r="ARM281" s="885"/>
      <c r="ARN281" s="885"/>
      <c r="ARO281" s="885"/>
      <c r="ARP281" s="885"/>
      <c r="ARQ281" s="885"/>
      <c r="ARR281" s="885"/>
      <c r="ARS281" s="885"/>
      <c r="ART281" s="885"/>
      <c r="ARU281" s="885"/>
      <c r="ARV281" s="885"/>
      <c r="ARW281" s="885"/>
      <c r="ARX281" s="885"/>
      <c r="ARY281" s="885"/>
      <c r="ARZ281" s="885"/>
      <c r="ASA281" s="885"/>
      <c r="ASB281" s="885"/>
      <c r="ASC281" s="885"/>
      <c r="ASD281" s="885"/>
      <c r="ASE281" s="885"/>
      <c r="ASF281" s="885"/>
      <c r="ASG281" s="885"/>
      <c r="ASH281" s="885"/>
      <c r="ASI281" s="885"/>
      <c r="ASJ281" s="885"/>
      <c r="ASK281" s="885"/>
      <c r="ASL281" s="885"/>
      <c r="ASM281" s="885"/>
      <c r="ASN281" s="885"/>
      <c r="ASO281" s="885"/>
      <c r="ASP281" s="885"/>
      <c r="ASQ281" s="885"/>
      <c r="ASR281" s="885"/>
      <c r="ASS281" s="885"/>
      <c r="AST281" s="885"/>
      <c r="ASU281" s="885"/>
      <c r="ASV281" s="885"/>
      <c r="ASW281" s="885"/>
      <c r="ASX281" s="885"/>
      <c r="ASY281" s="885"/>
      <c r="ASZ281" s="885"/>
      <c r="ATA281" s="885"/>
      <c r="ATB281" s="885"/>
      <c r="ATC281" s="885"/>
      <c r="ATD281" s="885"/>
      <c r="ATE281" s="885"/>
      <c r="ATF281" s="885"/>
      <c r="ATG281" s="885"/>
      <c r="ATH281" s="885"/>
      <c r="ATI281" s="885"/>
      <c r="ATJ281" s="885"/>
      <c r="ATK281" s="885"/>
      <c r="ATL281" s="885"/>
      <c r="ATM281" s="885"/>
      <c r="ATN281" s="885"/>
      <c r="ATO281" s="885"/>
      <c r="ATP281" s="885"/>
      <c r="ATQ281" s="885"/>
      <c r="ATR281" s="885"/>
      <c r="ATS281" s="885"/>
      <c r="ATT281" s="885"/>
      <c r="ATU281" s="885"/>
      <c r="ATV281" s="885"/>
      <c r="ATW281" s="885"/>
      <c r="ATX281" s="885"/>
      <c r="ATY281" s="885"/>
      <c r="ATZ281" s="885"/>
      <c r="AUA281" s="885"/>
      <c r="AUB281" s="885"/>
      <c r="AUC281" s="885"/>
      <c r="AUD281" s="885"/>
      <c r="AUE281" s="885"/>
      <c r="AUF281" s="885"/>
      <c r="AUG281" s="885"/>
      <c r="AUH281" s="885"/>
      <c r="AUI281" s="885"/>
      <c r="AUJ281" s="885"/>
      <c r="AUK281" s="885"/>
      <c r="AUL281" s="885"/>
      <c r="AUM281" s="885"/>
      <c r="AUN281" s="885"/>
      <c r="AUO281" s="885"/>
      <c r="AUP281" s="885"/>
      <c r="AUQ281" s="885"/>
      <c r="AUR281" s="885"/>
      <c r="AUS281" s="885"/>
      <c r="AUT281" s="885"/>
      <c r="AUU281" s="885"/>
      <c r="AUV281" s="885"/>
      <c r="AUW281" s="885"/>
      <c r="AUX281" s="885"/>
      <c r="AUY281" s="885"/>
      <c r="AUZ281" s="885"/>
      <c r="AVA281" s="885"/>
      <c r="AVB281" s="885"/>
      <c r="AVC281" s="885"/>
      <c r="AVD281" s="885"/>
      <c r="AVE281" s="885"/>
      <c r="AVF281" s="885"/>
      <c r="AVG281" s="885"/>
      <c r="AVH281" s="885"/>
      <c r="AVI281" s="885"/>
      <c r="AVJ281" s="885"/>
      <c r="AVK281" s="885"/>
      <c r="AVL281" s="885"/>
      <c r="AVM281" s="885"/>
      <c r="AVN281" s="885"/>
      <c r="AVO281" s="885"/>
      <c r="AVP281" s="885"/>
      <c r="AVQ281" s="885"/>
      <c r="AVR281" s="885"/>
      <c r="AVS281" s="885"/>
      <c r="AVT281" s="885"/>
      <c r="AVU281" s="885"/>
      <c r="AVV281" s="885"/>
      <c r="AVW281" s="885"/>
      <c r="AVX281" s="885"/>
      <c r="AVY281" s="885"/>
      <c r="AVZ281" s="885"/>
      <c r="AWA281" s="885"/>
      <c r="AWB281" s="885"/>
      <c r="AWC281" s="885"/>
      <c r="AWD281" s="885"/>
      <c r="AWE281" s="885"/>
      <c r="AWF281" s="885"/>
      <c r="AWG281" s="885"/>
      <c r="AWH281" s="885"/>
      <c r="AWI281" s="885"/>
      <c r="AWJ281" s="885"/>
      <c r="AWK281" s="885"/>
      <c r="AWL281" s="885"/>
      <c r="AWM281" s="885"/>
      <c r="AWN281" s="885"/>
      <c r="AWO281" s="885"/>
      <c r="AWP281" s="885"/>
      <c r="AWQ281" s="885"/>
      <c r="AWR281" s="885"/>
      <c r="AWS281" s="885"/>
      <c r="AWT281" s="885"/>
      <c r="AWU281" s="885"/>
      <c r="AWV281" s="885"/>
      <c r="AWW281" s="885"/>
      <c r="AWX281" s="885"/>
      <c r="AWY281" s="885"/>
      <c r="AWZ281" s="885"/>
      <c r="AXA281" s="885"/>
      <c r="AXB281" s="885"/>
      <c r="AXC281" s="885"/>
      <c r="AXD281" s="885"/>
      <c r="AXE281" s="885"/>
      <c r="AXF281" s="885"/>
      <c r="AXG281" s="885"/>
      <c r="AXH281" s="885"/>
      <c r="AXI281" s="885"/>
      <c r="AXJ281" s="885"/>
      <c r="AXK281" s="885"/>
      <c r="AXL281" s="885"/>
      <c r="AXM281" s="885"/>
      <c r="AXN281" s="885"/>
      <c r="AXO281" s="885"/>
      <c r="AXP281" s="885"/>
      <c r="AXQ281" s="885"/>
      <c r="AXR281" s="885"/>
      <c r="AXS281" s="885"/>
      <c r="AXT281" s="885"/>
      <c r="AXU281" s="885"/>
      <c r="AXV281" s="885"/>
      <c r="AXW281" s="885"/>
      <c r="AXX281" s="885"/>
      <c r="AXY281" s="885"/>
      <c r="AXZ281" s="885"/>
      <c r="AYA281" s="885"/>
      <c r="AYB281" s="885"/>
      <c r="AYC281" s="885"/>
      <c r="AYD281" s="885"/>
      <c r="AYE281" s="885"/>
      <c r="AYF281" s="885"/>
      <c r="AYG281" s="885"/>
      <c r="AYH281" s="885"/>
      <c r="AYI281" s="885"/>
      <c r="AYJ281" s="885"/>
      <c r="AYK281" s="885"/>
      <c r="AYL281" s="885"/>
      <c r="AYM281" s="885"/>
      <c r="AYN281" s="885"/>
      <c r="AYO281" s="885"/>
      <c r="AYP281" s="885"/>
      <c r="AYQ281" s="885"/>
      <c r="AYR281" s="885"/>
      <c r="AYS281" s="885"/>
      <c r="AYT281" s="885"/>
      <c r="AYU281" s="885"/>
      <c r="AYV281" s="885"/>
      <c r="AYW281" s="885"/>
      <c r="AYX281" s="885"/>
      <c r="AYY281" s="885"/>
      <c r="AYZ281" s="885"/>
      <c r="AZA281" s="885"/>
      <c r="AZB281" s="885"/>
      <c r="AZC281" s="885"/>
      <c r="AZD281" s="885"/>
      <c r="AZE281" s="885"/>
      <c r="AZF281" s="885"/>
      <c r="AZG281" s="885"/>
      <c r="AZH281" s="885"/>
      <c r="AZI281" s="885"/>
      <c r="AZJ281" s="885"/>
      <c r="AZK281" s="885"/>
      <c r="AZL281" s="885"/>
      <c r="AZM281" s="885"/>
      <c r="AZN281" s="885"/>
      <c r="AZO281" s="885"/>
      <c r="AZP281" s="885"/>
      <c r="AZQ281" s="885"/>
      <c r="AZR281" s="885"/>
      <c r="AZS281" s="885"/>
      <c r="AZT281" s="885"/>
      <c r="AZU281" s="885"/>
      <c r="AZV281" s="885"/>
      <c r="AZW281" s="885"/>
      <c r="AZX281" s="885"/>
      <c r="AZY281" s="885"/>
      <c r="AZZ281" s="885"/>
      <c r="BAA281" s="885"/>
      <c r="BAB281" s="885"/>
      <c r="BAC281" s="885"/>
      <c r="BAD281" s="885"/>
      <c r="BAE281" s="885"/>
      <c r="BAF281" s="885"/>
      <c r="BAG281" s="885"/>
      <c r="BAH281" s="885"/>
      <c r="BAI281" s="885"/>
      <c r="BAJ281" s="885"/>
      <c r="BAK281" s="885"/>
      <c r="BAL281" s="885"/>
      <c r="BAM281" s="885"/>
      <c r="BAN281" s="885"/>
      <c r="BAO281" s="885"/>
      <c r="BAP281" s="885"/>
      <c r="BAQ281" s="885"/>
      <c r="BAR281" s="885"/>
      <c r="BAS281" s="885"/>
      <c r="BAT281" s="885"/>
      <c r="BAU281" s="885"/>
      <c r="BAV281" s="885"/>
      <c r="BAW281" s="885"/>
      <c r="BAX281" s="885"/>
      <c r="BAY281" s="885"/>
      <c r="BAZ281" s="885"/>
      <c r="BBA281" s="885"/>
      <c r="BBB281" s="885"/>
      <c r="BBC281" s="885"/>
      <c r="BBD281" s="885"/>
      <c r="BBE281" s="885"/>
      <c r="BBF281" s="885"/>
      <c r="BBG281" s="885"/>
      <c r="BBH281" s="885"/>
      <c r="BBI281" s="885"/>
      <c r="BBJ281" s="885"/>
      <c r="BBK281" s="885"/>
      <c r="BBL281" s="885"/>
      <c r="BBM281" s="885"/>
      <c r="BBN281" s="885"/>
      <c r="BBO281" s="885"/>
      <c r="BBP281" s="885"/>
      <c r="BBQ281" s="885"/>
      <c r="BBR281" s="885"/>
      <c r="BBS281" s="885"/>
      <c r="BBT281" s="885"/>
      <c r="BBU281" s="885"/>
      <c r="BBV281" s="885"/>
      <c r="BBW281" s="885"/>
      <c r="BBX281" s="885"/>
      <c r="BBY281" s="885"/>
      <c r="BBZ281" s="885"/>
      <c r="BCA281" s="885"/>
      <c r="BCB281" s="885"/>
      <c r="BCC281" s="885"/>
      <c r="BCD281" s="885"/>
      <c r="BCE281" s="885"/>
      <c r="BCF281" s="885"/>
      <c r="BCG281" s="885"/>
      <c r="BCH281" s="885"/>
      <c r="BCI281" s="885"/>
      <c r="BCJ281" s="885"/>
      <c r="BCK281" s="885"/>
      <c r="BCL281" s="885"/>
      <c r="BCM281" s="885"/>
      <c r="BCN281" s="885"/>
      <c r="BCO281" s="885"/>
      <c r="BCP281" s="885"/>
      <c r="BCQ281" s="885"/>
      <c r="BCR281" s="885"/>
      <c r="BCS281" s="885"/>
      <c r="BCT281" s="885"/>
      <c r="BCU281" s="885"/>
      <c r="BCV281" s="885"/>
      <c r="BCW281" s="885"/>
      <c r="BCX281" s="885"/>
      <c r="BCY281" s="885"/>
      <c r="BCZ281" s="885"/>
      <c r="BDA281" s="885"/>
      <c r="BDB281" s="885"/>
      <c r="BDC281" s="885"/>
      <c r="BDD281" s="885"/>
      <c r="BDE281" s="885"/>
      <c r="BDF281" s="885"/>
      <c r="BDG281" s="885"/>
      <c r="BDH281" s="885"/>
      <c r="BDI281" s="885"/>
      <c r="BDJ281" s="885"/>
      <c r="BDK281" s="885"/>
      <c r="BDL281" s="885"/>
      <c r="BDM281" s="885"/>
      <c r="BDN281" s="885"/>
      <c r="BDO281" s="885"/>
      <c r="BDP281" s="885"/>
      <c r="BDQ281" s="885"/>
      <c r="BDR281" s="885"/>
      <c r="BDS281" s="885"/>
      <c r="BDT281" s="885"/>
      <c r="BDU281" s="885"/>
      <c r="BDV281" s="885"/>
      <c r="BDW281" s="885"/>
      <c r="BDX281" s="885"/>
      <c r="BDY281" s="885"/>
      <c r="BDZ281" s="885"/>
      <c r="BEA281" s="885"/>
      <c r="BEB281" s="885"/>
      <c r="BEC281" s="885"/>
      <c r="BED281" s="885"/>
      <c r="BEE281" s="885"/>
      <c r="BEF281" s="885"/>
      <c r="BEG281" s="885"/>
      <c r="BEH281" s="885"/>
      <c r="BEI281" s="885"/>
      <c r="BEJ281" s="885"/>
      <c r="BEK281" s="885"/>
      <c r="BEL281" s="885"/>
      <c r="BEM281" s="885"/>
      <c r="BEN281" s="885"/>
      <c r="BEO281" s="885"/>
      <c r="BEP281" s="885"/>
      <c r="BEQ281" s="885"/>
      <c r="BER281" s="885"/>
      <c r="BES281" s="885"/>
      <c r="BET281" s="885"/>
      <c r="BEU281" s="885"/>
      <c r="BEV281" s="885"/>
      <c r="BEW281" s="885"/>
      <c r="BEX281" s="885"/>
      <c r="BEY281" s="885"/>
      <c r="BEZ281" s="885"/>
      <c r="BFA281" s="885"/>
      <c r="BFB281" s="885"/>
      <c r="BFC281" s="885"/>
      <c r="BFD281" s="885"/>
      <c r="BFE281" s="885"/>
      <c r="BFF281" s="885"/>
      <c r="BFG281" s="885"/>
      <c r="BFH281" s="885"/>
      <c r="BFI281" s="885"/>
      <c r="BFJ281" s="885"/>
      <c r="BFK281" s="885"/>
      <c r="BFL281" s="885"/>
      <c r="BFM281" s="885"/>
      <c r="BFN281" s="885"/>
      <c r="BFO281" s="885"/>
      <c r="BFP281" s="885"/>
      <c r="BFQ281" s="885"/>
      <c r="BFR281" s="885"/>
      <c r="BFS281" s="885"/>
      <c r="BFT281" s="885"/>
      <c r="BFU281" s="885"/>
      <c r="BFV281" s="885"/>
      <c r="BFW281" s="885"/>
      <c r="BFX281" s="885"/>
      <c r="BFY281" s="885"/>
      <c r="BFZ281" s="885"/>
      <c r="BGA281" s="885"/>
      <c r="BGB281" s="885"/>
      <c r="BGC281" s="885"/>
      <c r="BGD281" s="885"/>
      <c r="BGE281" s="885"/>
      <c r="BGF281" s="885"/>
      <c r="BGG281" s="885"/>
      <c r="BGH281" s="885"/>
      <c r="BGI281" s="885"/>
      <c r="BGJ281" s="885"/>
      <c r="BGK281" s="885"/>
      <c r="BGL281" s="885"/>
      <c r="BGM281" s="885"/>
      <c r="BGN281" s="885"/>
      <c r="BGO281" s="885"/>
      <c r="BGP281" s="885"/>
      <c r="BGQ281" s="885"/>
      <c r="BGR281" s="885"/>
      <c r="BGS281" s="885"/>
      <c r="BGT281" s="885"/>
      <c r="BGU281" s="885"/>
      <c r="BGV281" s="885"/>
      <c r="BGW281" s="885"/>
      <c r="BGX281" s="885"/>
      <c r="BGY281" s="885"/>
      <c r="BGZ281" s="885"/>
      <c r="BHA281" s="885"/>
      <c r="BHB281" s="885"/>
      <c r="BHC281" s="885"/>
      <c r="BHD281" s="885"/>
      <c r="BHE281" s="885"/>
      <c r="BHF281" s="885"/>
      <c r="BHG281" s="885"/>
      <c r="BHH281" s="885"/>
      <c r="BHI281" s="885"/>
      <c r="BHJ281" s="885"/>
      <c r="BHK281" s="885"/>
      <c r="BHL281" s="885"/>
      <c r="BHM281" s="885"/>
      <c r="BHN281" s="885"/>
      <c r="BHO281" s="885"/>
      <c r="BHP281" s="885"/>
      <c r="BHQ281" s="885"/>
      <c r="BHR281" s="885"/>
      <c r="BHS281" s="885"/>
      <c r="BHT281" s="885"/>
      <c r="BHU281" s="885"/>
      <c r="BHV281" s="885"/>
      <c r="BHW281" s="885"/>
      <c r="BHX281" s="885"/>
      <c r="BHY281" s="885"/>
      <c r="BHZ281" s="885"/>
      <c r="BIA281" s="885"/>
      <c r="BIB281" s="885"/>
      <c r="BIC281" s="885"/>
      <c r="BID281" s="885"/>
      <c r="BIE281" s="885"/>
      <c r="BIF281" s="885"/>
      <c r="BIG281" s="885"/>
      <c r="BIH281" s="885"/>
      <c r="BII281" s="885"/>
      <c r="BIJ281" s="885"/>
      <c r="BIK281" s="885"/>
      <c r="BIL281" s="885"/>
      <c r="BIM281" s="885"/>
      <c r="BIN281" s="885"/>
      <c r="BIO281" s="885"/>
      <c r="BIP281" s="885"/>
      <c r="BIQ281" s="885"/>
      <c r="BIR281" s="885"/>
      <c r="BIS281" s="885"/>
      <c r="BIT281" s="885"/>
      <c r="BIU281" s="885"/>
      <c r="BIV281" s="885"/>
      <c r="BIW281" s="885"/>
      <c r="BIX281" s="885"/>
      <c r="BIY281" s="885"/>
      <c r="BIZ281" s="885"/>
      <c r="BJA281" s="885"/>
      <c r="BJB281" s="885"/>
      <c r="BJC281" s="885"/>
      <c r="BJD281" s="885"/>
      <c r="BJE281" s="885"/>
      <c r="BJF281" s="885"/>
      <c r="BJG281" s="885"/>
      <c r="BJH281" s="885"/>
      <c r="BJI281" s="885"/>
      <c r="BJJ281" s="885"/>
      <c r="BJK281" s="885"/>
      <c r="BJL281" s="885"/>
      <c r="BJM281" s="885"/>
      <c r="BJN281" s="885"/>
      <c r="BJO281" s="885"/>
      <c r="BJP281" s="885"/>
      <c r="BJQ281" s="885"/>
      <c r="BJR281" s="885"/>
      <c r="BJS281" s="885"/>
      <c r="BJT281" s="885"/>
      <c r="BJU281" s="885"/>
      <c r="BJV281" s="885"/>
      <c r="BJW281" s="885"/>
      <c r="BJX281" s="885"/>
      <c r="BJY281" s="885"/>
      <c r="BJZ281" s="885"/>
      <c r="BKA281" s="885"/>
      <c r="BKB281" s="885"/>
      <c r="BKC281" s="885"/>
      <c r="BKD281" s="885"/>
      <c r="BKE281" s="885"/>
      <c r="BKF281" s="885"/>
      <c r="BKG281" s="885"/>
      <c r="BKH281" s="885"/>
      <c r="BKI281" s="885"/>
      <c r="BKJ281" s="885"/>
      <c r="BKK281" s="885"/>
      <c r="BKL281" s="885"/>
      <c r="BKM281" s="885"/>
      <c r="BKN281" s="885"/>
      <c r="BKO281" s="885"/>
      <c r="BKP281" s="885"/>
      <c r="BKQ281" s="885"/>
      <c r="BKR281" s="885"/>
      <c r="BKS281" s="885"/>
      <c r="BKT281" s="885"/>
      <c r="BKU281" s="885"/>
      <c r="BKV281" s="885"/>
      <c r="BKW281" s="885"/>
      <c r="BKX281" s="885"/>
      <c r="BKY281" s="885"/>
      <c r="BKZ281" s="885"/>
      <c r="BLA281" s="885"/>
      <c r="BLB281" s="885"/>
      <c r="BLC281" s="885"/>
      <c r="BLD281" s="885"/>
      <c r="BLE281" s="885"/>
      <c r="BLF281" s="885"/>
      <c r="BLG281" s="885"/>
      <c r="BLH281" s="885"/>
      <c r="BLI281" s="885"/>
      <c r="BLJ281" s="885"/>
      <c r="BLK281" s="885"/>
      <c r="BLL281" s="885"/>
      <c r="BLM281" s="885"/>
      <c r="BLN281" s="885"/>
      <c r="BLO281" s="885"/>
      <c r="BLP281" s="885"/>
      <c r="BLQ281" s="885"/>
      <c r="BLR281" s="885"/>
      <c r="BLS281" s="885"/>
      <c r="BLT281" s="885"/>
      <c r="BLU281" s="885"/>
      <c r="BLV281" s="885"/>
      <c r="BLW281" s="885"/>
      <c r="BLX281" s="885"/>
      <c r="BLY281" s="885"/>
      <c r="BLZ281" s="885"/>
      <c r="BMA281" s="885"/>
      <c r="BMB281" s="885"/>
      <c r="BMC281" s="885"/>
      <c r="BMD281" s="885"/>
      <c r="BME281" s="885"/>
      <c r="BMF281" s="885"/>
      <c r="BMG281" s="885"/>
      <c r="BMH281" s="885"/>
      <c r="BMI281" s="885"/>
      <c r="BMJ281" s="885"/>
      <c r="BMK281" s="885"/>
      <c r="BML281" s="885"/>
      <c r="BMM281" s="885"/>
      <c r="BMN281" s="885"/>
      <c r="BMO281" s="885"/>
      <c r="BMP281" s="885"/>
      <c r="BMQ281" s="885"/>
      <c r="BMR281" s="885"/>
      <c r="BMS281" s="885"/>
      <c r="BMT281" s="885"/>
      <c r="BMU281" s="885"/>
      <c r="BMV281" s="885"/>
      <c r="BMW281" s="885"/>
      <c r="BMX281" s="885"/>
      <c r="BMY281" s="885"/>
      <c r="BMZ281" s="885"/>
      <c r="BNA281" s="885"/>
      <c r="BNB281" s="885"/>
      <c r="BNC281" s="885"/>
      <c r="BND281" s="885"/>
      <c r="BNE281" s="885"/>
      <c r="BNF281" s="885"/>
      <c r="BNG281" s="885"/>
      <c r="BNH281" s="885"/>
      <c r="BNI281" s="885"/>
      <c r="BNJ281" s="885"/>
      <c r="BNK281" s="885"/>
      <c r="BNL281" s="885"/>
      <c r="BNM281" s="885"/>
      <c r="BNN281" s="885"/>
      <c r="BNO281" s="885"/>
      <c r="BNP281" s="885"/>
      <c r="BNQ281" s="885"/>
      <c r="BNR281" s="885"/>
      <c r="BNS281" s="885"/>
      <c r="BNT281" s="885"/>
      <c r="BNU281" s="885"/>
      <c r="BNV281" s="885"/>
      <c r="BNW281" s="885"/>
      <c r="BNX281" s="885"/>
      <c r="BNY281" s="885"/>
      <c r="BNZ281" s="885"/>
      <c r="BOA281" s="885"/>
      <c r="BOB281" s="885"/>
      <c r="BOC281" s="885"/>
      <c r="BOD281" s="885"/>
      <c r="BOE281" s="885"/>
      <c r="BOF281" s="885"/>
      <c r="BOG281" s="885"/>
      <c r="BOH281" s="885"/>
      <c r="BOI281" s="885"/>
      <c r="BOJ281" s="885"/>
      <c r="BOK281" s="885"/>
      <c r="BOL281" s="885"/>
      <c r="BOM281" s="885"/>
      <c r="BON281" s="885"/>
      <c r="BOO281" s="885"/>
      <c r="BOP281" s="885"/>
      <c r="BOQ281" s="885"/>
      <c r="BOR281" s="885"/>
      <c r="BOS281" s="885"/>
      <c r="BOT281" s="885"/>
      <c r="BOU281" s="885"/>
      <c r="BOV281" s="885"/>
      <c r="BOW281" s="885"/>
      <c r="BOX281" s="885"/>
      <c r="BOY281" s="885"/>
      <c r="BOZ281" s="885"/>
      <c r="BPA281" s="885"/>
      <c r="BPB281" s="885"/>
      <c r="BPC281" s="885"/>
      <c r="BPD281" s="885"/>
      <c r="BPE281" s="885"/>
      <c r="BPF281" s="885"/>
      <c r="BPG281" s="885"/>
      <c r="BPH281" s="885"/>
      <c r="BPI281" s="885"/>
      <c r="BPJ281" s="885"/>
      <c r="BPK281" s="885"/>
      <c r="BPL281" s="885"/>
      <c r="BPM281" s="885"/>
      <c r="BPN281" s="885"/>
      <c r="BPO281" s="885"/>
      <c r="BPP281" s="885"/>
      <c r="BPQ281" s="885"/>
      <c r="BPR281" s="885"/>
      <c r="BPS281" s="885"/>
      <c r="BPT281" s="885"/>
      <c r="BPU281" s="885"/>
      <c r="BPV281" s="885"/>
      <c r="BPW281" s="885"/>
      <c r="BPX281" s="885"/>
      <c r="BPY281" s="885"/>
      <c r="BPZ281" s="885"/>
      <c r="BQA281" s="885"/>
      <c r="BQB281" s="885"/>
      <c r="BQC281" s="885"/>
      <c r="BQD281" s="885"/>
      <c r="BQE281" s="885"/>
      <c r="BQF281" s="885"/>
      <c r="BQG281" s="885"/>
      <c r="BQH281" s="885"/>
      <c r="BQI281" s="885"/>
      <c r="BQJ281" s="885"/>
      <c r="BQK281" s="885"/>
      <c r="BQL281" s="885"/>
      <c r="BQM281" s="885"/>
      <c r="BQN281" s="885"/>
      <c r="BQO281" s="885"/>
      <c r="BQP281" s="885"/>
      <c r="BQQ281" s="885"/>
      <c r="BQR281" s="885"/>
      <c r="BQS281" s="885"/>
      <c r="BQT281" s="885"/>
      <c r="BQU281" s="885"/>
      <c r="BQV281" s="885"/>
      <c r="BQW281" s="885"/>
      <c r="BQX281" s="885"/>
      <c r="BQY281" s="885"/>
      <c r="BQZ281" s="885"/>
      <c r="BRA281" s="885"/>
      <c r="BRB281" s="885"/>
      <c r="BRC281" s="885"/>
      <c r="BRD281" s="885"/>
      <c r="BRE281" s="885"/>
      <c r="BRF281" s="885"/>
      <c r="BRG281" s="885"/>
      <c r="BRH281" s="885"/>
      <c r="BRI281" s="885"/>
      <c r="BRJ281" s="885"/>
      <c r="BRK281" s="885"/>
      <c r="BRL281" s="885"/>
      <c r="BRM281" s="885"/>
      <c r="BRN281" s="885"/>
      <c r="BRO281" s="885"/>
      <c r="BRP281" s="885"/>
      <c r="BRQ281" s="885"/>
      <c r="BRR281" s="885"/>
      <c r="BRS281" s="885"/>
      <c r="BRT281" s="885"/>
      <c r="BRU281" s="885"/>
      <c r="BRV281" s="885"/>
      <c r="BRW281" s="885"/>
      <c r="BRX281" s="885"/>
      <c r="BRY281" s="885"/>
      <c r="BRZ281" s="885"/>
      <c r="BSA281" s="885"/>
      <c r="BSB281" s="885"/>
      <c r="BSC281" s="885"/>
      <c r="BSD281" s="885"/>
      <c r="BSE281" s="885"/>
      <c r="BSF281" s="885"/>
      <c r="BSG281" s="885"/>
      <c r="BSH281" s="885"/>
      <c r="BSI281" s="885"/>
      <c r="BSJ281" s="885"/>
      <c r="BSK281" s="885"/>
      <c r="BSL281" s="885"/>
      <c r="BSM281" s="885"/>
      <c r="BSN281" s="885"/>
      <c r="BSO281" s="885"/>
      <c r="BSP281" s="885"/>
      <c r="BSQ281" s="885"/>
      <c r="BSR281" s="885"/>
      <c r="BSS281" s="885"/>
      <c r="BST281" s="885"/>
      <c r="BSU281" s="885"/>
      <c r="BSV281" s="885"/>
      <c r="BSW281" s="885"/>
      <c r="BSX281" s="885"/>
      <c r="BSY281" s="885"/>
      <c r="BSZ281" s="885"/>
      <c r="BTA281" s="885"/>
      <c r="BTB281" s="885"/>
      <c r="BTC281" s="885"/>
      <c r="BTD281" s="885"/>
      <c r="BTE281" s="885"/>
      <c r="BTF281" s="885"/>
      <c r="BTG281" s="885"/>
      <c r="BTH281" s="885"/>
      <c r="BTI281" s="885"/>
      <c r="BTJ281" s="885"/>
      <c r="BTK281" s="885"/>
      <c r="BTL281" s="885"/>
      <c r="BTM281" s="885"/>
      <c r="BTN281" s="885"/>
      <c r="BTO281" s="885"/>
      <c r="BTP281" s="885"/>
      <c r="BTQ281" s="885"/>
      <c r="BTR281" s="885"/>
      <c r="BTS281" s="885"/>
      <c r="BTT281" s="885"/>
      <c r="BTU281" s="885"/>
      <c r="BTV281" s="885"/>
      <c r="BTW281" s="885"/>
      <c r="BTX281" s="885"/>
      <c r="BTY281" s="885"/>
      <c r="BTZ281" s="885"/>
      <c r="BUA281" s="885"/>
      <c r="BUB281" s="885"/>
      <c r="BUC281" s="885"/>
      <c r="BUD281" s="885"/>
      <c r="BUE281" s="885"/>
      <c r="BUF281" s="885"/>
      <c r="BUG281" s="885"/>
      <c r="BUH281" s="885"/>
      <c r="BUI281" s="885"/>
      <c r="BUJ281" s="885"/>
      <c r="BUK281" s="885"/>
      <c r="BUL281" s="885"/>
      <c r="BUM281" s="885"/>
      <c r="BUN281" s="885"/>
      <c r="BUO281" s="885"/>
      <c r="BUP281" s="885"/>
      <c r="BUQ281" s="885"/>
      <c r="BUR281" s="885"/>
      <c r="BUS281" s="885"/>
      <c r="BUT281" s="885"/>
      <c r="BUU281" s="885"/>
      <c r="BUV281" s="885"/>
      <c r="BUW281" s="885"/>
      <c r="BUX281" s="885"/>
      <c r="BUY281" s="885"/>
      <c r="BUZ281" s="885"/>
      <c r="BVA281" s="885"/>
      <c r="BVB281" s="885"/>
      <c r="BVC281" s="885"/>
      <c r="BVD281" s="885"/>
      <c r="BVE281" s="885"/>
      <c r="BVF281" s="885"/>
      <c r="BVG281" s="885"/>
      <c r="BVH281" s="885"/>
      <c r="BVI281" s="885"/>
      <c r="BVJ281" s="885"/>
      <c r="BVK281" s="885"/>
      <c r="BVL281" s="885"/>
      <c r="BVM281" s="885"/>
      <c r="BVN281" s="885"/>
      <c r="BVO281" s="885"/>
      <c r="BVP281" s="885"/>
      <c r="BVQ281" s="885"/>
      <c r="BVR281" s="885"/>
      <c r="BVS281" s="885"/>
      <c r="BVT281" s="885"/>
      <c r="BVU281" s="885"/>
      <c r="BVV281" s="885"/>
      <c r="BVW281" s="885"/>
      <c r="BVX281" s="885"/>
      <c r="BVY281" s="885"/>
      <c r="BVZ281" s="885"/>
      <c r="BWA281" s="885"/>
      <c r="BWB281" s="885"/>
      <c r="BWC281" s="885"/>
      <c r="BWD281" s="885"/>
      <c r="BWE281" s="885"/>
      <c r="BWF281" s="885"/>
      <c r="BWG281" s="885"/>
      <c r="BWH281" s="885"/>
      <c r="BWI281" s="885"/>
      <c r="BWJ281" s="885"/>
      <c r="BWK281" s="885"/>
      <c r="BWL281" s="885"/>
      <c r="BWM281" s="885"/>
      <c r="BWN281" s="885"/>
      <c r="BWO281" s="885"/>
      <c r="BWP281" s="885"/>
      <c r="BWQ281" s="885"/>
      <c r="BWR281" s="885"/>
      <c r="BWS281" s="885"/>
      <c r="BWT281" s="885"/>
      <c r="BWU281" s="885"/>
      <c r="BWV281" s="885"/>
      <c r="BWW281" s="885"/>
      <c r="BWX281" s="885"/>
      <c r="BWY281" s="885"/>
      <c r="BWZ281" s="885"/>
      <c r="BXA281" s="885"/>
      <c r="BXB281" s="885"/>
      <c r="BXC281" s="885"/>
      <c r="BXD281" s="885"/>
      <c r="BXE281" s="885"/>
      <c r="BXF281" s="885"/>
      <c r="BXG281" s="885"/>
      <c r="BXH281" s="885"/>
      <c r="BXI281" s="885"/>
      <c r="BXJ281" s="885"/>
      <c r="BXK281" s="885"/>
      <c r="BXL281" s="885"/>
      <c r="BXM281" s="885"/>
      <c r="BXN281" s="885"/>
      <c r="BXO281" s="885"/>
      <c r="BXP281" s="885"/>
      <c r="BXQ281" s="885"/>
      <c r="BXR281" s="885"/>
      <c r="BXS281" s="885"/>
      <c r="BXT281" s="885"/>
      <c r="BXU281" s="885"/>
      <c r="BXV281" s="885"/>
      <c r="BXW281" s="885"/>
      <c r="BXX281" s="885"/>
      <c r="BXY281" s="885"/>
      <c r="BXZ281" s="885"/>
      <c r="BYA281" s="885"/>
      <c r="BYB281" s="885"/>
      <c r="BYC281" s="885"/>
      <c r="BYD281" s="885"/>
      <c r="BYE281" s="885"/>
      <c r="BYF281" s="885"/>
      <c r="BYG281" s="885"/>
      <c r="BYH281" s="885"/>
      <c r="BYI281" s="885"/>
      <c r="BYJ281" s="885"/>
      <c r="BYK281" s="885"/>
      <c r="BYL281" s="885"/>
      <c r="BYM281" s="885"/>
      <c r="BYN281" s="885"/>
      <c r="BYO281" s="885"/>
      <c r="BYP281" s="885"/>
      <c r="BYQ281" s="885"/>
      <c r="BYR281" s="885"/>
      <c r="BYS281" s="885"/>
      <c r="BYT281" s="885"/>
      <c r="BYU281" s="885"/>
      <c r="BYV281" s="885"/>
      <c r="BYW281" s="885"/>
      <c r="BYX281" s="885"/>
      <c r="BYY281" s="885"/>
      <c r="BYZ281" s="885"/>
      <c r="BZA281" s="885"/>
      <c r="BZB281" s="885"/>
      <c r="BZC281" s="885"/>
      <c r="BZD281" s="885"/>
      <c r="BZE281" s="885"/>
      <c r="BZF281" s="885"/>
      <c r="BZG281" s="885"/>
      <c r="BZH281" s="885"/>
      <c r="BZI281" s="885"/>
      <c r="BZJ281" s="885"/>
      <c r="BZK281" s="885"/>
      <c r="BZL281" s="885"/>
      <c r="BZM281" s="885"/>
      <c r="BZN281" s="885"/>
      <c r="BZO281" s="885"/>
      <c r="BZP281" s="885"/>
      <c r="BZQ281" s="885"/>
      <c r="BZR281" s="885"/>
      <c r="BZS281" s="885"/>
      <c r="BZT281" s="885"/>
      <c r="BZU281" s="885"/>
      <c r="BZV281" s="885"/>
      <c r="BZW281" s="885"/>
      <c r="BZX281" s="885"/>
      <c r="BZY281" s="885"/>
      <c r="BZZ281" s="885"/>
      <c r="CAA281" s="885"/>
      <c r="CAB281" s="885"/>
      <c r="CAC281" s="885"/>
      <c r="CAD281" s="885"/>
      <c r="CAE281" s="885"/>
      <c r="CAF281" s="885"/>
      <c r="CAG281" s="885"/>
      <c r="CAH281" s="885"/>
      <c r="CAI281" s="885"/>
      <c r="CAJ281" s="885"/>
      <c r="CAK281" s="885"/>
      <c r="CAL281" s="885"/>
      <c r="CAM281" s="885"/>
      <c r="CAN281" s="885"/>
      <c r="CAO281" s="885"/>
      <c r="CAP281" s="885"/>
      <c r="CAQ281" s="885"/>
      <c r="CAR281" s="885"/>
      <c r="CAS281" s="885"/>
      <c r="CAT281" s="885"/>
      <c r="CAU281" s="885"/>
      <c r="CAV281" s="885"/>
      <c r="CAW281" s="885"/>
      <c r="CAX281" s="885"/>
      <c r="CAY281" s="885"/>
      <c r="CAZ281" s="885"/>
      <c r="CBA281" s="885"/>
      <c r="CBB281" s="885"/>
      <c r="CBC281" s="885"/>
      <c r="CBD281" s="885"/>
      <c r="CBE281" s="885"/>
      <c r="CBF281" s="885"/>
      <c r="CBG281" s="885"/>
      <c r="CBH281" s="885"/>
      <c r="CBI281" s="885"/>
      <c r="CBJ281" s="885"/>
      <c r="CBK281" s="885"/>
      <c r="CBL281" s="885"/>
      <c r="CBM281" s="885"/>
      <c r="CBN281" s="885"/>
      <c r="CBO281" s="885"/>
      <c r="CBP281" s="885"/>
      <c r="CBQ281" s="885"/>
      <c r="CBR281" s="885"/>
      <c r="CBS281" s="885"/>
      <c r="CBT281" s="885"/>
      <c r="CBU281" s="885"/>
      <c r="CBV281" s="885"/>
      <c r="CBW281" s="885"/>
      <c r="CBX281" s="885"/>
      <c r="CBY281" s="885"/>
      <c r="CBZ281" s="885"/>
      <c r="CCA281" s="885"/>
      <c r="CCB281" s="885"/>
      <c r="CCC281" s="885"/>
      <c r="CCD281" s="885"/>
      <c r="CCE281" s="885"/>
      <c r="CCF281" s="885"/>
      <c r="CCG281" s="885"/>
      <c r="CCH281" s="885"/>
      <c r="CCI281" s="885"/>
      <c r="CCJ281" s="885"/>
      <c r="CCK281" s="885"/>
      <c r="CCL281" s="885"/>
      <c r="CCM281" s="885"/>
      <c r="CCN281" s="885"/>
      <c r="CCO281" s="885"/>
      <c r="CCP281" s="885"/>
      <c r="CCQ281" s="885"/>
      <c r="CCR281" s="885"/>
      <c r="CCS281" s="885"/>
      <c r="CCT281" s="885"/>
      <c r="CCU281" s="885"/>
      <c r="CCV281" s="885"/>
      <c r="CCW281" s="885"/>
      <c r="CCX281" s="885"/>
      <c r="CCY281" s="885"/>
      <c r="CCZ281" s="885"/>
      <c r="CDA281" s="885"/>
      <c r="CDB281" s="885"/>
      <c r="CDC281" s="885"/>
      <c r="CDD281" s="885"/>
      <c r="CDE281" s="885"/>
      <c r="CDF281" s="885"/>
      <c r="CDG281" s="885"/>
      <c r="CDH281" s="885"/>
      <c r="CDI281" s="885"/>
      <c r="CDJ281" s="885"/>
      <c r="CDK281" s="885"/>
      <c r="CDL281" s="885"/>
      <c r="CDM281" s="885"/>
      <c r="CDN281" s="885"/>
      <c r="CDO281" s="885"/>
      <c r="CDP281" s="885"/>
      <c r="CDQ281" s="885"/>
      <c r="CDR281" s="885"/>
      <c r="CDS281" s="885"/>
      <c r="CDT281" s="885"/>
      <c r="CDU281" s="885"/>
      <c r="CDV281" s="885"/>
      <c r="CDW281" s="885"/>
      <c r="CDX281" s="885"/>
      <c r="CDY281" s="885"/>
      <c r="CDZ281" s="885"/>
      <c r="CEA281" s="885"/>
      <c r="CEB281" s="885"/>
      <c r="CEC281" s="885"/>
      <c r="CED281" s="885"/>
      <c r="CEE281" s="885"/>
      <c r="CEF281" s="885"/>
      <c r="CEG281" s="885"/>
      <c r="CEH281" s="885"/>
      <c r="CEI281" s="885"/>
      <c r="CEJ281" s="885"/>
      <c r="CEK281" s="885"/>
      <c r="CEL281" s="885"/>
      <c r="CEM281" s="885"/>
      <c r="CEN281" s="885"/>
      <c r="CEO281" s="885"/>
      <c r="CEP281" s="885"/>
      <c r="CEQ281" s="885"/>
      <c r="CER281" s="885"/>
      <c r="CES281" s="885"/>
      <c r="CET281" s="885"/>
      <c r="CEU281" s="885"/>
      <c r="CEV281" s="885"/>
      <c r="CEW281" s="885"/>
      <c r="CEX281" s="885"/>
      <c r="CEY281" s="885"/>
      <c r="CEZ281" s="885"/>
      <c r="CFA281" s="885"/>
      <c r="CFB281" s="885"/>
      <c r="CFC281" s="885"/>
      <c r="CFD281" s="885"/>
      <c r="CFE281" s="885"/>
      <c r="CFF281" s="885"/>
      <c r="CFG281" s="885"/>
      <c r="CFH281" s="885"/>
      <c r="CFI281" s="885"/>
      <c r="CFJ281" s="885"/>
      <c r="CFK281" s="885"/>
      <c r="CFL281" s="885"/>
      <c r="CFM281" s="885"/>
      <c r="CFN281" s="885"/>
      <c r="CFO281" s="885"/>
      <c r="CFP281" s="885"/>
      <c r="CFQ281" s="885"/>
      <c r="CFR281" s="885"/>
      <c r="CFS281" s="885"/>
      <c r="CFT281" s="885"/>
      <c r="CFU281" s="885"/>
      <c r="CFV281" s="885"/>
      <c r="CFW281" s="885"/>
      <c r="CFX281" s="885"/>
      <c r="CFY281" s="885"/>
      <c r="CFZ281" s="885"/>
      <c r="CGA281" s="885"/>
      <c r="CGB281" s="885"/>
      <c r="CGC281" s="885"/>
      <c r="CGD281" s="885"/>
      <c r="CGE281" s="885"/>
      <c r="CGF281" s="885"/>
      <c r="CGG281" s="885"/>
      <c r="CGH281" s="885"/>
      <c r="CGI281" s="885"/>
      <c r="CGJ281" s="885"/>
      <c r="CGK281" s="885"/>
      <c r="CGL281" s="885"/>
      <c r="CGM281" s="885"/>
      <c r="CGN281" s="885"/>
      <c r="CGO281" s="885"/>
      <c r="CGP281" s="885"/>
      <c r="CGQ281" s="885"/>
      <c r="CGR281" s="885"/>
      <c r="CGS281" s="885"/>
      <c r="CGT281" s="885"/>
      <c r="CGU281" s="885"/>
      <c r="CGV281" s="885"/>
      <c r="CGW281" s="885"/>
      <c r="CGX281" s="885"/>
      <c r="CGY281" s="885"/>
      <c r="CGZ281" s="885"/>
      <c r="CHA281" s="885"/>
      <c r="CHB281" s="885"/>
      <c r="CHC281" s="885"/>
      <c r="CHD281" s="885"/>
      <c r="CHE281" s="885"/>
      <c r="CHF281" s="885"/>
      <c r="CHG281" s="885"/>
      <c r="CHH281" s="885"/>
      <c r="CHI281" s="885"/>
      <c r="CHJ281" s="885"/>
      <c r="CHK281" s="885"/>
      <c r="CHL281" s="885"/>
      <c r="CHM281" s="885"/>
      <c r="CHN281" s="885"/>
      <c r="CHO281" s="885"/>
      <c r="CHP281" s="885"/>
      <c r="CHQ281" s="885"/>
      <c r="CHR281" s="885"/>
      <c r="CHS281" s="885"/>
      <c r="CHT281" s="885"/>
      <c r="CHU281" s="885"/>
      <c r="CHV281" s="885"/>
      <c r="CHW281" s="885"/>
      <c r="CHX281" s="885"/>
      <c r="CHY281" s="885"/>
      <c r="CHZ281" s="885"/>
      <c r="CIA281" s="885"/>
      <c r="CIB281" s="885"/>
      <c r="CIC281" s="885"/>
      <c r="CID281" s="885"/>
      <c r="CIE281" s="885"/>
      <c r="CIF281" s="885"/>
      <c r="CIG281" s="885"/>
      <c r="CIH281" s="885"/>
      <c r="CII281" s="885"/>
      <c r="CIJ281" s="885"/>
      <c r="CIK281" s="885"/>
      <c r="CIL281" s="885"/>
      <c r="CIM281" s="885"/>
      <c r="CIN281" s="885"/>
      <c r="CIO281" s="885"/>
      <c r="CIP281" s="885"/>
      <c r="CIQ281" s="885"/>
      <c r="CIR281" s="885"/>
      <c r="CIS281" s="885"/>
      <c r="CIT281" s="885"/>
      <c r="CIU281" s="885"/>
      <c r="CIV281" s="885"/>
      <c r="CIW281" s="885"/>
      <c r="CIX281" s="885"/>
      <c r="CIY281" s="885"/>
      <c r="CIZ281" s="885"/>
      <c r="CJA281" s="885"/>
      <c r="CJB281" s="885"/>
      <c r="CJC281" s="885"/>
      <c r="CJD281" s="885"/>
      <c r="CJE281" s="885"/>
      <c r="CJF281" s="885"/>
      <c r="CJG281" s="885"/>
      <c r="CJH281" s="885"/>
      <c r="CJI281" s="885"/>
      <c r="CJJ281" s="885"/>
      <c r="CJK281" s="885"/>
      <c r="CJL281" s="885"/>
      <c r="CJM281" s="885"/>
      <c r="CJN281" s="885"/>
      <c r="CJO281" s="885"/>
      <c r="CJP281" s="885"/>
      <c r="CJQ281" s="885"/>
      <c r="CJR281" s="885"/>
      <c r="CJS281" s="885"/>
      <c r="CJT281" s="885"/>
      <c r="CJU281" s="885"/>
      <c r="CJV281" s="885"/>
      <c r="CJW281" s="885"/>
      <c r="CJX281" s="885"/>
      <c r="CJY281" s="885"/>
      <c r="CJZ281" s="885"/>
      <c r="CKA281" s="885"/>
      <c r="CKB281" s="885"/>
      <c r="CKC281" s="885"/>
      <c r="CKD281" s="885"/>
      <c r="CKE281" s="885"/>
      <c r="CKF281" s="885"/>
      <c r="CKG281" s="885"/>
      <c r="CKH281" s="885"/>
      <c r="CKI281" s="885"/>
      <c r="CKJ281" s="885"/>
      <c r="CKK281" s="885"/>
      <c r="CKL281" s="885"/>
      <c r="CKM281" s="885"/>
      <c r="CKN281" s="885"/>
      <c r="CKO281" s="885"/>
      <c r="CKP281" s="885"/>
      <c r="CKQ281" s="885"/>
      <c r="CKR281" s="885"/>
      <c r="CKS281" s="885"/>
      <c r="CKT281" s="885"/>
      <c r="CKU281" s="885"/>
      <c r="CKV281" s="885"/>
      <c r="CKW281" s="885"/>
      <c r="CKX281" s="885"/>
      <c r="CKY281" s="885"/>
      <c r="CKZ281" s="885"/>
      <c r="CLA281" s="885"/>
      <c r="CLB281" s="885"/>
      <c r="CLC281" s="885"/>
      <c r="CLD281" s="885"/>
      <c r="CLE281" s="885"/>
      <c r="CLF281" s="885"/>
      <c r="CLG281" s="885"/>
      <c r="CLH281" s="885"/>
      <c r="CLI281" s="885"/>
      <c r="CLJ281" s="885"/>
      <c r="CLK281" s="885"/>
      <c r="CLL281" s="885"/>
      <c r="CLM281" s="885"/>
      <c r="CLN281" s="885"/>
      <c r="CLO281" s="885"/>
      <c r="CLP281" s="885"/>
      <c r="CLQ281" s="885"/>
      <c r="CLR281" s="885"/>
      <c r="CLS281" s="885"/>
      <c r="CLT281" s="885"/>
      <c r="CLU281" s="885"/>
      <c r="CLV281" s="885"/>
      <c r="CLW281" s="885"/>
      <c r="CLX281" s="885"/>
      <c r="CLY281" s="885"/>
      <c r="CLZ281" s="885"/>
      <c r="CMA281" s="885"/>
      <c r="CMB281" s="885"/>
      <c r="CMC281" s="885"/>
      <c r="CMD281" s="885"/>
      <c r="CME281" s="885"/>
      <c r="CMF281" s="885"/>
      <c r="CMG281" s="885"/>
      <c r="CMH281" s="885"/>
      <c r="CMI281" s="885"/>
      <c r="CMJ281" s="885"/>
      <c r="CMK281" s="885"/>
      <c r="CML281" s="885"/>
      <c r="CMM281" s="885"/>
      <c r="CMN281" s="885"/>
      <c r="CMO281" s="885"/>
      <c r="CMP281" s="885"/>
      <c r="CMQ281" s="885"/>
      <c r="CMR281" s="885"/>
      <c r="CMS281" s="885"/>
      <c r="CMT281" s="885"/>
      <c r="CMU281" s="885"/>
      <c r="CMV281" s="885"/>
      <c r="CMW281" s="885"/>
      <c r="CMX281" s="885"/>
      <c r="CMY281" s="885"/>
      <c r="CMZ281" s="885"/>
      <c r="CNA281" s="885"/>
      <c r="CNB281" s="885"/>
      <c r="CNC281" s="885"/>
      <c r="CND281" s="885"/>
      <c r="CNE281" s="885"/>
      <c r="CNF281" s="885"/>
      <c r="CNG281" s="885"/>
      <c r="CNH281" s="885"/>
      <c r="CNI281" s="885"/>
      <c r="CNJ281" s="885"/>
      <c r="CNK281" s="885"/>
      <c r="CNL281" s="885"/>
      <c r="CNM281" s="885"/>
      <c r="CNN281" s="885"/>
      <c r="CNO281" s="885"/>
      <c r="CNP281" s="885"/>
      <c r="CNQ281" s="885"/>
      <c r="CNR281" s="885"/>
      <c r="CNS281" s="885"/>
      <c r="CNT281" s="885"/>
      <c r="CNU281" s="885"/>
      <c r="CNV281" s="885"/>
      <c r="CNW281" s="885"/>
      <c r="CNX281" s="885"/>
      <c r="CNY281" s="885"/>
      <c r="CNZ281" s="885"/>
      <c r="COA281" s="885"/>
      <c r="COB281" s="885"/>
      <c r="COC281" s="885"/>
      <c r="COD281" s="885"/>
      <c r="COE281" s="885"/>
      <c r="COF281" s="885"/>
      <c r="COG281" s="885"/>
      <c r="COH281" s="885"/>
      <c r="COI281" s="885"/>
      <c r="COJ281" s="885"/>
      <c r="COK281" s="885"/>
      <c r="COL281" s="885"/>
      <c r="COM281" s="885"/>
      <c r="CON281" s="885"/>
      <c r="COO281" s="885"/>
      <c r="COP281" s="885"/>
      <c r="COQ281" s="885"/>
      <c r="COR281" s="885"/>
      <c r="COS281" s="885"/>
      <c r="COT281" s="885"/>
      <c r="COU281" s="885"/>
      <c r="COV281" s="885"/>
      <c r="COW281" s="885"/>
      <c r="COX281" s="885"/>
      <c r="COY281" s="885"/>
      <c r="COZ281" s="885"/>
      <c r="CPA281" s="885"/>
      <c r="CPB281" s="885"/>
      <c r="CPC281" s="885"/>
      <c r="CPD281" s="885"/>
      <c r="CPE281" s="885"/>
      <c r="CPF281" s="885"/>
      <c r="CPG281" s="885"/>
      <c r="CPH281" s="885"/>
      <c r="CPI281" s="885"/>
      <c r="CPJ281" s="885"/>
      <c r="CPK281" s="885"/>
      <c r="CPL281" s="885"/>
      <c r="CPM281" s="885"/>
      <c r="CPN281" s="885"/>
      <c r="CPO281" s="885"/>
      <c r="CPP281" s="885"/>
      <c r="CPQ281" s="885"/>
      <c r="CPR281" s="885"/>
      <c r="CPS281" s="885"/>
      <c r="CPT281" s="885"/>
      <c r="CPU281" s="885"/>
      <c r="CPV281" s="885"/>
      <c r="CPW281" s="885"/>
      <c r="CPX281" s="885"/>
      <c r="CPY281" s="885"/>
      <c r="CPZ281" s="885"/>
      <c r="CQA281" s="885"/>
      <c r="CQB281" s="885"/>
      <c r="CQC281" s="885"/>
      <c r="CQD281" s="885"/>
      <c r="CQE281" s="885"/>
      <c r="CQF281" s="885"/>
      <c r="CQG281" s="885"/>
      <c r="CQH281" s="885"/>
      <c r="CQI281" s="885"/>
      <c r="CQJ281" s="885"/>
      <c r="CQK281" s="885"/>
      <c r="CQL281" s="885"/>
      <c r="CQM281" s="885"/>
      <c r="CQN281" s="885"/>
      <c r="CQO281" s="885"/>
      <c r="CQP281" s="885"/>
      <c r="CQQ281" s="885"/>
      <c r="CQR281" s="885"/>
      <c r="CQS281" s="885"/>
      <c r="CQT281" s="885"/>
      <c r="CQU281" s="885"/>
      <c r="CQV281" s="885"/>
      <c r="CQW281" s="885"/>
      <c r="CQX281" s="885"/>
      <c r="CQY281" s="885"/>
      <c r="CQZ281" s="885"/>
      <c r="CRA281" s="885"/>
      <c r="CRB281" s="885"/>
      <c r="CRC281" s="885"/>
      <c r="CRD281" s="885"/>
      <c r="CRE281" s="885"/>
      <c r="CRF281" s="885"/>
      <c r="CRG281" s="885"/>
      <c r="CRH281" s="885"/>
      <c r="CRI281" s="885"/>
      <c r="CRJ281" s="885"/>
      <c r="CRK281" s="885"/>
      <c r="CRL281" s="885"/>
      <c r="CRM281" s="885"/>
      <c r="CRN281" s="885"/>
      <c r="CRO281" s="885"/>
      <c r="CRP281" s="885"/>
      <c r="CRQ281" s="885"/>
      <c r="CRR281" s="885"/>
      <c r="CRS281" s="885"/>
      <c r="CRT281" s="885"/>
      <c r="CRU281" s="885"/>
      <c r="CRV281" s="885"/>
      <c r="CRW281" s="885"/>
      <c r="CRX281" s="885"/>
      <c r="CRY281" s="885"/>
      <c r="CRZ281" s="885"/>
      <c r="CSA281" s="885"/>
      <c r="CSB281" s="885"/>
      <c r="CSC281" s="885"/>
      <c r="CSD281" s="885"/>
      <c r="CSE281" s="885"/>
      <c r="CSF281" s="885"/>
      <c r="CSG281" s="885"/>
      <c r="CSH281" s="885"/>
      <c r="CSI281" s="885"/>
      <c r="CSJ281" s="885"/>
      <c r="CSK281" s="885"/>
      <c r="CSL281" s="885"/>
      <c r="CSM281" s="885"/>
      <c r="CSN281" s="885"/>
      <c r="CSO281" s="885"/>
      <c r="CSP281" s="885"/>
      <c r="CSQ281" s="885"/>
      <c r="CSR281" s="885"/>
      <c r="CSS281" s="885"/>
      <c r="CST281" s="885"/>
      <c r="CSU281" s="885"/>
      <c r="CSV281" s="885"/>
      <c r="CSW281" s="885"/>
      <c r="CSX281" s="885"/>
      <c r="CSY281" s="885"/>
      <c r="CSZ281" s="885"/>
      <c r="CTA281" s="885"/>
      <c r="CTB281" s="885"/>
      <c r="CTC281" s="885"/>
      <c r="CTD281" s="885"/>
      <c r="CTE281" s="885"/>
      <c r="CTF281" s="885"/>
      <c r="CTG281" s="885"/>
      <c r="CTH281" s="885"/>
      <c r="CTI281" s="885"/>
      <c r="CTJ281" s="885"/>
      <c r="CTK281" s="885"/>
      <c r="CTL281" s="885"/>
      <c r="CTM281" s="885"/>
      <c r="CTN281" s="885"/>
      <c r="CTO281" s="885"/>
      <c r="CTP281" s="885"/>
      <c r="CTQ281" s="885"/>
      <c r="CTR281" s="885"/>
      <c r="CTS281" s="885"/>
      <c r="CTT281" s="885"/>
      <c r="CTU281" s="885"/>
      <c r="CTV281" s="885"/>
      <c r="CTW281" s="885"/>
      <c r="CTX281" s="885"/>
      <c r="CTY281" s="885"/>
      <c r="CTZ281" s="885"/>
      <c r="CUA281" s="885"/>
      <c r="CUB281" s="885"/>
      <c r="CUC281" s="885"/>
      <c r="CUD281" s="885"/>
      <c r="CUE281" s="885"/>
      <c r="CUF281" s="885"/>
      <c r="CUG281" s="885"/>
      <c r="CUH281" s="885"/>
      <c r="CUI281" s="885"/>
      <c r="CUJ281" s="885"/>
      <c r="CUK281" s="885"/>
      <c r="CUL281" s="885"/>
      <c r="CUM281" s="885"/>
      <c r="CUN281" s="885"/>
      <c r="CUO281" s="885"/>
      <c r="CUP281" s="885"/>
      <c r="CUQ281" s="885"/>
      <c r="CUR281" s="885"/>
      <c r="CUS281" s="885"/>
      <c r="CUT281" s="885"/>
      <c r="CUU281" s="885"/>
      <c r="CUV281" s="885"/>
      <c r="CUW281" s="885"/>
      <c r="CUX281" s="885"/>
      <c r="CUY281" s="885"/>
      <c r="CUZ281" s="885"/>
      <c r="CVA281" s="885"/>
      <c r="CVB281" s="885"/>
      <c r="CVC281" s="885"/>
      <c r="CVD281" s="885"/>
      <c r="CVE281" s="885"/>
      <c r="CVF281" s="885"/>
      <c r="CVG281" s="885"/>
      <c r="CVH281" s="885"/>
      <c r="CVI281" s="885"/>
      <c r="CVJ281" s="885"/>
      <c r="CVK281" s="885"/>
      <c r="CVL281" s="885"/>
      <c r="CVM281" s="885"/>
      <c r="CVN281" s="885"/>
      <c r="CVO281" s="885"/>
      <c r="CVP281" s="885"/>
      <c r="CVQ281" s="885"/>
      <c r="CVR281" s="885"/>
      <c r="CVS281" s="885"/>
      <c r="CVT281" s="885"/>
      <c r="CVU281" s="885"/>
      <c r="CVV281" s="885"/>
      <c r="CVW281" s="885"/>
      <c r="CVX281" s="885"/>
      <c r="CVY281" s="885"/>
      <c r="CVZ281" s="885"/>
      <c r="CWA281" s="885"/>
      <c r="CWB281" s="885"/>
      <c r="CWC281" s="885"/>
      <c r="CWD281" s="885"/>
      <c r="CWE281" s="885"/>
      <c r="CWF281" s="885"/>
      <c r="CWG281" s="885"/>
      <c r="CWH281" s="885"/>
      <c r="CWI281" s="885"/>
      <c r="CWJ281" s="885"/>
      <c r="CWK281" s="885"/>
      <c r="CWL281" s="885"/>
      <c r="CWM281" s="885"/>
      <c r="CWN281" s="885"/>
      <c r="CWO281" s="885"/>
      <c r="CWP281" s="885"/>
      <c r="CWQ281" s="885"/>
      <c r="CWR281" s="885"/>
      <c r="CWS281" s="885"/>
      <c r="CWT281" s="885"/>
      <c r="CWU281" s="885"/>
      <c r="CWV281" s="885"/>
      <c r="CWW281" s="885"/>
      <c r="CWX281" s="885"/>
      <c r="CWY281" s="885"/>
      <c r="CWZ281" s="885"/>
      <c r="CXA281" s="885"/>
      <c r="CXB281" s="885"/>
      <c r="CXC281" s="885"/>
      <c r="CXD281" s="885"/>
      <c r="CXE281" s="885"/>
      <c r="CXF281" s="885"/>
      <c r="CXG281" s="885"/>
      <c r="CXH281" s="885"/>
      <c r="CXI281" s="885"/>
      <c r="CXJ281" s="885"/>
      <c r="CXK281" s="885"/>
      <c r="CXL281" s="885"/>
      <c r="CXM281" s="885"/>
      <c r="CXN281" s="885"/>
      <c r="CXO281" s="885"/>
      <c r="CXP281" s="885"/>
      <c r="CXQ281" s="885"/>
      <c r="CXR281" s="885"/>
      <c r="CXS281" s="885"/>
      <c r="CXT281" s="885"/>
      <c r="CXU281" s="885"/>
      <c r="CXV281" s="885"/>
      <c r="CXW281" s="885"/>
      <c r="CXX281" s="885"/>
      <c r="CXY281" s="885"/>
      <c r="CXZ281" s="885"/>
      <c r="CYA281" s="885"/>
      <c r="CYB281" s="885"/>
      <c r="CYC281" s="885"/>
      <c r="CYD281" s="885"/>
      <c r="CYE281" s="885"/>
      <c r="CYF281" s="885"/>
      <c r="CYG281" s="885"/>
      <c r="CYH281" s="885"/>
      <c r="CYI281" s="885"/>
      <c r="CYJ281" s="885"/>
      <c r="CYK281" s="885"/>
      <c r="CYL281" s="885"/>
      <c r="CYM281" s="885"/>
      <c r="CYN281" s="885"/>
      <c r="CYO281" s="885"/>
      <c r="CYP281" s="885"/>
      <c r="CYQ281" s="885"/>
      <c r="CYR281" s="885"/>
      <c r="CYS281" s="885"/>
      <c r="CYT281" s="885"/>
      <c r="CYU281" s="885"/>
      <c r="CYV281" s="885"/>
      <c r="CYW281" s="885"/>
      <c r="CYX281" s="885"/>
      <c r="CYY281" s="885"/>
      <c r="CYZ281" s="885"/>
      <c r="CZA281" s="885"/>
      <c r="CZB281" s="885"/>
      <c r="CZC281" s="885"/>
      <c r="CZD281" s="885"/>
      <c r="CZE281" s="885"/>
      <c r="CZF281" s="885"/>
      <c r="CZG281" s="885"/>
      <c r="CZH281" s="885"/>
      <c r="CZI281" s="885"/>
      <c r="CZJ281" s="885"/>
      <c r="CZK281" s="885"/>
      <c r="CZL281" s="885"/>
      <c r="CZM281" s="885"/>
      <c r="CZN281" s="885"/>
      <c r="CZO281" s="885"/>
      <c r="CZP281" s="885"/>
      <c r="CZQ281" s="885"/>
      <c r="CZR281" s="885"/>
      <c r="CZS281" s="885"/>
      <c r="CZT281" s="885"/>
      <c r="CZU281" s="885"/>
      <c r="CZV281" s="885"/>
      <c r="CZW281" s="885"/>
      <c r="CZX281" s="885"/>
      <c r="CZY281" s="885"/>
      <c r="CZZ281" s="885"/>
      <c r="DAA281" s="885"/>
      <c r="DAB281" s="885"/>
      <c r="DAC281" s="885"/>
      <c r="DAD281" s="885"/>
      <c r="DAE281" s="885"/>
      <c r="DAF281" s="885"/>
      <c r="DAG281" s="885"/>
      <c r="DAH281" s="885"/>
      <c r="DAI281" s="885"/>
      <c r="DAJ281" s="885"/>
      <c r="DAK281" s="885"/>
      <c r="DAL281" s="885"/>
      <c r="DAM281" s="885"/>
      <c r="DAN281" s="885"/>
      <c r="DAO281" s="885"/>
      <c r="DAP281" s="885"/>
      <c r="DAQ281" s="885"/>
      <c r="DAR281" s="885"/>
      <c r="DAS281" s="885"/>
      <c r="DAT281" s="885"/>
      <c r="DAU281" s="885"/>
      <c r="DAV281" s="885"/>
      <c r="DAW281" s="885"/>
      <c r="DAX281" s="885"/>
      <c r="DAY281" s="885"/>
      <c r="DAZ281" s="885"/>
      <c r="DBA281" s="885"/>
      <c r="DBB281" s="885"/>
      <c r="DBC281" s="885"/>
      <c r="DBD281" s="885"/>
      <c r="DBE281" s="885"/>
      <c r="DBF281" s="885"/>
      <c r="DBG281" s="885"/>
      <c r="DBH281" s="885"/>
      <c r="DBI281" s="885"/>
      <c r="DBJ281" s="885"/>
      <c r="DBK281" s="885"/>
      <c r="DBL281" s="885"/>
      <c r="DBM281" s="885"/>
      <c r="DBN281" s="885"/>
      <c r="DBO281" s="885"/>
      <c r="DBP281" s="885"/>
      <c r="DBQ281" s="885"/>
      <c r="DBR281" s="885"/>
      <c r="DBS281" s="885"/>
      <c r="DBT281" s="885"/>
      <c r="DBU281" s="885"/>
      <c r="DBV281" s="885"/>
      <c r="DBW281" s="885"/>
      <c r="DBX281" s="885"/>
      <c r="DBY281" s="885"/>
      <c r="DBZ281" s="885"/>
      <c r="DCA281" s="885"/>
      <c r="DCB281" s="885"/>
      <c r="DCC281" s="885"/>
      <c r="DCD281" s="885"/>
      <c r="DCE281" s="885"/>
      <c r="DCF281" s="885"/>
      <c r="DCG281" s="885"/>
      <c r="DCH281" s="885"/>
      <c r="DCI281" s="885"/>
      <c r="DCJ281" s="885"/>
      <c r="DCK281" s="885"/>
      <c r="DCL281" s="885"/>
      <c r="DCM281" s="885"/>
      <c r="DCN281" s="885"/>
      <c r="DCO281" s="885"/>
      <c r="DCP281" s="885"/>
      <c r="DCQ281" s="885"/>
      <c r="DCR281" s="885"/>
      <c r="DCS281" s="885"/>
      <c r="DCT281" s="885"/>
      <c r="DCU281" s="885"/>
      <c r="DCV281" s="885"/>
      <c r="DCW281" s="885"/>
      <c r="DCX281" s="885"/>
      <c r="DCY281" s="885"/>
      <c r="DCZ281" s="885"/>
      <c r="DDA281" s="885"/>
      <c r="DDB281" s="885"/>
      <c r="DDC281" s="885"/>
      <c r="DDD281" s="885"/>
      <c r="DDE281" s="885"/>
      <c r="DDF281" s="885"/>
      <c r="DDG281" s="885"/>
      <c r="DDH281" s="885"/>
      <c r="DDI281" s="885"/>
      <c r="DDJ281" s="885"/>
      <c r="DDK281" s="885"/>
      <c r="DDL281" s="885"/>
      <c r="DDM281" s="885"/>
      <c r="DDN281" s="885"/>
      <c r="DDO281" s="885"/>
      <c r="DDP281" s="885"/>
      <c r="DDQ281" s="885"/>
      <c r="DDR281" s="885"/>
      <c r="DDS281" s="885"/>
      <c r="DDT281" s="885"/>
      <c r="DDU281" s="885"/>
      <c r="DDV281" s="885"/>
      <c r="DDW281" s="885"/>
      <c r="DDX281" s="885"/>
      <c r="DDY281" s="885"/>
      <c r="DDZ281" s="885"/>
      <c r="DEA281" s="885"/>
      <c r="DEB281" s="885"/>
      <c r="DEC281" s="885"/>
      <c r="DED281" s="885"/>
      <c r="DEE281" s="885"/>
      <c r="DEF281" s="885"/>
      <c r="DEG281" s="885"/>
      <c r="DEH281" s="885"/>
      <c r="DEI281" s="885"/>
      <c r="DEJ281" s="885"/>
      <c r="DEK281" s="885"/>
      <c r="DEL281" s="885"/>
      <c r="DEM281" s="885"/>
      <c r="DEN281" s="885"/>
      <c r="DEO281" s="885"/>
      <c r="DEP281" s="885"/>
      <c r="DEQ281" s="885"/>
      <c r="DER281" s="885"/>
      <c r="DES281" s="885"/>
      <c r="DET281" s="885"/>
      <c r="DEU281" s="885"/>
      <c r="DEV281" s="885"/>
      <c r="DEW281" s="885"/>
      <c r="DEX281" s="885"/>
      <c r="DEY281" s="885"/>
      <c r="DEZ281" s="885"/>
      <c r="DFA281" s="885"/>
      <c r="DFB281" s="885"/>
      <c r="DFC281" s="885"/>
      <c r="DFD281" s="885"/>
      <c r="DFE281" s="885"/>
      <c r="DFF281" s="885"/>
      <c r="DFG281" s="885"/>
      <c r="DFH281" s="885"/>
      <c r="DFI281" s="885"/>
      <c r="DFJ281" s="885"/>
      <c r="DFK281" s="885"/>
      <c r="DFL281" s="885"/>
      <c r="DFM281" s="885"/>
      <c r="DFN281" s="885"/>
      <c r="DFO281" s="885"/>
      <c r="DFP281" s="885"/>
      <c r="DFQ281" s="885"/>
      <c r="DFR281" s="885"/>
      <c r="DFS281" s="885"/>
      <c r="DFT281" s="885"/>
      <c r="DFU281" s="885"/>
      <c r="DFV281" s="885"/>
      <c r="DFW281" s="885"/>
      <c r="DFX281" s="885"/>
      <c r="DFY281" s="885"/>
      <c r="DFZ281" s="885"/>
      <c r="DGA281" s="885"/>
      <c r="DGB281" s="885"/>
      <c r="DGC281" s="885"/>
      <c r="DGD281" s="885"/>
      <c r="DGE281" s="885"/>
      <c r="DGF281" s="885"/>
      <c r="DGG281" s="885"/>
      <c r="DGH281" s="885"/>
      <c r="DGI281" s="885"/>
      <c r="DGJ281" s="885"/>
      <c r="DGK281" s="885"/>
      <c r="DGL281" s="885"/>
      <c r="DGM281" s="885"/>
      <c r="DGN281" s="885"/>
      <c r="DGO281" s="885"/>
      <c r="DGP281" s="885"/>
      <c r="DGQ281" s="885"/>
      <c r="DGR281" s="885"/>
      <c r="DGS281" s="885"/>
      <c r="DGT281" s="885"/>
      <c r="DGU281" s="885"/>
      <c r="DGV281" s="885"/>
      <c r="DGW281" s="885"/>
      <c r="DGX281" s="885"/>
      <c r="DGY281" s="885"/>
      <c r="DGZ281" s="885"/>
      <c r="DHA281" s="885"/>
      <c r="DHB281" s="885"/>
      <c r="DHC281" s="885"/>
      <c r="DHD281" s="885"/>
      <c r="DHE281" s="885"/>
      <c r="DHF281" s="885"/>
      <c r="DHG281" s="885"/>
      <c r="DHH281" s="885"/>
      <c r="DHI281" s="885"/>
      <c r="DHJ281" s="885"/>
      <c r="DHK281" s="885"/>
      <c r="DHL281" s="885"/>
      <c r="DHM281" s="885"/>
      <c r="DHN281" s="885"/>
      <c r="DHO281" s="885"/>
      <c r="DHP281" s="885"/>
      <c r="DHQ281" s="885"/>
      <c r="DHR281" s="885"/>
      <c r="DHS281" s="885"/>
      <c r="DHT281" s="885"/>
      <c r="DHU281" s="885"/>
      <c r="DHV281" s="885"/>
      <c r="DHW281" s="885"/>
      <c r="DHX281" s="885"/>
      <c r="DHY281" s="885"/>
      <c r="DHZ281" s="885"/>
      <c r="DIA281" s="885"/>
      <c r="DIB281" s="885"/>
      <c r="DIC281" s="885"/>
      <c r="DID281" s="885"/>
      <c r="DIE281" s="885"/>
      <c r="DIF281" s="885"/>
      <c r="DIG281" s="885"/>
      <c r="DIH281" s="885"/>
      <c r="DII281" s="885"/>
      <c r="DIJ281" s="885"/>
      <c r="DIK281" s="885"/>
      <c r="DIL281" s="885"/>
      <c r="DIM281" s="885"/>
      <c r="DIN281" s="885"/>
      <c r="DIO281" s="885"/>
      <c r="DIP281" s="885"/>
      <c r="DIQ281" s="885"/>
      <c r="DIR281" s="885"/>
      <c r="DIS281" s="885"/>
      <c r="DIT281" s="885"/>
      <c r="DIU281" s="885"/>
      <c r="DIV281" s="885"/>
      <c r="DIW281" s="885"/>
      <c r="DIX281" s="885"/>
      <c r="DIY281" s="885"/>
      <c r="DIZ281" s="885"/>
      <c r="DJA281" s="885"/>
      <c r="DJB281" s="885"/>
      <c r="DJC281" s="885"/>
      <c r="DJD281" s="885"/>
      <c r="DJE281" s="885"/>
      <c r="DJF281" s="885"/>
      <c r="DJG281" s="885"/>
      <c r="DJH281" s="885"/>
      <c r="DJI281" s="885"/>
      <c r="DJJ281" s="885"/>
      <c r="DJK281" s="885"/>
      <c r="DJL281" s="885"/>
      <c r="DJM281" s="885"/>
      <c r="DJN281" s="885"/>
      <c r="DJO281" s="885"/>
      <c r="DJP281" s="885"/>
      <c r="DJQ281" s="885"/>
      <c r="DJR281" s="885"/>
      <c r="DJS281" s="885"/>
      <c r="DJT281" s="885"/>
      <c r="DJU281" s="885"/>
      <c r="DJV281" s="885"/>
      <c r="DJW281" s="885"/>
      <c r="DJX281" s="885"/>
      <c r="DJY281" s="885"/>
      <c r="DJZ281" s="885"/>
      <c r="DKA281" s="885"/>
      <c r="DKB281" s="885"/>
      <c r="DKC281" s="885"/>
      <c r="DKD281" s="885"/>
      <c r="DKE281" s="885"/>
      <c r="DKF281" s="885"/>
      <c r="DKG281" s="885"/>
      <c r="DKH281" s="885"/>
      <c r="DKI281" s="885"/>
      <c r="DKJ281" s="885"/>
      <c r="DKK281" s="885"/>
      <c r="DKL281" s="885"/>
      <c r="DKM281" s="885"/>
      <c r="DKN281" s="885"/>
      <c r="DKO281" s="885"/>
      <c r="DKP281" s="885"/>
      <c r="DKQ281" s="885"/>
      <c r="DKR281" s="885"/>
      <c r="DKS281" s="885"/>
      <c r="DKT281" s="885"/>
      <c r="DKU281" s="885"/>
      <c r="DKV281" s="885"/>
      <c r="DKW281" s="885"/>
      <c r="DKX281" s="885"/>
      <c r="DKY281" s="885"/>
      <c r="DKZ281" s="885"/>
      <c r="DLA281" s="885"/>
      <c r="DLB281" s="885"/>
      <c r="DLC281" s="885"/>
      <c r="DLD281" s="885"/>
      <c r="DLE281" s="885"/>
      <c r="DLF281" s="885"/>
      <c r="DLG281" s="885"/>
      <c r="DLH281" s="885"/>
      <c r="DLI281" s="885"/>
      <c r="DLJ281" s="885"/>
      <c r="DLK281" s="885"/>
      <c r="DLL281" s="885"/>
      <c r="DLM281" s="885"/>
      <c r="DLN281" s="885"/>
      <c r="DLO281" s="885"/>
      <c r="DLP281" s="885"/>
      <c r="DLQ281" s="885"/>
      <c r="DLR281" s="885"/>
      <c r="DLS281" s="885"/>
      <c r="DLT281" s="885"/>
      <c r="DLU281" s="885"/>
      <c r="DLV281" s="885"/>
      <c r="DLW281" s="885"/>
      <c r="DLX281" s="885"/>
      <c r="DLY281" s="885"/>
      <c r="DLZ281" s="885"/>
      <c r="DMA281" s="885"/>
      <c r="DMB281" s="885"/>
      <c r="DMC281" s="885"/>
      <c r="DMD281" s="885"/>
      <c r="DME281" s="885"/>
      <c r="DMF281" s="885"/>
      <c r="DMG281" s="885"/>
      <c r="DMH281" s="885"/>
      <c r="DMI281" s="885"/>
      <c r="DMJ281" s="885"/>
      <c r="DMK281" s="885"/>
      <c r="DML281" s="885"/>
      <c r="DMM281" s="885"/>
      <c r="DMN281" s="885"/>
      <c r="DMO281" s="885"/>
      <c r="DMP281" s="885"/>
      <c r="DMQ281" s="885"/>
      <c r="DMR281" s="885"/>
      <c r="DMS281" s="885"/>
      <c r="DMT281" s="885"/>
      <c r="DMU281" s="885"/>
      <c r="DMV281" s="885"/>
      <c r="DMW281" s="885"/>
      <c r="DMX281" s="885"/>
      <c r="DMY281" s="885"/>
      <c r="DMZ281" s="885"/>
      <c r="DNA281" s="885"/>
      <c r="DNB281" s="885"/>
      <c r="DNC281" s="885"/>
      <c r="DND281" s="885"/>
      <c r="DNE281" s="885"/>
      <c r="DNF281" s="885"/>
      <c r="DNG281" s="885"/>
      <c r="DNH281" s="885"/>
      <c r="DNI281" s="885"/>
      <c r="DNJ281" s="885"/>
      <c r="DNK281" s="885"/>
      <c r="DNL281" s="885"/>
      <c r="DNM281" s="885"/>
      <c r="DNN281" s="885"/>
      <c r="DNO281" s="885"/>
      <c r="DNP281" s="885"/>
      <c r="DNQ281" s="885"/>
      <c r="DNR281" s="885"/>
      <c r="DNS281" s="885"/>
      <c r="DNT281" s="885"/>
      <c r="DNU281" s="885"/>
      <c r="DNV281" s="885"/>
      <c r="DNW281" s="885"/>
      <c r="DNX281" s="885"/>
      <c r="DNY281" s="885"/>
      <c r="DNZ281" s="885"/>
      <c r="DOA281" s="885"/>
      <c r="DOB281" s="885"/>
      <c r="DOC281" s="885"/>
      <c r="DOD281" s="885"/>
      <c r="DOE281" s="885"/>
      <c r="DOF281" s="885"/>
      <c r="DOG281" s="885"/>
      <c r="DOH281" s="885"/>
      <c r="DOI281" s="885"/>
      <c r="DOJ281" s="885"/>
      <c r="DOK281" s="885"/>
      <c r="DOL281" s="885"/>
      <c r="DOM281" s="885"/>
      <c r="DON281" s="885"/>
      <c r="DOO281" s="885"/>
      <c r="DOP281" s="885"/>
      <c r="DOQ281" s="885"/>
      <c r="DOR281" s="885"/>
      <c r="DOS281" s="885"/>
      <c r="DOT281" s="885"/>
      <c r="DOU281" s="885"/>
      <c r="DOV281" s="885"/>
      <c r="DOW281" s="885"/>
      <c r="DOX281" s="885"/>
      <c r="DOY281" s="885"/>
      <c r="DOZ281" s="885"/>
      <c r="DPA281" s="885"/>
      <c r="DPB281" s="885"/>
      <c r="DPC281" s="885"/>
      <c r="DPD281" s="885"/>
      <c r="DPE281" s="885"/>
      <c r="DPF281" s="885"/>
      <c r="DPG281" s="885"/>
      <c r="DPH281" s="885"/>
      <c r="DPI281" s="885"/>
      <c r="DPJ281" s="885"/>
      <c r="DPK281" s="885"/>
      <c r="DPL281" s="885"/>
      <c r="DPM281" s="885"/>
      <c r="DPN281" s="885"/>
      <c r="DPO281" s="885"/>
      <c r="DPP281" s="885"/>
      <c r="DPQ281" s="885"/>
      <c r="DPR281" s="885"/>
      <c r="DPS281" s="885"/>
      <c r="DPT281" s="885"/>
      <c r="DPU281" s="885"/>
      <c r="DPV281" s="885"/>
      <c r="DPW281" s="885"/>
      <c r="DPX281" s="885"/>
      <c r="DPY281" s="885"/>
      <c r="DPZ281" s="885"/>
      <c r="DQA281" s="885"/>
      <c r="DQB281" s="885"/>
      <c r="DQC281" s="885"/>
      <c r="DQD281" s="885"/>
      <c r="DQE281" s="885"/>
      <c r="DQF281" s="885"/>
      <c r="DQG281" s="885"/>
      <c r="DQH281" s="885"/>
      <c r="DQI281" s="885"/>
      <c r="DQJ281" s="885"/>
      <c r="DQK281" s="885"/>
      <c r="DQL281" s="885"/>
      <c r="DQM281" s="885"/>
      <c r="DQN281" s="885"/>
      <c r="DQO281" s="885"/>
      <c r="DQP281" s="885"/>
      <c r="DQQ281" s="885"/>
      <c r="DQR281" s="885"/>
      <c r="DQS281" s="885"/>
      <c r="DQT281" s="885"/>
      <c r="DQU281" s="885"/>
      <c r="DQV281" s="885"/>
      <c r="DQW281" s="885"/>
      <c r="DQX281" s="885"/>
      <c r="DQY281" s="885"/>
      <c r="DQZ281" s="885"/>
      <c r="DRA281" s="885"/>
      <c r="DRB281" s="885"/>
      <c r="DRC281" s="885"/>
      <c r="DRD281" s="885"/>
      <c r="DRE281" s="885"/>
      <c r="DRF281" s="885"/>
      <c r="DRG281" s="885"/>
      <c r="DRH281" s="885"/>
      <c r="DRI281" s="885"/>
      <c r="DRJ281" s="885"/>
      <c r="DRK281" s="885"/>
      <c r="DRL281" s="885"/>
      <c r="DRM281" s="885"/>
      <c r="DRN281" s="885"/>
      <c r="DRO281" s="885"/>
      <c r="DRP281" s="885"/>
      <c r="DRQ281" s="885"/>
      <c r="DRR281" s="885"/>
      <c r="DRS281" s="885"/>
      <c r="DRT281" s="885"/>
      <c r="DRU281" s="885"/>
      <c r="DRV281" s="885"/>
      <c r="DRW281" s="885"/>
      <c r="DRX281" s="885"/>
      <c r="DRY281" s="885"/>
      <c r="DRZ281" s="885"/>
      <c r="DSA281" s="885"/>
      <c r="DSB281" s="885"/>
      <c r="DSC281" s="885"/>
      <c r="DSD281" s="885"/>
      <c r="DSE281" s="885"/>
      <c r="DSF281" s="885"/>
      <c r="DSG281" s="885"/>
      <c r="DSH281" s="885"/>
      <c r="DSI281" s="885"/>
      <c r="DSJ281" s="885"/>
      <c r="DSK281" s="885"/>
      <c r="DSL281" s="885"/>
      <c r="DSM281" s="885"/>
      <c r="DSN281" s="885"/>
      <c r="DSO281" s="885"/>
      <c r="DSP281" s="885"/>
      <c r="DSQ281" s="885"/>
      <c r="DSR281" s="885"/>
      <c r="DSS281" s="885"/>
      <c r="DST281" s="885"/>
      <c r="DSU281" s="885"/>
      <c r="DSV281" s="885"/>
      <c r="DSW281" s="885"/>
      <c r="DSX281" s="885"/>
      <c r="DSY281" s="885"/>
      <c r="DSZ281" s="885"/>
      <c r="DTA281" s="885"/>
      <c r="DTB281" s="885"/>
      <c r="DTC281" s="885"/>
      <c r="DTD281" s="885"/>
      <c r="DTE281" s="885"/>
      <c r="DTF281" s="885"/>
      <c r="DTG281" s="885"/>
      <c r="DTH281" s="885"/>
      <c r="DTI281" s="885"/>
      <c r="DTJ281" s="885"/>
      <c r="DTK281" s="885"/>
      <c r="DTL281" s="885"/>
      <c r="DTM281" s="885"/>
      <c r="DTN281" s="885"/>
      <c r="DTO281" s="885"/>
      <c r="DTP281" s="885"/>
      <c r="DTQ281" s="885"/>
      <c r="DTR281" s="885"/>
      <c r="DTS281" s="885"/>
      <c r="DTT281" s="885"/>
      <c r="DTU281" s="885"/>
      <c r="DTV281" s="885"/>
      <c r="DTW281" s="885"/>
      <c r="DTX281" s="885"/>
      <c r="DTY281" s="885"/>
      <c r="DTZ281" s="885"/>
      <c r="DUA281" s="885"/>
      <c r="DUB281" s="885"/>
      <c r="DUC281" s="885"/>
      <c r="DUD281" s="885"/>
      <c r="DUE281" s="885"/>
      <c r="DUF281" s="885"/>
      <c r="DUG281" s="885"/>
      <c r="DUH281" s="885"/>
      <c r="DUI281" s="885"/>
      <c r="DUJ281" s="885"/>
      <c r="DUK281" s="885"/>
      <c r="DUL281" s="885"/>
      <c r="DUM281" s="885"/>
      <c r="DUN281" s="885"/>
      <c r="DUO281" s="885"/>
      <c r="DUP281" s="885"/>
      <c r="DUQ281" s="885"/>
      <c r="DUR281" s="885"/>
      <c r="DUS281" s="885"/>
      <c r="DUT281" s="885"/>
      <c r="DUU281" s="885"/>
      <c r="DUV281" s="885"/>
      <c r="DUW281" s="885"/>
      <c r="DUX281" s="885"/>
      <c r="DUY281" s="885"/>
      <c r="DUZ281" s="885"/>
      <c r="DVA281" s="885"/>
      <c r="DVB281" s="885"/>
      <c r="DVC281" s="885"/>
      <c r="DVD281" s="885"/>
      <c r="DVE281" s="885"/>
      <c r="DVF281" s="885"/>
      <c r="DVG281" s="885"/>
      <c r="DVH281" s="885"/>
      <c r="DVI281" s="885"/>
      <c r="DVJ281" s="885"/>
      <c r="DVK281" s="885"/>
      <c r="DVL281" s="885"/>
      <c r="DVM281" s="885"/>
      <c r="DVN281" s="885"/>
      <c r="DVO281" s="885"/>
      <c r="DVP281" s="885"/>
      <c r="DVQ281" s="885"/>
      <c r="DVR281" s="885"/>
      <c r="DVS281" s="885"/>
      <c r="DVT281" s="885"/>
      <c r="DVU281" s="885"/>
      <c r="DVV281" s="885"/>
      <c r="DVW281" s="885"/>
      <c r="DVX281" s="885"/>
      <c r="DVY281" s="885"/>
      <c r="DVZ281" s="885"/>
      <c r="DWA281" s="885"/>
      <c r="DWB281" s="885"/>
      <c r="DWC281" s="885"/>
      <c r="DWD281" s="885"/>
      <c r="DWE281" s="885"/>
      <c r="DWF281" s="885"/>
      <c r="DWG281" s="885"/>
      <c r="DWH281" s="885"/>
      <c r="DWI281" s="885"/>
      <c r="DWJ281" s="885"/>
      <c r="DWK281" s="885"/>
      <c r="DWL281" s="885"/>
      <c r="DWM281" s="885"/>
      <c r="DWN281" s="885"/>
      <c r="DWO281" s="885"/>
      <c r="DWP281" s="885"/>
      <c r="DWQ281" s="885"/>
      <c r="DWR281" s="885"/>
      <c r="DWS281" s="885"/>
      <c r="DWT281" s="885"/>
      <c r="DWU281" s="885"/>
      <c r="DWV281" s="885"/>
      <c r="DWW281" s="885"/>
      <c r="DWX281" s="885"/>
      <c r="DWY281" s="885"/>
      <c r="DWZ281" s="885"/>
      <c r="DXA281" s="885"/>
      <c r="DXB281" s="885"/>
      <c r="DXC281" s="885"/>
      <c r="DXD281" s="885"/>
      <c r="DXE281" s="885"/>
      <c r="DXF281" s="885"/>
      <c r="DXG281" s="885"/>
      <c r="DXH281" s="885"/>
      <c r="DXI281" s="885"/>
      <c r="DXJ281" s="885"/>
      <c r="DXK281" s="885"/>
      <c r="DXL281" s="885"/>
      <c r="DXM281" s="885"/>
      <c r="DXN281" s="885"/>
      <c r="DXO281" s="885"/>
      <c r="DXP281" s="885"/>
      <c r="DXQ281" s="885"/>
      <c r="DXR281" s="885"/>
      <c r="DXS281" s="885"/>
      <c r="DXT281" s="885"/>
      <c r="DXU281" s="885"/>
      <c r="DXV281" s="885"/>
      <c r="DXW281" s="885"/>
      <c r="DXX281" s="885"/>
      <c r="DXY281" s="885"/>
      <c r="DXZ281" s="885"/>
      <c r="DYA281" s="885"/>
      <c r="DYB281" s="885"/>
      <c r="DYC281" s="885"/>
      <c r="DYD281" s="885"/>
      <c r="DYE281" s="885"/>
      <c r="DYF281" s="885"/>
      <c r="DYG281" s="885"/>
      <c r="DYH281" s="885"/>
      <c r="DYI281" s="885"/>
      <c r="DYJ281" s="885"/>
      <c r="DYK281" s="885"/>
      <c r="DYL281" s="885"/>
      <c r="DYM281" s="885"/>
      <c r="DYN281" s="885"/>
      <c r="DYO281" s="885"/>
      <c r="DYP281" s="885"/>
      <c r="DYQ281" s="885"/>
      <c r="DYR281" s="885"/>
      <c r="DYS281" s="885"/>
      <c r="DYT281" s="885"/>
      <c r="DYU281" s="885"/>
      <c r="DYV281" s="885"/>
      <c r="DYW281" s="885"/>
      <c r="DYX281" s="885"/>
      <c r="DYY281" s="885"/>
      <c r="DYZ281" s="885"/>
      <c r="DZA281" s="885"/>
      <c r="DZB281" s="885"/>
      <c r="DZC281" s="885"/>
      <c r="DZD281" s="885"/>
      <c r="DZE281" s="885"/>
      <c r="DZF281" s="885"/>
      <c r="DZG281" s="885"/>
      <c r="DZH281" s="885"/>
      <c r="DZI281" s="885"/>
      <c r="DZJ281" s="885"/>
      <c r="DZK281" s="885"/>
      <c r="DZL281" s="885"/>
      <c r="DZM281" s="885"/>
      <c r="DZN281" s="885"/>
      <c r="DZO281" s="885"/>
      <c r="DZP281" s="885"/>
      <c r="DZQ281" s="885"/>
      <c r="DZR281" s="885"/>
      <c r="DZS281" s="885"/>
      <c r="DZT281" s="885"/>
      <c r="DZU281" s="885"/>
      <c r="DZV281" s="885"/>
      <c r="DZW281" s="885"/>
      <c r="DZX281" s="885"/>
      <c r="DZY281" s="885"/>
      <c r="DZZ281" s="885"/>
      <c r="EAA281" s="885"/>
      <c r="EAB281" s="885"/>
      <c r="EAC281" s="885"/>
      <c r="EAD281" s="885"/>
      <c r="EAE281" s="885"/>
      <c r="EAF281" s="885"/>
      <c r="EAG281" s="885"/>
      <c r="EAH281" s="885"/>
      <c r="EAI281" s="885"/>
      <c r="EAJ281" s="885"/>
      <c r="EAK281" s="885"/>
      <c r="EAL281" s="885"/>
      <c r="EAM281" s="885"/>
      <c r="EAN281" s="885"/>
      <c r="EAO281" s="885"/>
      <c r="EAP281" s="885"/>
      <c r="EAQ281" s="885"/>
      <c r="EAR281" s="885"/>
      <c r="EAS281" s="885"/>
      <c r="EAT281" s="885"/>
      <c r="EAU281" s="885"/>
      <c r="EAV281" s="885"/>
      <c r="EAW281" s="885"/>
      <c r="EAX281" s="885"/>
      <c r="EAY281" s="885"/>
      <c r="EAZ281" s="885"/>
      <c r="EBA281" s="885"/>
      <c r="EBB281" s="885"/>
      <c r="EBC281" s="885"/>
      <c r="EBD281" s="885"/>
      <c r="EBE281" s="885"/>
      <c r="EBF281" s="885"/>
      <c r="EBG281" s="885"/>
      <c r="EBH281" s="885"/>
      <c r="EBI281" s="885"/>
      <c r="EBJ281" s="885"/>
      <c r="EBK281" s="885"/>
      <c r="EBL281" s="885"/>
      <c r="EBM281" s="885"/>
      <c r="EBN281" s="885"/>
      <c r="EBO281" s="885"/>
      <c r="EBP281" s="885"/>
      <c r="EBQ281" s="885"/>
      <c r="EBR281" s="885"/>
      <c r="EBS281" s="885"/>
      <c r="EBT281" s="885"/>
      <c r="EBU281" s="885"/>
      <c r="EBV281" s="885"/>
      <c r="EBW281" s="885"/>
      <c r="EBX281" s="885"/>
      <c r="EBY281" s="885"/>
      <c r="EBZ281" s="885"/>
      <c r="ECA281" s="885"/>
      <c r="ECB281" s="885"/>
      <c r="ECC281" s="885"/>
      <c r="ECD281" s="885"/>
      <c r="ECE281" s="885"/>
      <c r="ECF281" s="885"/>
      <c r="ECG281" s="885"/>
      <c r="ECH281" s="885"/>
      <c r="ECI281" s="885"/>
      <c r="ECJ281" s="885"/>
      <c r="ECK281" s="885"/>
      <c r="ECL281" s="885"/>
      <c r="ECM281" s="885"/>
      <c r="ECN281" s="885"/>
      <c r="ECO281" s="885"/>
      <c r="ECP281" s="885"/>
      <c r="ECQ281" s="885"/>
      <c r="ECR281" s="885"/>
      <c r="ECS281" s="885"/>
      <c r="ECT281" s="885"/>
      <c r="ECU281" s="885"/>
      <c r="ECV281" s="885"/>
      <c r="ECW281" s="885"/>
      <c r="ECX281" s="885"/>
      <c r="ECY281" s="885"/>
      <c r="ECZ281" s="885"/>
      <c r="EDA281" s="885"/>
      <c r="EDB281" s="885"/>
      <c r="EDC281" s="885"/>
      <c r="EDD281" s="885"/>
      <c r="EDE281" s="885"/>
      <c r="EDF281" s="885"/>
      <c r="EDG281" s="885"/>
      <c r="EDH281" s="885"/>
      <c r="EDI281" s="885"/>
      <c r="EDJ281" s="885"/>
      <c r="EDK281" s="885"/>
      <c r="EDL281" s="885"/>
      <c r="EDM281" s="885"/>
      <c r="EDN281" s="885"/>
      <c r="EDO281" s="885"/>
      <c r="EDP281" s="885"/>
      <c r="EDQ281" s="885"/>
      <c r="EDR281" s="885"/>
      <c r="EDS281" s="885"/>
      <c r="EDT281" s="885"/>
      <c r="EDU281" s="885"/>
      <c r="EDV281" s="885"/>
      <c r="EDW281" s="885"/>
      <c r="EDX281" s="885"/>
      <c r="EDY281" s="885"/>
      <c r="EDZ281" s="885"/>
      <c r="EEA281" s="885"/>
      <c r="EEB281" s="885"/>
      <c r="EEC281" s="885"/>
      <c r="EED281" s="885"/>
      <c r="EEE281" s="885"/>
      <c r="EEF281" s="885"/>
      <c r="EEG281" s="885"/>
      <c r="EEH281" s="885"/>
      <c r="EEI281" s="885"/>
      <c r="EEJ281" s="885"/>
      <c r="EEK281" s="885"/>
      <c r="EEL281" s="885"/>
      <c r="EEM281" s="885"/>
      <c r="EEN281" s="885"/>
      <c r="EEO281" s="885"/>
      <c r="EEP281" s="885"/>
      <c r="EEQ281" s="885"/>
      <c r="EER281" s="885"/>
      <c r="EES281" s="885"/>
      <c r="EET281" s="885"/>
      <c r="EEU281" s="885"/>
      <c r="EEV281" s="885"/>
      <c r="EEW281" s="885"/>
      <c r="EEX281" s="885"/>
      <c r="EEY281" s="885"/>
      <c r="EEZ281" s="885"/>
      <c r="EFA281" s="885"/>
      <c r="EFB281" s="885"/>
      <c r="EFC281" s="885"/>
      <c r="EFD281" s="885"/>
      <c r="EFE281" s="885"/>
      <c r="EFF281" s="885"/>
      <c r="EFG281" s="885"/>
      <c r="EFH281" s="885"/>
      <c r="EFI281" s="885"/>
      <c r="EFJ281" s="885"/>
      <c r="EFK281" s="885"/>
      <c r="EFL281" s="885"/>
      <c r="EFM281" s="885"/>
      <c r="EFN281" s="885"/>
      <c r="EFO281" s="885"/>
      <c r="EFP281" s="885"/>
      <c r="EFQ281" s="885"/>
      <c r="EFR281" s="885"/>
      <c r="EFS281" s="885"/>
      <c r="EFT281" s="885"/>
      <c r="EFU281" s="885"/>
      <c r="EFV281" s="885"/>
      <c r="EFW281" s="885"/>
      <c r="EFX281" s="885"/>
      <c r="EFY281" s="885"/>
      <c r="EFZ281" s="885"/>
      <c r="EGA281" s="885"/>
      <c r="EGB281" s="885"/>
      <c r="EGC281" s="885"/>
      <c r="EGD281" s="885"/>
      <c r="EGE281" s="885"/>
      <c r="EGF281" s="885"/>
      <c r="EGG281" s="885"/>
      <c r="EGH281" s="885"/>
      <c r="EGI281" s="885"/>
      <c r="EGJ281" s="885"/>
      <c r="EGK281" s="885"/>
      <c r="EGL281" s="885"/>
      <c r="EGM281" s="885"/>
      <c r="EGN281" s="885"/>
      <c r="EGO281" s="885"/>
      <c r="EGP281" s="885"/>
      <c r="EGQ281" s="885"/>
      <c r="EGR281" s="885"/>
      <c r="EGS281" s="885"/>
      <c r="EGT281" s="885"/>
      <c r="EGU281" s="885"/>
      <c r="EGV281" s="885"/>
      <c r="EGW281" s="885"/>
      <c r="EGX281" s="885"/>
      <c r="EGY281" s="885"/>
      <c r="EGZ281" s="885"/>
      <c r="EHA281" s="885"/>
      <c r="EHB281" s="885"/>
      <c r="EHC281" s="885"/>
      <c r="EHD281" s="885"/>
      <c r="EHE281" s="885"/>
      <c r="EHF281" s="885"/>
      <c r="EHG281" s="885"/>
      <c r="EHH281" s="885"/>
      <c r="EHI281" s="885"/>
      <c r="EHJ281" s="885"/>
      <c r="EHK281" s="885"/>
      <c r="EHL281" s="885"/>
      <c r="EHM281" s="885"/>
      <c r="EHN281" s="885"/>
      <c r="EHO281" s="885"/>
      <c r="EHP281" s="885"/>
      <c r="EHQ281" s="885"/>
      <c r="EHR281" s="885"/>
      <c r="EHS281" s="885"/>
      <c r="EHT281" s="885"/>
      <c r="EHU281" s="885"/>
      <c r="EHV281" s="885"/>
      <c r="EHW281" s="885"/>
      <c r="EHX281" s="885"/>
      <c r="EHY281" s="885"/>
      <c r="EHZ281" s="885"/>
      <c r="EIA281" s="885"/>
      <c r="EIB281" s="885"/>
      <c r="EIC281" s="885"/>
      <c r="EID281" s="885"/>
      <c r="EIE281" s="885"/>
      <c r="EIF281" s="885"/>
      <c r="EIG281" s="885"/>
      <c r="EIH281" s="885"/>
      <c r="EII281" s="885"/>
      <c r="EIJ281" s="885"/>
      <c r="EIK281" s="885"/>
      <c r="EIL281" s="885"/>
      <c r="EIM281" s="885"/>
      <c r="EIN281" s="885"/>
      <c r="EIO281" s="885"/>
      <c r="EIP281" s="885"/>
      <c r="EIQ281" s="885"/>
      <c r="EIR281" s="885"/>
      <c r="EIS281" s="885"/>
      <c r="EIT281" s="885"/>
      <c r="EIU281" s="885"/>
      <c r="EIV281" s="885"/>
      <c r="EIW281" s="885"/>
      <c r="EIX281" s="885"/>
      <c r="EIY281" s="885"/>
      <c r="EIZ281" s="885"/>
      <c r="EJA281" s="885"/>
      <c r="EJB281" s="885"/>
      <c r="EJC281" s="885"/>
      <c r="EJD281" s="885"/>
      <c r="EJE281" s="885"/>
      <c r="EJF281" s="885"/>
      <c r="EJG281" s="885"/>
      <c r="EJH281" s="885"/>
      <c r="EJI281" s="885"/>
      <c r="EJJ281" s="885"/>
      <c r="EJK281" s="885"/>
      <c r="EJL281" s="885"/>
      <c r="EJM281" s="885"/>
      <c r="EJN281" s="885"/>
      <c r="EJO281" s="885"/>
      <c r="EJP281" s="885"/>
      <c r="EJQ281" s="885"/>
      <c r="EJR281" s="885"/>
      <c r="EJS281" s="885"/>
      <c r="EJT281" s="885"/>
      <c r="EJU281" s="885"/>
      <c r="EJV281" s="885"/>
      <c r="EJW281" s="885"/>
      <c r="EJX281" s="885"/>
      <c r="EJY281" s="885"/>
      <c r="EJZ281" s="885"/>
      <c r="EKA281" s="885"/>
      <c r="EKB281" s="885"/>
      <c r="EKC281" s="885"/>
      <c r="EKD281" s="885"/>
      <c r="EKE281" s="885"/>
      <c r="EKF281" s="885"/>
      <c r="EKG281" s="885"/>
      <c r="EKH281" s="885"/>
      <c r="EKI281" s="885"/>
      <c r="EKJ281" s="885"/>
      <c r="EKK281" s="885"/>
      <c r="EKL281" s="885"/>
      <c r="EKM281" s="885"/>
      <c r="EKN281" s="885"/>
      <c r="EKO281" s="885"/>
      <c r="EKP281" s="885"/>
      <c r="EKQ281" s="885"/>
      <c r="EKR281" s="885"/>
      <c r="EKS281" s="885"/>
      <c r="EKT281" s="885"/>
      <c r="EKU281" s="885"/>
      <c r="EKV281" s="885"/>
      <c r="EKW281" s="885"/>
      <c r="EKX281" s="885"/>
      <c r="EKY281" s="885"/>
      <c r="EKZ281" s="885"/>
      <c r="ELA281" s="885"/>
      <c r="ELB281" s="885"/>
      <c r="ELC281" s="885"/>
      <c r="ELD281" s="885"/>
      <c r="ELE281" s="885"/>
      <c r="ELF281" s="885"/>
      <c r="ELG281" s="885"/>
      <c r="ELH281" s="885"/>
      <c r="ELI281" s="885"/>
      <c r="ELJ281" s="885"/>
      <c r="ELK281" s="885"/>
      <c r="ELL281" s="885"/>
      <c r="ELM281" s="885"/>
      <c r="ELN281" s="885"/>
      <c r="ELO281" s="885"/>
      <c r="ELP281" s="885"/>
      <c r="ELQ281" s="885"/>
      <c r="ELR281" s="885"/>
      <c r="ELS281" s="885"/>
      <c r="ELT281" s="885"/>
      <c r="ELU281" s="885"/>
      <c r="ELV281" s="885"/>
      <c r="ELW281" s="885"/>
      <c r="ELX281" s="885"/>
      <c r="ELY281" s="885"/>
      <c r="ELZ281" s="885"/>
      <c r="EMA281" s="885"/>
      <c r="EMB281" s="885"/>
      <c r="EMC281" s="885"/>
      <c r="EMD281" s="885"/>
      <c r="EME281" s="885"/>
      <c r="EMF281" s="885"/>
      <c r="EMG281" s="885"/>
      <c r="EMH281" s="885"/>
      <c r="EMI281" s="885"/>
      <c r="EMJ281" s="885"/>
      <c r="EMK281" s="885"/>
      <c r="EML281" s="885"/>
      <c r="EMM281" s="885"/>
      <c r="EMN281" s="885"/>
      <c r="EMO281" s="885"/>
      <c r="EMP281" s="885"/>
      <c r="EMQ281" s="885"/>
      <c r="EMR281" s="885"/>
      <c r="EMS281" s="885"/>
      <c r="EMT281" s="885"/>
      <c r="EMU281" s="885"/>
      <c r="EMV281" s="885"/>
      <c r="EMW281" s="885"/>
      <c r="EMX281" s="885"/>
      <c r="EMY281" s="885"/>
      <c r="EMZ281" s="885"/>
      <c r="ENA281" s="885"/>
      <c r="ENB281" s="885"/>
      <c r="ENC281" s="885"/>
      <c r="END281" s="885"/>
      <c r="ENE281" s="885"/>
      <c r="ENF281" s="885"/>
      <c r="ENG281" s="885"/>
      <c r="ENH281" s="885"/>
      <c r="ENI281" s="885"/>
      <c r="ENJ281" s="885"/>
      <c r="ENK281" s="885"/>
      <c r="ENL281" s="885"/>
      <c r="ENM281" s="885"/>
      <c r="ENN281" s="885"/>
      <c r="ENO281" s="885"/>
      <c r="ENP281" s="885"/>
      <c r="ENQ281" s="885"/>
      <c r="ENR281" s="885"/>
      <c r="ENS281" s="885"/>
      <c r="ENT281" s="885"/>
      <c r="ENU281" s="885"/>
      <c r="ENV281" s="885"/>
      <c r="ENW281" s="885"/>
      <c r="ENX281" s="885"/>
      <c r="ENY281" s="885"/>
      <c r="ENZ281" s="885"/>
      <c r="EOA281" s="885"/>
      <c r="EOB281" s="885"/>
      <c r="EOC281" s="885"/>
      <c r="EOD281" s="885"/>
      <c r="EOE281" s="885"/>
      <c r="EOF281" s="885"/>
      <c r="EOG281" s="885"/>
      <c r="EOH281" s="885"/>
      <c r="EOI281" s="885"/>
      <c r="EOJ281" s="885"/>
      <c r="EOK281" s="885"/>
      <c r="EOL281" s="885"/>
      <c r="EOM281" s="885"/>
      <c r="EON281" s="885"/>
      <c r="EOO281" s="885"/>
      <c r="EOP281" s="885"/>
      <c r="EOQ281" s="885"/>
      <c r="EOR281" s="885"/>
      <c r="EOS281" s="885"/>
      <c r="EOT281" s="885"/>
      <c r="EOU281" s="885"/>
      <c r="EOV281" s="885"/>
      <c r="EOW281" s="885"/>
      <c r="EOX281" s="885"/>
      <c r="EOY281" s="885"/>
      <c r="EOZ281" s="885"/>
      <c r="EPA281" s="885"/>
      <c r="EPB281" s="885"/>
      <c r="EPC281" s="885"/>
      <c r="EPD281" s="885"/>
      <c r="EPE281" s="885"/>
      <c r="EPF281" s="885"/>
      <c r="EPG281" s="885"/>
      <c r="EPH281" s="885"/>
      <c r="EPI281" s="885"/>
      <c r="EPJ281" s="885"/>
      <c r="EPK281" s="885"/>
      <c r="EPL281" s="885"/>
      <c r="EPM281" s="885"/>
      <c r="EPN281" s="885"/>
      <c r="EPO281" s="885"/>
      <c r="EPP281" s="885"/>
      <c r="EPQ281" s="885"/>
      <c r="EPR281" s="885"/>
      <c r="EPS281" s="885"/>
      <c r="EPT281" s="885"/>
      <c r="EPU281" s="885"/>
      <c r="EPV281" s="885"/>
      <c r="EPW281" s="885"/>
      <c r="EPX281" s="885"/>
      <c r="EPY281" s="885"/>
      <c r="EPZ281" s="885"/>
      <c r="EQA281" s="885"/>
      <c r="EQB281" s="885"/>
      <c r="EQC281" s="885"/>
      <c r="EQD281" s="885"/>
      <c r="EQE281" s="885"/>
      <c r="EQF281" s="885"/>
      <c r="EQG281" s="885"/>
      <c r="EQH281" s="885"/>
      <c r="EQI281" s="885"/>
      <c r="EQJ281" s="885"/>
      <c r="EQK281" s="885"/>
      <c r="EQL281" s="885"/>
      <c r="EQM281" s="885"/>
      <c r="EQN281" s="885"/>
      <c r="EQO281" s="885"/>
      <c r="EQP281" s="885"/>
      <c r="EQQ281" s="885"/>
      <c r="EQR281" s="885"/>
      <c r="EQS281" s="885"/>
      <c r="EQT281" s="885"/>
      <c r="EQU281" s="885"/>
      <c r="EQV281" s="885"/>
      <c r="EQW281" s="885"/>
      <c r="EQX281" s="885"/>
      <c r="EQY281" s="885"/>
      <c r="EQZ281" s="885"/>
      <c r="ERA281" s="885"/>
      <c r="ERB281" s="885"/>
      <c r="ERC281" s="885"/>
      <c r="ERD281" s="885"/>
      <c r="ERE281" s="885"/>
      <c r="ERF281" s="885"/>
      <c r="ERG281" s="885"/>
      <c r="ERH281" s="885"/>
      <c r="ERI281" s="885"/>
      <c r="ERJ281" s="885"/>
      <c r="ERK281" s="885"/>
      <c r="ERL281" s="885"/>
      <c r="ERM281" s="885"/>
      <c r="ERN281" s="885"/>
      <c r="ERO281" s="885"/>
      <c r="ERP281" s="885"/>
      <c r="ERQ281" s="885"/>
      <c r="ERR281" s="885"/>
      <c r="ERS281" s="885"/>
      <c r="ERT281" s="885"/>
      <c r="ERU281" s="885"/>
      <c r="ERV281" s="885"/>
      <c r="ERW281" s="885"/>
      <c r="ERX281" s="885"/>
      <c r="ERY281" s="885"/>
      <c r="ERZ281" s="885"/>
      <c r="ESA281" s="885"/>
      <c r="ESB281" s="885"/>
      <c r="ESC281" s="885"/>
      <c r="ESD281" s="885"/>
      <c r="ESE281" s="885"/>
      <c r="ESF281" s="885"/>
      <c r="ESG281" s="885"/>
      <c r="ESH281" s="885"/>
      <c r="ESI281" s="885"/>
      <c r="ESJ281" s="885"/>
      <c r="ESK281" s="885"/>
      <c r="ESL281" s="885"/>
      <c r="ESM281" s="885"/>
      <c r="ESN281" s="885"/>
      <c r="ESO281" s="885"/>
      <c r="ESP281" s="885"/>
      <c r="ESQ281" s="885"/>
      <c r="ESR281" s="885"/>
      <c r="ESS281" s="885"/>
      <c r="EST281" s="885"/>
      <c r="ESU281" s="885"/>
      <c r="ESV281" s="885"/>
      <c r="ESW281" s="885"/>
      <c r="ESX281" s="885"/>
      <c r="ESY281" s="885"/>
      <c r="ESZ281" s="885"/>
      <c r="ETA281" s="885"/>
      <c r="ETB281" s="885"/>
      <c r="ETC281" s="885"/>
      <c r="ETD281" s="885"/>
      <c r="ETE281" s="885"/>
      <c r="ETF281" s="885"/>
      <c r="ETG281" s="885"/>
      <c r="ETH281" s="885"/>
      <c r="ETI281" s="885"/>
      <c r="ETJ281" s="885"/>
      <c r="ETK281" s="885"/>
      <c r="ETL281" s="885"/>
      <c r="ETM281" s="885"/>
      <c r="ETN281" s="885"/>
      <c r="ETO281" s="885"/>
      <c r="ETP281" s="885"/>
      <c r="ETQ281" s="885"/>
      <c r="ETR281" s="885"/>
      <c r="ETS281" s="885"/>
      <c r="ETT281" s="885"/>
      <c r="ETU281" s="885"/>
      <c r="ETV281" s="885"/>
      <c r="ETW281" s="885"/>
      <c r="ETX281" s="885"/>
      <c r="ETY281" s="885"/>
      <c r="ETZ281" s="885"/>
      <c r="EUA281" s="885"/>
      <c r="EUB281" s="885"/>
      <c r="EUC281" s="885"/>
      <c r="EUD281" s="885"/>
      <c r="EUE281" s="885"/>
      <c r="EUF281" s="885"/>
      <c r="EUG281" s="885"/>
      <c r="EUH281" s="885"/>
      <c r="EUI281" s="885"/>
      <c r="EUJ281" s="885"/>
      <c r="EUK281" s="885"/>
      <c r="EUL281" s="885"/>
      <c r="EUM281" s="885"/>
      <c r="EUN281" s="885"/>
      <c r="EUO281" s="885"/>
      <c r="EUP281" s="885"/>
      <c r="EUQ281" s="885"/>
      <c r="EUR281" s="885"/>
      <c r="EUS281" s="885"/>
      <c r="EUT281" s="885"/>
      <c r="EUU281" s="885"/>
      <c r="EUV281" s="885"/>
      <c r="EUW281" s="885"/>
      <c r="EUX281" s="885"/>
      <c r="EUY281" s="885"/>
      <c r="EUZ281" s="885"/>
      <c r="EVA281" s="885"/>
      <c r="EVB281" s="885"/>
      <c r="EVC281" s="885"/>
      <c r="EVD281" s="885"/>
      <c r="EVE281" s="885"/>
      <c r="EVF281" s="885"/>
      <c r="EVG281" s="885"/>
      <c r="EVH281" s="885"/>
      <c r="EVI281" s="885"/>
      <c r="EVJ281" s="885"/>
      <c r="EVK281" s="885"/>
      <c r="EVL281" s="885"/>
      <c r="EVM281" s="885"/>
      <c r="EVN281" s="885"/>
      <c r="EVO281" s="885"/>
      <c r="EVP281" s="885"/>
      <c r="EVQ281" s="885"/>
      <c r="EVR281" s="885"/>
      <c r="EVS281" s="885"/>
      <c r="EVT281" s="885"/>
      <c r="EVU281" s="885"/>
      <c r="EVV281" s="885"/>
      <c r="EVW281" s="885"/>
      <c r="EVX281" s="885"/>
      <c r="EVY281" s="885"/>
      <c r="EVZ281" s="885"/>
      <c r="EWA281" s="885"/>
      <c r="EWB281" s="885"/>
      <c r="EWC281" s="885"/>
      <c r="EWD281" s="885"/>
      <c r="EWE281" s="885"/>
      <c r="EWF281" s="885"/>
      <c r="EWG281" s="885"/>
      <c r="EWH281" s="885"/>
      <c r="EWI281" s="885"/>
      <c r="EWJ281" s="885"/>
      <c r="EWK281" s="885"/>
      <c r="EWL281" s="885"/>
      <c r="EWM281" s="885"/>
      <c r="EWN281" s="885"/>
      <c r="EWO281" s="885"/>
      <c r="EWP281" s="885"/>
      <c r="EWQ281" s="885"/>
      <c r="EWR281" s="885"/>
      <c r="EWS281" s="885"/>
      <c r="EWT281" s="885"/>
      <c r="EWU281" s="885"/>
      <c r="EWV281" s="885"/>
      <c r="EWW281" s="885"/>
      <c r="EWX281" s="885"/>
      <c r="EWY281" s="885"/>
      <c r="EWZ281" s="885"/>
      <c r="EXA281" s="885"/>
      <c r="EXB281" s="885"/>
      <c r="EXC281" s="885"/>
      <c r="EXD281" s="885"/>
      <c r="EXE281" s="885"/>
      <c r="EXF281" s="885"/>
      <c r="EXG281" s="885"/>
      <c r="EXH281" s="885"/>
      <c r="EXI281" s="885"/>
      <c r="EXJ281" s="885"/>
      <c r="EXK281" s="885"/>
      <c r="EXL281" s="885"/>
      <c r="EXM281" s="885"/>
      <c r="EXN281" s="885"/>
      <c r="EXO281" s="885"/>
      <c r="EXP281" s="885"/>
      <c r="EXQ281" s="885"/>
      <c r="EXR281" s="885"/>
      <c r="EXS281" s="885"/>
      <c r="EXT281" s="885"/>
      <c r="EXU281" s="885"/>
      <c r="EXV281" s="885"/>
      <c r="EXW281" s="885"/>
      <c r="EXX281" s="885"/>
      <c r="EXY281" s="885"/>
      <c r="EXZ281" s="885"/>
      <c r="EYA281" s="885"/>
      <c r="EYB281" s="885"/>
      <c r="EYC281" s="885"/>
      <c r="EYD281" s="885"/>
      <c r="EYE281" s="885"/>
      <c r="EYF281" s="885"/>
      <c r="EYG281" s="885"/>
      <c r="EYH281" s="885"/>
      <c r="EYI281" s="885"/>
      <c r="EYJ281" s="885"/>
      <c r="EYK281" s="885"/>
      <c r="EYL281" s="885"/>
      <c r="EYM281" s="885"/>
      <c r="EYN281" s="885"/>
      <c r="EYO281" s="885"/>
      <c r="EYP281" s="885"/>
      <c r="EYQ281" s="885"/>
      <c r="EYR281" s="885"/>
      <c r="EYS281" s="885"/>
      <c r="EYT281" s="885"/>
      <c r="EYU281" s="885"/>
      <c r="EYV281" s="885"/>
      <c r="EYW281" s="885"/>
      <c r="EYX281" s="885"/>
      <c r="EYY281" s="885"/>
      <c r="EYZ281" s="885"/>
      <c r="EZA281" s="885"/>
      <c r="EZB281" s="885"/>
      <c r="EZC281" s="885"/>
      <c r="EZD281" s="885"/>
      <c r="EZE281" s="885"/>
      <c r="EZF281" s="885"/>
      <c r="EZG281" s="885"/>
      <c r="EZH281" s="885"/>
      <c r="EZI281" s="885"/>
      <c r="EZJ281" s="885"/>
      <c r="EZK281" s="885"/>
      <c r="EZL281" s="885"/>
      <c r="EZM281" s="885"/>
      <c r="EZN281" s="885"/>
      <c r="EZO281" s="885"/>
      <c r="EZP281" s="885"/>
      <c r="EZQ281" s="885"/>
      <c r="EZR281" s="885"/>
      <c r="EZS281" s="885"/>
      <c r="EZT281" s="885"/>
      <c r="EZU281" s="885"/>
      <c r="EZV281" s="885"/>
      <c r="EZW281" s="885"/>
      <c r="EZX281" s="885"/>
      <c r="EZY281" s="885"/>
      <c r="EZZ281" s="885"/>
      <c r="FAA281" s="885"/>
      <c r="FAB281" s="885"/>
      <c r="FAC281" s="885"/>
      <c r="FAD281" s="885"/>
      <c r="FAE281" s="885"/>
      <c r="FAF281" s="885"/>
      <c r="FAG281" s="885"/>
      <c r="FAH281" s="885"/>
      <c r="FAI281" s="885"/>
      <c r="FAJ281" s="885"/>
      <c r="FAK281" s="885"/>
      <c r="FAL281" s="885"/>
      <c r="FAM281" s="885"/>
      <c r="FAN281" s="885"/>
      <c r="FAO281" s="885"/>
      <c r="FAP281" s="885"/>
      <c r="FAQ281" s="885"/>
      <c r="FAR281" s="885"/>
      <c r="FAS281" s="885"/>
      <c r="FAT281" s="885"/>
      <c r="FAU281" s="885"/>
      <c r="FAV281" s="885"/>
      <c r="FAW281" s="885"/>
      <c r="FAX281" s="885"/>
      <c r="FAY281" s="885"/>
      <c r="FAZ281" s="885"/>
      <c r="FBA281" s="885"/>
      <c r="FBB281" s="885"/>
      <c r="FBC281" s="885"/>
      <c r="FBD281" s="885"/>
      <c r="FBE281" s="885"/>
      <c r="FBF281" s="885"/>
      <c r="FBG281" s="885"/>
      <c r="FBH281" s="885"/>
      <c r="FBI281" s="885"/>
      <c r="FBJ281" s="885"/>
      <c r="FBK281" s="885"/>
      <c r="FBL281" s="885"/>
      <c r="FBM281" s="885"/>
      <c r="FBN281" s="885"/>
      <c r="FBO281" s="885"/>
      <c r="FBP281" s="885"/>
      <c r="FBQ281" s="885"/>
      <c r="FBR281" s="885"/>
      <c r="FBS281" s="885"/>
      <c r="FBT281" s="885"/>
      <c r="FBU281" s="885"/>
      <c r="FBV281" s="885"/>
      <c r="FBW281" s="885"/>
      <c r="FBX281" s="885"/>
      <c r="FBY281" s="885"/>
      <c r="FBZ281" s="885"/>
      <c r="FCA281" s="885"/>
      <c r="FCB281" s="885"/>
      <c r="FCC281" s="885"/>
      <c r="FCD281" s="885"/>
      <c r="FCE281" s="885"/>
      <c r="FCF281" s="885"/>
      <c r="FCG281" s="885"/>
      <c r="FCH281" s="885"/>
      <c r="FCI281" s="885"/>
      <c r="FCJ281" s="885"/>
      <c r="FCK281" s="885"/>
      <c r="FCL281" s="885"/>
      <c r="FCM281" s="885"/>
      <c r="FCN281" s="885"/>
      <c r="FCO281" s="885"/>
      <c r="FCP281" s="885"/>
      <c r="FCQ281" s="885"/>
      <c r="FCR281" s="885"/>
      <c r="FCS281" s="885"/>
      <c r="FCT281" s="885"/>
      <c r="FCU281" s="885"/>
      <c r="FCV281" s="885"/>
      <c r="FCW281" s="885"/>
      <c r="FCX281" s="885"/>
      <c r="FCY281" s="885"/>
      <c r="FCZ281" s="885"/>
      <c r="FDA281" s="885"/>
      <c r="FDB281" s="885"/>
      <c r="FDC281" s="885"/>
      <c r="FDD281" s="885"/>
      <c r="FDE281" s="885"/>
      <c r="FDF281" s="885"/>
      <c r="FDG281" s="885"/>
      <c r="FDH281" s="885"/>
      <c r="FDI281" s="885"/>
      <c r="FDJ281" s="885"/>
      <c r="FDK281" s="885"/>
      <c r="FDL281" s="885"/>
      <c r="FDM281" s="885"/>
      <c r="FDN281" s="885"/>
      <c r="FDO281" s="885"/>
      <c r="FDP281" s="885"/>
      <c r="FDQ281" s="885"/>
      <c r="FDR281" s="885"/>
      <c r="FDS281" s="885"/>
      <c r="FDT281" s="885"/>
      <c r="FDU281" s="885"/>
      <c r="FDV281" s="885"/>
      <c r="FDW281" s="885"/>
      <c r="FDX281" s="885"/>
      <c r="FDY281" s="885"/>
      <c r="FDZ281" s="885"/>
      <c r="FEA281" s="885"/>
      <c r="FEB281" s="885"/>
      <c r="FEC281" s="885"/>
      <c r="FED281" s="885"/>
      <c r="FEE281" s="885"/>
      <c r="FEF281" s="885"/>
      <c r="FEG281" s="885"/>
      <c r="FEH281" s="885"/>
      <c r="FEI281" s="885"/>
      <c r="FEJ281" s="885"/>
      <c r="FEK281" s="885"/>
      <c r="FEL281" s="885"/>
      <c r="FEM281" s="885"/>
      <c r="FEN281" s="885"/>
      <c r="FEO281" s="885"/>
      <c r="FEP281" s="885"/>
      <c r="FEQ281" s="885"/>
      <c r="FER281" s="885"/>
      <c r="FES281" s="885"/>
      <c r="FET281" s="885"/>
      <c r="FEU281" s="885"/>
      <c r="FEV281" s="885"/>
      <c r="FEW281" s="885"/>
      <c r="FEX281" s="885"/>
      <c r="FEY281" s="885"/>
      <c r="FEZ281" s="885"/>
      <c r="FFA281" s="885"/>
      <c r="FFB281" s="885"/>
      <c r="FFC281" s="885"/>
      <c r="FFD281" s="885"/>
      <c r="FFE281" s="885"/>
      <c r="FFF281" s="885"/>
      <c r="FFG281" s="885"/>
      <c r="FFH281" s="885"/>
      <c r="FFI281" s="885"/>
      <c r="FFJ281" s="885"/>
      <c r="FFK281" s="885"/>
      <c r="FFL281" s="885"/>
      <c r="FFM281" s="885"/>
      <c r="FFN281" s="885"/>
      <c r="FFO281" s="885"/>
      <c r="FFP281" s="885"/>
      <c r="FFQ281" s="885"/>
      <c r="FFR281" s="885"/>
      <c r="FFS281" s="885"/>
      <c r="FFT281" s="885"/>
      <c r="FFU281" s="885"/>
      <c r="FFV281" s="885"/>
      <c r="FFW281" s="885"/>
      <c r="FFX281" s="885"/>
      <c r="FFY281" s="885"/>
      <c r="FFZ281" s="885"/>
      <c r="FGA281" s="885"/>
      <c r="FGB281" s="885"/>
      <c r="FGC281" s="885"/>
      <c r="FGD281" s="885"/>
      <c r="FGE281" s="885"/>
      <c r="FGF281" s="885"/>
      <c r="FGG281" s="885"/>
      <c r="FGH281" s="885"/>
      <c r="FGI281" s="885"/>
      <c r="FGJ281" s="885"/>
      <c r="FGK281" s="885"/>
      <c r="FGL281" s="885"/>
      <c r="FGM281" s="885"/>
      <c r="FGN281" s="885"/>
      <c r="FGO281" s="885"/>
      <c r="FGP281" s="885"/>
      <c r="FGQ281" s="885"/>
      <c r="FGR281" s="885"/>
      <c r="FGS281" s="885"/>
      <c r="FGT281" s="885"/>
      <c r="FGU281" s="885"/>
      <c r="FGV281" s="885"/>
      <c r="FGW281" s="885"/>
      <c r="FGX281" s="885"/>
      <c r="FGY281" s="885"/>
      <c r="FGZ281" s="885"/>
      <c r="FHA281" s="885"/>
      <c r="FHB281" s="885"/>
      <c r="FHC281" s="885"/>
      <c r="FHD281" s="885"/>
      <c r="FHE281" s="885"/>
      <c r="FHF281" s="885"/>
      <c r="FHG281" s="885"/>
      <c r="FHH281" s="885"/>
      <c r="FHI281" s="885"/>
      <c r="FHJ281" s="885"/>
      <c r="FHK281" s="885"/>
      <c r="FHL281" s="885"/>
      <c r="FHM281" s="885"/>
      <c r="FHN281" s="885"/>
      <c r="FHO281" s="885"/>
      <c r="FHP281" s="885"/>
      <c r="FHQ281" s="885"/>
      <c r="FHR281" s="885"/>
      <c r="FHS281" s="885"/>
      <c r="FHT281" s="885"/>
      <c r="FHU281" s="885"/>
      <c r="FHV281" s="885"/>
      <c r="FHW281" s="885"/>
      <c r="FHX281" s="885"/>
      <c r="FHY281" s="885"/>
      <c r="FHZ281" s="885"/>
      <c r="FIA281" s="885"/>
      <c r="FIB281" s="885"/>
      <c r="FIC281" s="885"/>
      <c r="FID281" s="885"/>
      <c r="FIE281" s="885"/>
      <c r="FIF281" s="885"/>
      <c r="FIG281" s="885"/>
      <c r="FIH281" s="885"/>
      <c r="FII281" s="885"/>
      <c r="FIJ281" s="885"/>
      <c r="FIK281" s="885"/>
      <c r="FIL281" s="885"/>
      <c r="FIM281" s="885"/>
      <c r="FIN281" s="885"/>
      <c r="FIO281" s="885"/>
      <c r="FIP281" s="885"/>
      <c r="FIQ281" s="885"/>
      <c r="FIR281" s="885"/>
      <c r="FIS281" s="885"/>
      <c r="FIT281" s="885"/>
      <c r="FIU281" s="885"/>
      <c r="FIV281" s="885"/>
      <c r="FIW281" s="885"/>
      <c r="FIX281" s="885"/>
      <c r="FIY281" s="885"/>
      <c r="FIZ281" s="885"/>
      <c r="FJA281" s="885"/>
      <c r="FJB281" s="885"/>
      <c r="FJC281" s="885"/>
      <c r="FJD281" s="885"/>
      <c r="FJE281" s="885"/>
      <c r="FJF281" s="885"/>
      <c r="FJG281" s="885"/>
      <c r="FJH281" s="885"/>
      <c r="FJI281" s="885"/>
      <c r="FJJ281" s="885"/>
      <c r="FJK281" s="885"/>
      <c r="FJL281" s="885"/>
      <c r="FJM281" s="885"/>
      <c r="FJN281" s="885"/>
      <c r="FJO281" s="885"/>
      <c r="FJP281" s="885"/>
      <c r="FJQ281" s="885"/>
      <c r="FJR281" s="885"/>
      <c r="FJS281" s="885"/>
      <c r="FJT281" s="885"/>
      <c r="FJU281" s="885"/>
      <c r="FJV281" s="885"/>
      <c r="FJW281" s="885"/>
      <c r="FJX281" s="885"/>
      <c r="FJY281" s="885"/>
      <c r="FJZ281" s="885"/>
      <c r="FKA281" s="885"/>
      <c r="FKB281" s="885"/>
      <c r="FKC281" s="885"/>
      <c r="FKD281" s="885"/>
      <c r="FKE281" s="885"/>
      <c r="FKF281" s="885"/>
      <c r="FKG281" s="885"/>
      <c r="FKH281" s="885"/>
      <c r="FKI281" s="885"/>
      <c r="FKJ281" s="885"/>
      <c r="FKK281" s="885"/>
      <c r="FKL281" s="885"/>
      <c r="FKM281" s="885"/>
      <c r="FKN281" s="885"/>
      <c r="FKO281" s="885"/>
      <c r="FKP281" s="885"/>
      <c r="FKQ281" s="885"/>
      <c r="FKR281" s="885"/>
      <c r="FKS281" s="885"/>
      <c r="FKT281" s="885"/>
      <c r="FKU281" s="885"/>
      <c r="FKV281" s="885"/>
      <c r="FKW281" s="885"/>
      <c r="FKX281" s="885"/>
      <c r="FKY281" s="885"/>
      <c r="FKZ281" s="885"/>
      <c r="FLA281" s="885"/>
      <c r="FLB281" s="885"/>
      <c r="FLC281" s="885"/>
      <c r="FLD281" s="885"/>
      <c r="FLE281" s="885"/>
      <c r="FLF281" s="885"/>
      <c r="FLG281" s="885"/>
      <c r="FLH281" s="885"/>
      <c r="FLI281" s="885"/>
      <c r="FLJ281" s="885"/>
      <c r="FLK281" s="885"/>
      <c r="FLL281" s="885"/>
      <c r="FLM281" s="885"/>
      <c r="FLN281" s="885"/>
      <c r="FLO281" s="885"/>
      <c r="FLP281" s="885"/>
      <c r="FLQ281" s="885"/>
      <c r="FLR281" s="885"/>
      <c r="FLS281" s="885"/>
      <c r="FLT281" s="885"/>
      <c r="FLU281" s="885"/>
      <c r="FLV281" s="885"/>
      <c r="FLW281" s="885"/>
      <c r="FLX281" s="885"/>
      <c r="FLY281" s="885"/>
      <c r="FLZ281" s="885"/>
      <c r="FMA281" s="885"/>
      <c r="FMB281" s="885"/>
      <c r="FMC281" s="885"/>
      <c r="FMD281" s="885"/>
      <c r="FME281" s="885"/>
      <c r="FMF281" s="885"/>
      <c r="FMG281" s="885"/>
      <c r="FMH281" s="885"/>
      <c r="FMI281" s="885"/>
      <c r="FMJ281" s="885"/>
      <c r="FMK281" s="885"/>
      <c r="FML281" s="885"/>
      <c r="FMM281" s="885"/>
      <c r="FMN281" s="885"/>
      <c r="FMO281" s="885"/>
      <c r="FMP281" s="885"/>
      <c r="FMQ281" s="885"/>
      <c r="FMR281" s="885"/>
      <c r="FMS281" s="885"/>
      <c r="FMT281" s="885"/>
      <c r="FMU281" s="885"/>
      <c r="FMV281" s="885"/>
      <c r="FMW281" s="885"/>
      <c r="FMX281" s="885"/>
      <c r="FMY281" s="885"/>
      <c r="FMZ281" s="885"/>
      <c r="FNA281" s="885"/>
      <c r="FNB281" s="885"/>
      <c r="FNC281" s="885"/>
      <c r="FND281" s="885"/>
      <c r="FNE281" s="885"/>
      <c r="FNF281" s="885"/>
      <c r="FNG281" s="885"/>
      <c r="FNH281" s="885"/>
      <c r="FNI281" s="885"/>
      <c r="FNJ281" s="885"/>
      <c r="FNK281" s="885"/>
      <c r="FNL281" s="885"/>
      <c r="FNM281" s="885"/>
      <c r="FNN281" s="885"/>
      <c r="FNO281" s="885"/>
      <c r="FNP281" s="885"/>
      <c r="FNQ281" s="885"/>
      <c r="FNR281" s="885"/>
      <c r="FNS281" s="885"/>
      <c r="FNT281" s="885"/>
      <c r="FNU281" s="885"/>
      <c r="FNV281" s="885"/>
      <c r="FNW281" s="885"/>
      <c r="FNX281" s="885"/>
      <c r="FNY281" s="885"/>
      <c r="FNZ281" s="885"/>
      <c r="FOA281" s="885"/>
      <c r="FOB281" s="885"/>
      <c r="FOC281" s="885"/>
      <c r="FOD281" s="885"/>
      <c r="FOE281" s="885"/>
      <c r="FOF281" s="885"/>
      <c r="FOG281" s="885"/>
      <c r="FOH281" s="885"/>
      <c r="FOI281" s="885"/>
      <c r="FOJ281" s="885"/>
      <c r="FOK281" s="885"/>
      <c r="FOL281" s="885"/>
      <c r="FOM281" s="885"/>
      <c r="FON281" s="885"/>
      <c r="FOO281" s="885"/>
      <c r="FOP281" s="885"/>
      <c r="FOQ281" s="885"/>
      <c r="FOR281" s="885"/>
      <c r="FOS281" s="885"/>
      <c r="FOT281" s="885"/>
      <c r="FOU281" s="885"/>
      <c r="FOV281" s="885"/>
      <c r="FOW281" s="885"/>
      <c r="FOX281" s="885"/>
      <c r="FOY281" s="885"/>
      <c r="FOZ281" s="885"/>
      <c r="FPA281" s="885"/>
      <c r="FPB281" s="885"/>
      <c r="FPC281" s="885"/>
      <c r="FPD281" s="885"/>
      <c r="FPE281" s="885"/>
      <c r="FPF281" s="885"/>
      <c r="FPG281" s="885"/>
      <c r="FPH281" s="885"/>
      <c r="FPI281" s="885"/>
      <c r="FPJ281" s="885"/>
      <c r="FPK281" s="885"/>
      <c r="FPL281" s="885"/>
      <c r="FPM281" s="885"/>
      <c r="FPN281" s="885"/>
      <c r="FPO281" s="885"/>
      <c r="FPP281" s="885"/>
      <c r="FPQ281" s="885"/>
      <c r="FPR281" s="885"/>
      <c r="FPS281" s="885"/>
      <c r="FPT281" s="885"/>
      <c r="FPU281" s="885"/>
      <c r="FPV281" s="885"/>
      <c r="FPW281" s="885"/>
      <c r="FPX281" s="885"/>
      <c r="FPY281" s="885"/>
      <c r="FPZ281" s="885"/>
      <c r="FQA281" s="885"/>
      <c r="FQB281" s="885"/>
      <c r="FQC281" s="885"/>
      <c r="FQD281" s="885"/>
      <c r="FQE281" s="885"/>
      <c r="FQF281" s="885"/>
      <c r="FQG281" s="885"/>
      <c r="FQH281" s="885"/>
      <c r="FQI281" s="885"/>
      <c r="FQJ281" s="885"/>
      <c r="FQK281" s="885"/>
      <c r="FQL281" s="885"/>
      <c r="FQM281" s="885"/>
      <c r="FQN281" s="885"/>
      <c r="FQO281" s="885"/>
      <c r="FQP281" s="885"/>
      <c r="FQQ281" s="885"/>
      <c r="FQR281" s="885"/>
      <c r="FQS281" s="885"/>
      <c r="FQT281" s="885"/>
      <c r="FQU281" s="885"/>
      <c r="FQV281" s="885"/>
      <c r="FQW281" s="885"/>
      <c r="FQX281" s="885"/>
      <c r="FQY281" s="885"/>
      <c r="FQZ281" s="885"/>
      <c r="FRA281" s="885"/>
      <c r="FRB281" s="885"/>
      <c r="FRC281" s="885"/>
      <c r="FRD281" s="885"/>
      <c r="FRE281" s="885"/>
      <c r="FRF281" s="885"/>
      <c r="FRG281" s="885"/>
      <c r="FRH281" s="885"/>
      <c r="FRI281" s="885"/>
      <c r="FRJ281" s="885"/>
      <c r="FRK281" s="885"/>
      <c r="FRL281" s="885"/>
      <c r="FRM281" s="885"/>
      <c r="FRN281" s="885"/>
      <c r="FRO281" s="885"/>
      <c r="FRP281" s="885"/>
      <c r="FRQ281" s="885"/>
      <c r="FRR281" s="885"/>
      <c r="FRS281" s="885"/>
      <c r="FRT281" s="885"/>
      <c r="FRU281" s="885"/>
      <c r="FRV281" s="885"/>
      <c r="FRW281" s="885"/>
      <c r="FRX281" s="885"/>
      <c r="FRY281" s="885"/>
      <c r="FRZ281" s="885"/>
      <c r="FSA281" s="885"/>
      <c r="FSB281" s="885"/>
      <c r="FSC281" s="885"/>
      <c r="FSD281" s="885"/>
      <c r="FSE281" s="885"/>
      <c r="FSF281" s="885"/>
      <c r="FSG281" s="885"/>
      <c r="FSH281" s="885"/>
      <c r="FSI281" s="885"/>
      <c r="FSJ281" s="885"/>
      <c r="FSK281" s="885"/>
      <c r="FSL281" s="885"/>
      <c r="FSM281" s="885"/>
      <c r="FSN281" s="885"/>
      <c r="FSO281" s="885"/>
      <c r="FSP281" s="885"/>
      <c r="FSQ281" s="885"/>
      <c r="FSR281" s="885"/>
      <c r="FSS281" s="885"/>
      <c r="FST281" s="885"/>
      <c r="FSU281" s="885"/>
      <c r="FSV281" s="885"/>
      <c r="FSW281" s="885"/>
      <c r="FSX281" s="885"/>
      <c r="FSY281" s="885"/>
      <c r="FSZ281" s="885"/>
      <c r="FTA281" s="885"/>
      <c r="FTB281" s="885"/>
      <c r="FTC281" s="885"/>
      <c r="FTD281" s="885"/>
      <c r="FTE281" s="885"/>
      <c r="FTF281" s="885"/>
      <c r="FTG281" s="885"/>
      <c r="FTH281" s="885"/>
      <c r="FTI281" s="885"/>
      <c r="FTJ281" s="885"/>
      <c r="FTK281" s="885"/>
      <c r="FTL281" s="885"/>
      <c r="FTM281" s="885"/>
      <c r="FTN281" s="885"/>
      <c r="FTO281" s="885"/>
      <c r="FTP281" s="885"/>
      <c r="FTQ281" s="885"/>
      <c r="FTR281" s="885"/>
      <c r="FTS281" s="885"/>
      <c r="FTT281" s="885"/>
      <c r="FTU281" s="885"/>
      <c r="FTV281" s="885"/>
      <c r="FTW281" s="885"/>
      <c r="FTX281" s="885"/>
      <c r="FTY281" s="885"/>
      <c r="FTZ281" s="885"/>
      <c r="FUA281" s="885"/>
      <c r="FUB281" s="885"/>
      <c r="FUC281" s="885"/>
      <c r="FUD281" s="885"/>
      <c r="FUE281" s="885"/>
      <c r="FUF281" s="885"/>
      <c r="FUG281" s="885"/>
      <c r="FUH281" s="885"/>
      <c r="FUI281" s="885"/>
      <c r="FUJ281" s="885"/>
      <c r="FUK281" s="885"/>
      <c r="FUL281" s="885"/>
      <c r="FUM281" s="885"/>
      <c r="FUN281" s="885"/>
      <c r="FUO281" s="885"/>
      <c r="FUP281" s="885"/>
      <c r="FUQ281" s="885"/>
      <c r="FUR281" s="885"/>
      <c r="FUS281" s="885"/>
      <c r="FUT281" s="885"/>
      <c r="FUU281" s="885"/>
      <c r="FUV281" s="885"/>
      <c r="FUW281" s="885"/>
      <c r="FUX281" s="885"/>
      <c r="FUY281" s="885"/>
      <c r="FUZ281" s="885"/>
      <c r="FVA281" s="885"/>
      <c r="FVB281" s="885"/>
      <c r="FVC281" s="885"/>
      <c r="FVD281" s="885"/>
      <c r="FVE281" s="885"/>
      <c r="FVF281" s="885"/>
      <c r="FVG281" s="885"/>
      <c r="FVH281" s="885"/>
      <c r="FVI281" s="885"/>
      <c r="FVJ281" s="885"/>
      <c r="FVK281" s="885"/>
      <c r="FVL281" s="885"/>
      <c r="FVM281" s="885"/>
      <c r="FVN281" s="885"/>
      <c r="FVO281" s="885"/>
      <c r="FVP281" s="885"/>
      <c r="FVQ281" s="885"/>
      <c r="FVR281" s="885"/>
      <c r="FVS281" s="885"/>
      <c r="FVT281" s="885"/>
      <c r="FVU281" s="885"/>
      <c r="FVV281" s="885"/>
      <c r="FVW281" s="885"/>
      <c r="FVX281" s="885"/>
      <c r="FVY281" s="885"/>
      <c r="FVZ281" s="885"/>
      <c r="FWA281" s="885"/>
      <c r="FWB281" s="885"/>
      <c r="FWC281" s="885"/>
      <c r="FWD281" s="885"/>
      <c r="FWE281" s="885"/>
      <c r="FWF281" s="885"/>
      <c r="FWG281" s="885"/>
      <c r="FWH281" s="885"/>
      <c r="FWI281" s="885"/>
      <c r="FWJ281" s="885"/>
      <c r="FWK281" s="885"/>
      <c r="FWL281" s="885"/>
      <c r="FWM281" s="885"/>
      <c r="FWN281" s="885"/>
      <c r="FWO281" s="885"/>
      <c r="FWP281" s="885"/>
      <c r="FWQ281" s="885"/>
      <c r="FWR281" s="885"/>
      <c r="FWS281" s="885"/>
      <c r="FWT281" s="885"/>
      <c r="FWU281" s="885"/>
      <c r="FWV281" s="885"/>
      <c r="FWW281" s="885"/>
      <c r="FWX281" s="885"/>
      <c r="FWY281" s="885"/>
      <c r="FWZ281" s="885"/>
      <c r="FXA281" s="885"/>
      <c r="FXB281" s="885"/>
      <c r="FXC281" s="885"/>
      <c r="FXD281" s="885"/>
      <c r="FXE281" s="885"/>
      <c r="FXF281" s="885"/>
      <c r="FXG281" s="885"/>
      <c r="FXH281" s="885"/>
      <c r="FXI281" s="885"/>
      <c r="FXJ281" s="885"/>
      <c r="FXK281" s="885"/>
      <c r="FXL281" s="885"/>
      <c r="FXM281" s="885"/>
      <c r="FXN281" s="885"/>
      <c r="FXO281" s="885"/>
      <c r="FXP281" s="885"/>
      <c r="FXQ281" s="885"/>
      <c r="FXR281" s="885"/>
      <c r="FXS281" s="885"/>
      <c r="FXT281" s="885"/>
      <c r="FXU281" s="885"/>
      <c r="FXV281" s="885"/>
      <c r="FXW281" s="885"/>
      <c r="FXX281" s="885"/>
      <c r="FXY281" s="885"/>
      <c r="FXZ281" s="885"/>
      <c r="FYA281" s="885"/>
      <c r="FYB281" s="885"/>
      <c r="FYC281" s="885"/>
      <c r="FYD281" s="885"/>
      <c r="FYE281" s="885"/>
      <c r="FYF281" s="885"/>
      <c r="FYG281" s="885"/>
      <c r="FYH281" s="885"/>
      <c r="FYI281" s="885"/>
      <c r="FYJ281" s="885"/>
      <c r="FYK281" s="885"/>
      <c r="FYL281" s="885"/>
      <c r="FYM281" s="885"/>
      <c r="FYN281" s="885"/>
      <c r="FYO281" s="885"/>
      <c r="FYP281" s="885"/>
      <c r="FYQ281" s="885"/>
      <c r="FYR281" s="885"/>
      <c r="FYS281" s="885"/>
      <c r="FYT281" s="885"/>
      <c r="FYU281" s="885"/>
      <c r="FYV281" s="885"/>
      <c r="FYW281" s="885"/>
      <c r="FYX281" s="885"/>
      <c r="FYY281" s="885"/>
      <c r="FYZ281" s="885"/>
      <c r="FZA281" s="885"/>
      <c r="FZB281" s="885"/>
      <c r="FZC281" s="885"/>
      <c r="FZD281" s="885"/>
      <c r="FZE281" s="885"/>
      <c r="FZF281" s="885"/>
      <c r="FZG281" s="885"/>
      <c r="FZH281" s="885"/>
      <c r="FZI281" s="885"/>
      <c r="FZJ281" s="885"/>
      <c r="FZK281" s="885"/>
      <c r="FZL281" s="885"/>
      <c r="FZM281" s="885"/>
      <c r="FZN281" s="885"/>
      <c r="FZO281" s="885"/>
      <c r="FZP281" s="885"/>
      <c r="FZQ281" s="885"/>
      <c r="FZR281" s="885"/>
      <c r="FZS281" s="885"/>
      <c r="FZT281" s="885"/>
      <c r="FZU281" s="885"/>
      <c r="FZV281" s="885"/>
      <c r="FZW281" s="885"/>
      <c r="FZX281" s="885"/>
      <c r="FZY281" s="885"/>
      <c r="FZZ281" s="885"/>
      <c r="GAA281" s="885"/>
      <c r="GAB281" s="885"/>
      <c r="GAC281" s="885"/>
      <c r="GAD281" s="885"/>
      <c r="GAE281" s="885"/>
      <c r="GAF281" s="885"/>
      <c r="GAG281" s="885"/>
      <c r="GAH281" s="885"/>
      <c r="GAI281" s="885"/>
      <c r="GAJ281" s="885"/>
      <c r="GAK281" s="885"/>
      <c r="GAL281" s="885"/>
      <c r="GAM281" s="885"/>
      <c r="GAN281" s="885"/>
      <c r="GAO281" s="885"/>
      <c r="GAP281" s="885"/>
      <c r="GAQ281" s="885"/>
      <c r="GAR281" s="885"/>
      <c r="GAS281" s="885"/>
      <c r="GAT281" s="885"/>
      <c r="GAU281" s="885"/>
      <c r="GAV281" s="885"/>
      <c r="GAW281" s="885"/>
      <c r="GAX281" s="885"/>
      <c r="GAY281" s="885"/>
      <c r="GAZ281" s="885"/>
      <c r="GBA281" s="885"/>
      <c r="GBB281" s="885"/>
      <c r="GBC281" s="885"/>
      <c r="GBD281" s="885"/>
      <c r="GBE281" s="885"/>
      <c r="GBF281" s="885"/>
      <c r="GBG281" s="885"/>
      <c r="GBH281" s="885"/>
      <c r="GBI281" s="885"/>
      <c r="GBJ281" s="885"/>
      <c r="GBK281" s="885"/>
      <c r="GBL281" s="885"/>
      <c r="GBM281" s="885"/>
      <c r="GBN281" s="885"/>
      <c r="GBO281" s="885"/>
      <c r="GBP281" s="885"/>
      <c r="GBQ281" s="885"/>
      <c r="GBR281" s="885"/>
      <c r="GBS281" s="885"/>
      <c r="GBT281" s="885"/>
      <c r="GBU281" s="885"/>
      <c r="GBV281" s="885"/>
      <c r="GBW281" s="885"/>
      <c r="GBX281" s="885"/>
      <c r="GBY281" s="885"/>
      <c r="GBZ281" s="885"/>
      <c r="GCA281" s="885"/>
      <c r="GCB281" s="885"/>
      <c r="GCC281" s="885"/>
      <c r="GCD281" s="885"/>
      <c r="GCE281" s="885"/>
      <c r="GCF281" s="885"/>
      <c r="GCG281" s="885"/>
      <c r="GCH281" s="885"/>
      <c r="GCI281" s="885"/>
      <c r="GCJ281" s="885"/>
      <c r="GCK281" s="885"/>
      <c r="GCL281" s="885"/>
      <c r="GCM281" s="885"/>
      <c r="GCN281" s="885"/>
      <c r="GCO281" s="885"/>
      <c r="GCP281" s="885"/>
      <c r="GCQ281" s="885"/>
      <c r="GCR281" s="885"/>
      <c r="GCS281" s="885"/>
      <c r="GCT281" s="885"/>
      <c r="GCU281" s="885"/>
      <c r="GCV281" s="885"/>
      <c r="GCW281" s="885"/>
      <c r="GCX281" s="885"/>
      <c r="GCY281" s="885"/>
      <c r="GCZ281" s="885"/>
      <c r="GDA281" s="885"/>
      <c r="GDB281" s="885"/>
      <c r="GDC281" s="885"/>
      <c r="GDD281" s="885"/>
      <c r="GDE281" s="885"/>
      <c r="GDF281" s="885"/>
      <c r="GDG281" s="885"/>
      <c r="GDH281" s="885"/>
      <c r="GDI281" s="885"/>
      <c r="GDJ281" s="885"/>
      <c r="GDK281" s="885"/>
      <c r="GDL281" s="885"/>
      <c r="GDM281" s="885"/>
      <c r="GDN281" s="885"/>
      <c r="GDO281" s="885"/>
      <c r="GDP281" s="885"/>
      <c r="GDQ281" s="885"/>
      <c r="GDR281" s="885"/>
      <c r="GDS281" s="885"/>
      <c r="GDT281" s="885"/>
      <c r="GDU281" s="885"/>
      <c r="GDV281" s="885"/>
      <c r="GDW281" s="885"/>
      <c r="GDX281" s="885"/>
      <c r="GDY281" s="885"/>
      <c r="GDZ281" s="885"/>
      <c r="GEA281" s="885"/>
      <c r="GEB281" s="885"/>
      <c r="GEC281" s="885"/>
      <c r="GED281" s="885"/>
      <c r="GEE281" s="885"/>
      <c r="GEF281" s="885"/>
      <c r="GEG281" s="885"/>
      <c r="GEH281" s="885"/>
      <c r="GEI281" s="885"/>
      <c r="GEJ281" s="885"/>
      <c r="GEK281" s="885"/>
      <c r="GEL281" s="885"/>
      <c r="GEM281" s="885"/>
      <c r="GEN281" s="885"/>
      <c r="GEO281" s="885"/>
      <c r="GEP281" s="885"/>
      <c r="GEQ281" s="885"/>
      <c r="GER281" s="885"/>
      <c r="GES281" s="885"/>
      <c r="GET281" s="885"/>
      <c r="GEU281" s="885"/>
      <c r="GEV281" s="885"/>
      <c r="GEW281" s="885"/>
      <c r="GEX281" s="885"/>
      <c r="GEY281" s="885"/>
      <c r="GEZ281" s="885"/>
      <c r="GFA281" s="885"/>
      <c r="GFB281" s="885"/>
      <c r="GFC281" s="885"/>
      <c r="GFD281" s="885"/>
      <c r="GFE281" s="885"/>
      <c r="GFF281" s="885"/>
      <c r="GFG281" s="885"/>
      <c r="GFH281" s="885"/>
      <c r="GFI281" s="885"/>
      <c r="GFJ281" s="885"/>
      <c r="GFK281" s="885"/>
      <c r="GFL281" s="885"/>
      <c r="GFM281" s="885"/>
      <c r="GFN281" s="885"/>
      <c r="GFO281" s="885"/>
      <c r="GFP281" s="885"/>
      <c r="GFQ281" s="885"/>
      <c r="GFR281" s="885"/>
      <c r="GFS281" s="885"/>
      <c r="GFT281" s="885"/>
      <c r="GFU281" s="885"/>
      <c r="GFV281" s="885"/>
      <c r="GFW281" s="885"/>
      <c r="GFX281" s="885"/>
      <c r="GFY281" s="885"/>
      <c r="GFZ281" s="885"/>
      <c r="GGA281" s="885"/>
      <c r="GGB281" s="885"/>
      <c r="GGC281" s="885"/>
      <c r="GGD281" s="885"/>
      <c r="GGE281" s="885"/>
      <c r="GGF281" s="885"/>
      <c r="GGG281" s="885"/>
      <c r="GGH281" s="885"/>
      <c r="GGI281" s="885"/>
      <c r="GGJ281" s="885"/>
      <c r="GGK281" s="885"/>
      <c r="GGL281" s="885"/>
      <c r="GGM281" s="885"/>
      <c r="GGN281" s="885"/>
      <c r="GGO281" s="885"/>
      <c r="GGP281" s="885"/>
      <c r="GGQ281" s="885"/>
      <c r="GGR281" s="885"/>
      <c r="GGS281" s="885"/>
      <c r="GGT281" s="885"/>
      <c r="GGU281" s="885"/>
      <c r="GGV281" s="885"/>
      <c r="GGW281" s="885"/>
      <c r="GGX281" s="885"/>
      <c r="GGY281" s="885"/>
      <c r="GGZ281" s="885"/>
      <c r="GHA281" s="885"/>
      <c r="GHB281" s="885"/>
      <c r="GHC281" s="885"/>
      <c r="GHD281" s="885"/>
      <c r="GHE281" s="885"/>
      <c r="GHF281" s="885"/>
      <c r="GHG281" s="885"/>
      <c r="GHH281" s="885"/>
      <c r="GHI281" s="885"/>
      <c r="GHJ281" s="885"/>
      <c r="GHK281" s="885"/>
      <c r="GHL281" s="885"/>
      <c r="GHM281" s="885"/>
      <c r="GHN281" s="885"/>
      <c r="GHO281" s="885"/>
      <c r="GHP281" s="885"/>
      <c r="GHQ281" s="885"/>
      <c r="GHR281" s="885"/>
      <c r="GHS281" s="885"/>
      <c r="GHT281" s="885"/>
      <c r="GHU281" s="885"/>
      <c r="GHV281" s="885"/>
      <c r="GHW281" s="885"/>
      <c r="GHX281" s="885"/>
      <c r="GHY281" s="885"/>
      <c r="GHZ281" s="885"/>
      <c r="GIA281" s="885"/>
      <c r="GIB281" s="885"/>
      <c r="GIC281" s="885"/>
      <c r="GID281" s="885"/>
      <c r="GIE281" s="885"/>
      <c r="GIF281" s="885"/>
      <c r="GIG281" s="885"/>
      <c r="GIH281" s="885"/>
      <c r="GII281" s="885"/>
      <c r="GIJ281" s="885"/>
      <c r="GIK281" s="885"/>
      <c r="GIL281" s="885"/>
      <c r="GIM281" s="885"/>
      <c r="GIN281" s="885"/>
      <c r="GIO281" s="885"/>
      <c r="GIP281" s="885"/>
      <c r="GIQ281" s="885"/>
      <c r="GIR281" s="885"/>
      <c r="GIS281" s="885"/>
      <c r="GIT281" s="885"/>
      <c r="GIU281" s="885"/>
      <c r="GIV281" s="885"/>
      <c r="GIW281" s="885"/>
      <c r="GIX281" s="885"/>
      <c r="GIY281" s="885"/>
      <c r="GIZ281" s="885"/>
      <c r="GJA281" s="885"/>
      <c r="GJB281" s="885"/>
      <c r="GJC281" s="885"/>
      <c r="GJD281" s="885"/>
      <c r="GJE281" s="885"/>
      <c r="GJF281" s="885"/>
      <c r="GJG281" s="885"/>
      <c r="GJH281" s="885"/>
      <c r="GJI281" s="885"/>
      <c r="GJJ281" s="885"/>
      <c r="GJK281" s="885"/>
      <c r="GJL281" s="885"/>
      <c r="GJM281" s="885"/>
      <c r="GJN281" s="885"/>
      <c r="GJO281" s="885"/>
      <c r="GJP281" s="885"/>
      <c r="GJQ281" s="885"/>
      <c r="GJR281" s="885"/>
      <c r="GJS281" s="885"/>
      <c r="GJT281" s="885"/>
      <c r="GJU281" s="885"/>
      <c r="GJV281" s="885"/>
      <c r="GJW281" s="885"/>
      <c r="GJX281" s="885"/>
      <c r="GJY281" s="885"/>
      <c r="GJZ281" s="885"/>
      <c r="GKA281" s="885"/>
      <c r="GKB281" s="885"/>
      <c r="GKC281" s="885"/>
      <c r="GKD281" s="885"/>
      <c r="GKE281" s="885"/>
      <c r="GKF281" s="885"/>
      <c r="GKG281" s="885"/>
      <c r="GKH281" s="885"/>
      <c r="GKI281" s="885"/>
      <c r="GKJ281" s="885"/>
      <c r="GKK281" s="885"/>
      <c r="GKL281" s="885"/>
      <c r="GKM281" s="885"/>
      <c r="GKN281" s="885"/>
      <c r="GKO281" s="885"/>
      <c r="GKP281" s="885"/>
      <c r="GKQ281" s="885"/>
      <c r="GKR281" s="885"/>
      <c r="GKS281" s="885"/>
      <c r="GKT281" s="885"/>
      <c r="GKU281" s="885"/>
      <c r="GKV281" s="885"/>
      <c r="GKW281" s="885"/>
      <c r="GKX281" s="885"/>
      <c r="GKY281" s="885"/>
      <c r="GKZ281" s="885"/>
      <c r="GLA281" s="885"/>
      <c r="GLB281" s="885"/>
      <c r="GLC281" s="885"/>
      <c r="GLD281" s="885"/>
      <c r="GLE281" s="885"/>
      <c r="GLF281" s="885"/>
      <c r="GLG281" s="885"/>
      <c r="GLH281" s="885"/>
      <c r="GLI281" s="885"/>
      <c r="GLJ281" s="885"/>
      <c r="GLK281" s="885"/>
      <c r="GLL281" s="885"/>
      <c r="GLM281" s="885"/>
      <c r="GLN281" s="885"/>
      <c r="GLO281" s="885"/>
      <c r="GLP281" s="885"/>
      <c r="GLQ281" s="885"/>
      <c r="GLR281" s="885"/>
      <c r="GLS281" s="885"/>
      <c r="GLT281" s="885"/>
      <c r="GLU281" s="885"/>
      <c r="GLV281" s="885"/>
      <c r="GLW281" s="885"/>
      <c r="GLX281" s="885"/>
      <c r="GLY281" s="885"/>
      <c r="GLZ281" s="885"/>
      <c r="GMA281" s="885"/>
      <c r="GMB281" s="885"/>
      <c r="GMC281" s="885"/>
      <c r="GMD281" s="885"/>
      <c r="GME281" s="885"/>
      <c r="GMF281" s="885"/>
      <c r="GMG281" s="885"/>
      <c r="GMH281" s="885"/>
      <c r="GMI281" s="885"/>
      <c r="GMJ281" s="885"/>
      <c r="GMK281" s="885"/>
      <c r="GML281" s="885"/>
      <c r="GMM281" s="885"/>
      <c r="GMN281" s="885"/>
      <c r="GMO281" s="885"/>
      <c r="GMP281" s="885"/>
      <c r="GMQ281" s="885"/>
      <c r="GMR281" s="885"/>
      <c r="GMS281" s="885"/>
      <c r="GMT281" s="885"/>
      <c r="GMU281" s="885"/>
      <c r="GMV281" s="885"/>
      <c r="GMW281" s="885"/>
      <c r="GMX281" s="885"/>
      <c r="GMY281" s="885"/>
      <c r="GMZ281" s="885"/>
      <c r="GNA281" s="885"/>
      <c r="GNB281" s="885"/>
      <c r="GNC281" s="885"/>
      <c r="GND281" s="885"/>
      <c r="GNE281" s="885"/>
      <c r="GNF281" s="885"/>
      <c r="GNG281" s="885"/>
      <c r="GNH281" s="885"/>
      <c r="GNI281" s="885"/>
      <c r="GNJ281" s="885"/>
      <c r="GNK281" s="885"/>
      <c r="GNL281" s="885"/>
      <c r="GNM281" s="885"/>
      <c r="GNN281" s="885"/>
      <c r="GNO281" s="885"/>
      <c r="GNP281" s="885"/>
      <c r="GNQ281" s="885"/>
      <c r="GNR281" s="885"/>
      <c r="GNS281" s="885"/>
      <c r="GNT281" s="885"/>
      <c r="GNU281" s="885"/>
      <c r="GNV281" s="885"/>
      <c r="GNW281" s="885"/>
      <c r="GNX281" s="885"/>
      <c r="GNY281" s="885"/>
      <c r="GNZ281" s="885"/>
      <c r="GOA281" s="885"/>
      <c r="GOB281" s="885"/>
      <c r="GOC281" s="885"/>
      <c r="GOD281" s="885"/>
      <c r="GOE281" s="885"/>
      <c r="GOF281" s="885"/>
      <c r="GOG281" s="885"/>
      <c r="GOH281" s="885"/>
      <c r="GOI281" s="885"/>
      <c r="GOJ281" s="885"/>
      <c r="GOK281" s="885"/>
      <c r="GOL281" s="885"/>
      <c r="GOM281" s="885"/>
      <c r="GON281" s="885"/>
      <c r="GOO281" s="885"/>
      <c r="GOP281" s="885"/>
      <c r="GOQ281" s="885"/>
      <c r="GOR281" s="885"/>
      <c r="GOS281" s="885"/>
      <c r="GOT281" s="885"/>
      <c r="GOU281" s="885"/>
      <c r="GOV281" s="885"/>
      <c r="GOW281" s="885"/>
      <c r="GOX281" s="885"/>
      <c r="GOY281" s="885"/>
      <c r="GOZ281" s="885"/>
      <c r="GPA281" s="885"/>
      <c r="GPB281" s="885"/>
      <c r="GPC281" s="885"/>
      <c r="GPD281" s="885"/>
      <c r="GPE281" s="885"/>
      <c r="GPF281" s="885"/>
      <c r="GPG281" s="885"/>
      <c r="GPH281" s="885"/>
      <c r="GPI281" s="885"/>
      <c r="GPJ281" s="885"/>
      <c r="GPK281" s="885"/>
      <c r="GPL281" s="885"/>
      <c r="GPM281" s="885"/>
      <c r="GPN281" s="885"/>
      <c r="GPO281" s="885"/>
      <c r="GPP281" s="885"/>
      <c r="GPQ281" s="885"/>
      <c r="GPR281" s="885"/>
      <c r="GPS281" s="885"/>
      <c r="GPT281" s="885"/>
      <c r="GPU281" s="885"/>
      <c r="GPV281" s="885"/>
      <c r="GPW281" s="885"/>
      <c r="GPX281" s="885"/>
      <c r="GPY281" s="885"/>
      <c r="GPZ281" s="885"/>
      <c r="GQA281" s="885"/>
      <c r="GQB281" s="885"/>
      <c r="GQC281" s="885"/>
      <c r="GQD281" s="885"/>
      <c r="GQE281" s="885"/>
      <c r="GQF281" s="885"/>
      <c r="GQG281" s="885"/>
      <c r="GQH281" s="885"/>
      <c r="GQI281" s="885"/>
      <c r="GQJ281" s="885"/>
      <c r="GQK281" s="885"/>
      <c r="GQL281" s="885"/>
      <c r="GQM281" s="885"/>
      <c r="GQN281" s="885"/>
      <c r="GQO281" s="885"/>
      <c r="GQP281" s="885"/>
      <c r="GQQ281" s="885"/>
      <c r="GQR281" s="885"/>
      <c r="GQS281" s="885"/>
      <c r="GQT281" s="885"/>
      <c r="GQU281" s="885"/>
      <c r="GQV281" s="885"/>
      <c r="GQW281" s="885"/>
      <c r="GQX281" s="885"/>
      <c r="GQY281" s="885"/>
      <c r="GQZ281" s="885"/>
      <c r="GRA281" s="885"/>
      <c r="GRB281" s="885"/>
      <c r="GRC281" s="885"/>
      <c r="GRD281" s="885"/>
      <c r="GRE281" s="885"/>
      <c r="GRF281" s="885"/>
      <c r="GRG281" s="885"/>
      <c r="GRH281" s="885"/>
      <c r="GRI281" s="885"/>
      <c r="GRJ281" s="885"/>
      <c r="GRK281" s="885"/>
      <c r="GRL281" s="885"/>
      <c r="GRM281" s="885"/>
      <c r="GRN281" s="885"/>
      <c r="GRO281" s="885"/>
      <c r="GRP281" s="885"/>
      <c r="GRQ281" s="885"/>
      <c r="GRR281" s="885"/>
      <c r="GRS281" s="885"/>
      <c r="GRT281" s="885"/>
      <c r="GRU281" s="885"/>
      <c r="GRV281" s="885"/>
      <c r="GRW281" s="885"/>
      <c r="GRX281" s="885"/>
      <c r="GRY281" s="885"/>
      <c r="GRZ281" s="885"/>
      <c r="GSA281" s="885"/>
      <c r="GSB281" s="885"/>
      <c r="GSC281" s="885"/>
      <c r="GSD281" s="885"/>
      <c r="GSE281" s="885"/>
      <c r="GSF281" s="885"/>
      <c r="GSG281" s="885"/>
      <c r="GSH281" s="885"/>
      <c r="GSI281" s="885"/>
      <c r="GSJ281" s="885"/>
      <c r="GSK281" s="885"/>
      <c r="GSL281" s="885"/>
      <c r="GSM281" s="885"/>
      <c r="GSN281" s="885"/>
      <c r="GSO281" s="885"/>
      <c r="GSP281" s="885"/>
      <c r="GSQ281" s="885"/>
      <c r="GSR281" s="885"/>
      <c r="GSS281" s="885"/>
      <c r="GST281" s="885"/>
      <c r="GSU281" s="885"/>
      <c r="GSV281" s="885"/>
      <c r="GSW281" s="885"/>
      <c r="GSX281" s="885"/>
      <c r="GSY281" s="885"/>
      <c r="GSZ281" s="885"/>
      <c r="GTA281" s="885"/>
      <c r="GTB281" s="885"/>
      <c r="GTC281" s="885"/>
      <c r="GTD281" s="885"/>
      <c r="GTE281" s="885"/>
      <c r="GTF281" s="885"/>
      <c r="GTG281" s="885"/>
      <c r="GTH281" s="885"/>
      <c r="GTI281" s="885"/>
      <c r="GTJ281" s="885"/>
      <c r="GTK281" s="885"/>
      <c r="GTL281" s="885"/>
      <c r="GTM281" s="885"/>
      <c r="GTN281" s="885"/>
      <c r="GTO281" s="885"/>
      <c r="GTP281" s="885"/>
      <c r="GTQ281" s="885"/>
      <c r="GTR281" s="885"/>
      <c r="GTS281" s="885"/>
      <c r="GTT281" s="885"/>
      <c r="GTU281" s="885"/>
      <c r="GTV281" s="885"/>
      <c r="GTW281" s="885"/>
      <c r="GTX281" s="885"/>
      <c r="GTY281" s="885"/>
      <c r="GTZ281" s="885"/>
      <c r="GUA281" s="885"/>
      <c r="GUB281" s="885"/>
      <c r="GUC281" s="885"/>
      <c r="GUD281" s="885"/>
      <c r="GUE281" s="885"/>
      <c r="GUF281" s="885"/>
      <c r="GUG281" s="885"/>
      <c r="GUH281" s="885"/>
      <c r="GUI281" s="885"/>
      <c r="GUJ281" s="885"/>
      <c r="GUK281" s="885"/>
      <c r="GUL281" s="885"/>
      <c r="GUM281" s="885"/>
      <c r="GUN281" s="885"/>
      <c r="GUO281" s="885"/>
      <c r="GUP281" s="885"/>
      <c r="GUQ281" s="885"/>
      <c r="GUR281" s="885"/>
      <c r="GUS281" s="885"/>
      <c r="GUT281" s="885"/>
      <c r="GUU281" s="885"/>
      <c r="GUV281" s="885"/>
      <c r="GUW281" s="885"/>
      <c r="GUX281" s="885"/>
      <c r="GUY281" s="885"/>
      <c r="GUZ281" s="885"/>
      <c r="GVA281" s="885"/>
      <c r="GVB281" s="885"/>
      <c r="GVC281" s="885"/>
      <c r="GVD281" s="885"/>
      <c r="GVE281" s="885"/>
      <c r="GVF281" s="885"/>
      <c r="GVG281" s="885"/>
      <c r="GVH281" s="885"/>
      <c r="GVI281" s="885"/>
      <c r="GVJ281" s="885"/>
      <c r="GVK281" s="885"/>
      <c r="GVL281" s="885"/>
      <c r="GVM281" s="885"/>
      <c r="GVN281" s="885"/>
      <c r="GVO281" s="885"/>
      <c r="GVP281" s="885"/>
      <c r="GVQ281" s="885"/>
      <c r="GVR281" s="885"/>
      <c r="GVS281" s="885"/>
      <c r="GVT281" s="885"/>
      <c r="GVU281" s="885"/>
      <c r="GVV281" s="885"/>
      <c r="GVW281" s="885"/>
      <c r="GVX281" s="885"/>
      <c r="GVY281" s="885"/>
      <c r="GVZ281" s="885"/>
      <c r="GWA281" s="885"/>
      <c r="GWB281" s="885"/>
      <c r="GWC281" s="885"/>
      <c r="GWD281" s="885"/>
      <c r="GWE281" s="885"/>
      <c r="GWF281" s="885"/>
      <c r="GWG281" s="885"/>
      <c r="GWH281" s="885"/>
      <c r="GWI281" s="885"/>
      <c r="GWJ281" s="885"/>
      <c r="GWK281" s="885"/>
      <c r="GWL281" s="885"/>
      <c r="GWM281" s="885"/>
      <c r="GWN281" s="885"/>
      <c r="GWO281" s="885"/>
      <c r="GWP281" s="885"/>
      <c r="GWQ281" s="885"/>
      <c r="GWR281" s="885"/>
      <c r="GWS281" s="885"/>
      <c r="GWT281" s="885"/>
      <c r="GWU281" s="885"/>
      <c r="GWV281" s="885"/>
      <c r="GWW281" s="885"/>
      <c r="GWX281" s="885"/>
      <c r="GWY281" s="885"/>
      <c r="GWZ281" s="885"/>
      <c r="GXA281" s="885"/>
      <c r="GXB281" s="885"/>
      <c r="GXC281" s="885"/>
      <c r="GXD281" s="885"/>
      <c r="GXE281" s="885"/>
      <c r="GXF281" s="885"/>
      <c r="GXG281" s="885"/>
      <c r="GXH281" s="885"/>
      <c r="GXI281" s="885"/>
      <c r="GXJ281" s="885"/>
      <c r="GXK281" s="885"/>
      <c r="GXL281" s="885"/>
      <c r="GXM281" s="885"/>
      <c r="GXN281" s="885"/>
      <c r="GXO281" s="885"/>
      <c r="GXP281" s="885"/>
      <c r="GXQ281" s="885"/>
      <c r="GXR281" s="885"/>
      <c r="GXS281" s="885"/>
      <c r="GXT281" s="885"/>
      <c r="GXU281" s="885"/>
      <c r="GXV281" s="885"/>
      <c r="GXW281" s="885"/>
      <c r="GXX281" s="885"/>
      <c r="GXY281" s="885"/>
      <c r="GXZ281" s="885"/>
      <c r="GYA281" s="885"/>
      <c r="GYB281" s="885"/>
      <c r="GYC281" s="885"/>
      <c r="GYD281" s="885"/>
      <c r="GYE281" s="885"/>
      <c r="GYF281" s="885"/>
      <c r="GYG281" s="885"/>
      <c r="GYH281" s="885"/>
      <c r="GYI281" s="885"/>
      <c r="GYJ281" s="885"/>
      <c r="GYK281" s="885"/>
      <c r="GYL281" s="885"/>
      <c r="GYM281" s="885"/>
      <c r="GYN281" s="885"/>
      <c r="GYO281" s="885"/>
      <c r="GYP281" s="885"/>
      <c r="GYQ281" s="885"/>
      <c r="GYR281" s="885"/>
      <c r="GYS281" s="885"/>
      <c r="GYT281" s="885"/>
      <c r="GYU281" s="885"/>
      <c r="GYV281" s="885"/>
      <c r="GYW281" s="885"/>
      <c r="GYX281" s="885"/>
      <c r="GYY281" s="885"/>
      <c r="GYZ281" s="885"/>
      <c r="GZA281" s="885"/>
      <c r="GZB281" s="885"/>
      <c r="GZC281" s="885"/>
      <c r="GZD281" s="885"/>
      <c r="GZE281" s="885"/>
      <c r="GZF281" s="885"/>
      <c r="GZG281" s="885"/>
      <c r="GZH281" s="885"/>
      <c r="GZI281" s="885"/>
      <c r="GZJ281" s="885"/>
      <c r="GZK281" s="885"/>
      <c r="GZL281" s="885"/>
      <c r="GZM281" s="885"/>
      <c r="GZN281" s="885"/>
      <c r="GZO281" s="885"/>
      <c r="GZP281" s="885"/>
      <c r="GZQ281" s="885"/>
      <c r="GZR281" s="885"/>
      <c r="GZS281" s="885"/>
      <c r="GZT281" s="885"/>
      <c r="GZU281" s="885"/>
      <c r="GZV281" s="885"/>
      <c r="GZW281" s="885"/>
      <c r="GZX281" s="885"/>
      <c r="GZY281" s="885"/>
      <c r="GZZ281" s="885"/>
      <c r="HAA281" s="885"/>
      <c r="HAB281" s="885"/>
      <c r="HAC281" s="885"/>
      <c r="HAD281" s="885"/>
      <c r="HAE281" s="885"/>
      <c r="HAF281" s="885"/>
      <c r="HAG281" s="885"/>
      <c r="HAH281" s="885"/>
      <c r="HAI281" s="885"/>
      <c r="HAJ281" s="885"/>
      <c r="HAK281" s="885"/>
      <c r="HAL281" s="885"/>
      <c r="HAM281" s="885"/>
      <c r="HAN281" s="885"/>
      <c r="HAO281" s="885"/>
      <c r="HAP281" s="885"/>
      <c r="HAQ281" s="885"/>
      <c r="HAR281" s="885"/>
      <c r="HAS281" s="885"/>
      <c r="HAT281" s="885"/>
      <c r="HAU281" s="885"/>
      <c r="HAV281" s="885"/>
      <c r="HAW281" s="885"/>
      <c r="HAX281" s="885"/>
      <c r="HAY281" s="885"/>
      <c r="HAZ281" s="885"/>
      <c r="HBA281" s="885"/>
      <c r="HBB281" s="885"/>
      <c r="HBC281" s="885"/>
      <c r="HBD281" s="885"/>
      <c r="HBE281" s="885"/>
      <c r="HBF281" s="885"/>
      <c r="HBG281" s="885"/>
      <c r="HBH281" s="885"/>
      <c r="HBI281" s="885"/>
      <c r="HBJ281" s="885"/>
      <c r="HBK281" s="885"/>
      <c r="HBL281" s="885"/>
      <c r="HBM281" s="885"/>
      <c r="HBN281" s="885"/>
      <c r="HBO281" s="885"/>
      <c r="HBP281" s="885"/>
      <c r="HBQ281" s="885"/>
      <c r="HBR281" s="885"/>
      <c r="HBS281" s="885"/>
      <c r="HBT281" s="885"/>
      <c r="HBU281" s="885"/>
      <c r="HBV281" s="885"/>
      <c r="HBW281" s="885"/>
      <c r="HBX281" s="885"/>
      <c r="HBY281" s="885"/>
      <c r="HBZ281" s="885"/>
      <c r="HCA281" s="885"/>
      <c r="HCB281" s="885"/>
      <c r="HCC281" s="885"/>
      <c r="HCD281" s="885"/>
      <c r="HCE281" s="885"/>
      <c r="HCF281" s="885"/>
      <c r="HCG281" s="885"/>
      <c r="HCH281" s="885"/>
      <c r="HCI281" s="885"/>
      <c r="HCJ281" s="885"/>
      <c r="HCK281" s="885"/>
      <c r="HCL281" s="885"/>
      <c r="HCM281" s="885"/>
      <c r="HCN281" s="885"/>
      <c r="HCO281" s="885"/>
      <c r="HCP281" s="885"/>
      <c r="HCQ281" s="885"/>
      <c r="HCR281" s="885"/>
      <c r="HCS281" s="885"/>
      <c r="HCT281" s="885"/>
      <c r="HCU281" s="885"/>
      <c r="HCV281" s="885"/>
      <c r="HCW281" s="885"/>
      <c r="HCX281" s="885"/>
      <c r="HCY281" s="885"/>
      <c r="HCZ281" s="885"/>
      <c r="HDA281" s="885"/>
      <c r="HDB281" s="885"/>
      <c r="HDC281" s="885"/>
      <c r="HDD281" s="885"/>
      <c r="HDE281" s="885"/>
      <c r="HDF281" s="885"/>
      <c r="HDG281" s="885"/>
      <c r="HDH281" s="885"/>
      <c r="HDI281" s="885"/>
      <c r="HDJ281" s="885"/>
      <c r="HDK281" s="885"/>
      <c r="HDL281" s="885"/>
      <c r="HDM281" s="885"/>
      <c r="HDN281" s="885"/>
      <c r="HDO281" s="885"/>
      <c r="HDP281" s="885"/>
      <c r="HDQ281" s="885"/>
      <c r="HDR281" s="885"/>
      <c r="HDS281" s="885"/>
      <c r="HDT281" s="885"/>
      <c r="HDU281" s="885"/>
      <c r="HDV281" s="885"/>
      <c r="HDW281" s="885"/>
      <c r="HDX281" s="885"/>
      <c r="HDY281" s="885"/>
      <c r="HDZ281" s="885"/>
      <c r="HEA281" s="885"/>
      <c r="HEB281" s="885"/>
      <c r="HEC281" s="885"/>
      <c r="HED281" s="885"/>
      <c r="HEE281" s="885"/>
      <c r="HEF281" s="885"/>
      <c r="HEG281" s="885"/>
      <c r="HEH281" s="885"/>
      <c r="HEI281" s="885"/>
      <c r="HEJ281" s="885"/>
      <c r="HEK281" s="885"/>
      <c r="HEL281" s="885"/>
      <c r="HEM281" s="885"/>
      <c r="HEN281" s="885"/>
      <c r="HEO281" s="885"/>
      <c r="HEP281" s="885"/>
      <c r="HEQ281" s="885"/>
      <c r="HER281" s="885"/>
      <c r="HES281" s="885"/>
      <c r="HET281" s="885"/>
      <c r="HEU281" s="885"/>
      <c r="HEV281" s="885"/>
      <c r="HEW281" s="885"/>
      <c r="HEX281" s="885"/>
      <c r="HEY281" s="885"/>
      <c r="HEZ281" s="885"/>
      <c r="HFA281" s="885"/>
      <c r="HFB281" s="885"/>
      <c r="HFC281" s="885"/>
      <c r="HFD281" s="885"/>
      <c r="HFE281" s="885"/>
      <c r="HFF281" s="885"/>
      <c r="HFG281" s="885"/>
      <c r="HFH281" s="885"/>
      <c r="HFI281" s="885"/>
      <c r="HFJ281" s="885"/>
      <c r="HFK281" s="885"/>
      <c r="HFL281" s="885"/>
      <c r="HFM281" s="885"/>
      <c r="HFN281" s="885"/>
      <c r="HFO281" s="885"/>
      <c r="HFP281" s="885"/>
      <c r="HFQ281" s="885"/>
      <c r="HFR281" s="885"/>
      <c r="HFS281" s="885"/>
      <c r="HFT281" s="885"/>
      <c r="HFU281" s="885"/>
      <c r="HFV281" s="885"/>
      <c r="HFW281" s="885"/>
      <c r="HFX281" s="885"/>
      <c r="HFY281" s="885"/>
      <c r="HFZ281" s="885"/>
      <c r="HGA281" s="885"/>
      <c r="HGB281" s="885"/>
      <c r="HGC281" s="885"/>
      <c r="HGD281" s="885"/>
      <c r="HGE281" s="885"/>
      <c r="HGF281" s="885"/>
      <c r="HGG281" s="885"/>
      <c r="HGH281" s="885"/>
      <c r="HGI281" s="885"/>
      <c r="HGJ281" s="885"/>
      <c r="HGK281" s="885"/>
      <c r="HGL281" s="885"/>
      <c r="HGM281" s="885"/>
      <c r="HGN281" s="885"/>
      <c r="HGO281" s="885"/>
      <c r="HGP281" s="885"/>
      <c r="HGQ281" s="885"/>
      <c r="HGR281" s="885"/>
      <c r="HGS281" s="885"/>
      <c r="HGT281" s="885"/>
      <c r="HGU281" s="885"/>
      <c r="HGV281" s="885"/>
      <c r="HGW281" s="885"/>
      <c r="HGX281" s="885"/>
      <c r="HGY281" s="885"/>
      <c r="HGZ281" s="885"/>
      <c r="HHA281" s="885"/>
      <c r="HHB281" s="885"/>
      <c r="HHC281" s="885"/>
      <c r="HHD281" s="885"/>
      <c r="HHE281" s="885"/>
      <c r="HHF281" s="885"/>
      <c r="HHG281" s="885"/>
      <c r="HHH281" s="885"/>
      <c r="HHI281" s="885"/>
      <c r="HHJ281" s="885"/>
      <c r="HHK281" s="885"/>
      <c r="HHL281" s="885"/>
      <c r="HHM281" s="885"/>
      <c r="HHN281" s="885"/>
      <c r="HHO281" s="885"/>
      <c r="HHP281" s="885"/>
      <c r="HHQ281" s="885"/>
      <c r="HHR281" s="885"/>
      <c r="HHS281" s="885"/>
      <c r="HHT281" s="885"/>
      <c r="HHU281" s="885"/>
      <c r="HHV281" s="885"/>
      <c r="HHW281" s="885"/>
      <c r="HHX281" s="885"/>
      <c r="HHY281" s="885"/>
      <c r="HHZ281" s="885"/>
      <c r="HIA281" s="885"/>
      <c r="HIB281" s="885"/>
      <c r="HIC281" s="885"/>
      <c r="HID281" s="885"/>
      <c r="HIE281" s="885"/>
      <c r="HIF281" s="885"/>
      <c r="HIG281" s="885"/>
      <c r="HIH281" s="885"/>
      <c r="HII281" s="885"/>
      <c r="HIJ281" s="885"/>
      <c r="HIK281" s="885"/>
      <c r="HIL281" s="885"/>
      <c r="HIM281" s="885"/>
      <c r="HIN281" s="885"/>
      <c r="HIO281" s="885"/>
      <c r="HIP281" s="885"/>
      <c r="HIQ281" s="885"/>
      <c r="HIR281" s="885"/>
      <c r="HIS281" s="885"/>
      <c r="HIT281" s="885"/>
      <c r="HIU281" s="885"/>
      <c r="HIV281" s="885"/>
      <c r="HIW281" s="885"/>
      <c r="HIX281" s="885"/>
      <c r="HIY281" s="885"/>
      <c r="HIZ281" s="885"/>
      <c r="HJA281" s="885"/>
      <c r="HJB281" s="885"/>
      <c r="HJC281" s="885"/>
      <c r="HJD281" s="885"/>
      <c r="HJE281" s="885"/>
      <c r="HJF281" s="885"/>
      <c r="HJG281" s="885"/>
      <c r="HJH281" s="885"/>
      <c r="HJI281" s="885"/>
      <c r="HJJ281" s="885"/>
      <c r="HJK281" s="885"/>
      <c r="HJL281" s="885"/>
      <c r="HJM281" s="885"/>
      <c r="HJN281" s="885"/>
      <c r="HJO281" s="885"/>
      <c r="HJP281" s="885"/>
      <c r="HJQ281" s="885"/>
      <c r="HJR281" s="885"/>
      <c r="HJS281" s="885"/>
      <c r="HJT281" s="885"/>
      <c r="HJU281" s="885"/>
      <c r="HJV281" s="885"/>
      <c r="HJW281" s="885"/>
      <c r="HJX281" s="885"/>
      <c r="HJY281" s="885"/>
      <c r="HJZ281" s="885"/>
      <c r="HKA281" s="885"/>
      <c r="HKB281" s="885"/>
      <c r="HKC281" s="885"/>
      <c r="HKD281" s="885"/>
      <c r="HKE281" s="885"/>
      <c r="HKF281" s="885"/>
      <c r="HKG281" s="885"/>
      <c r="HKH281" s="885"/>
      <c r="HKI281" s="885"/>
      <c r="HKJ281" s="885"/>
      <c r="HKK281" s="885"/>
      <c r="HKL281" s="885"/>
      <c r="HKM281" s="885"/>
      <c r="HKN281" s="885"/>
      <c r="HKO281" s="885"/>
      <c r="HKP281" s="885"/>
      <c r="HKQ281" s="885"/>
      <c r="HKR281" s="885"/>
      <c r="HKS281" s="885"/>
      <c r="HKT281" s="885"/>
      <c r="HKU281" s="885"/>
      <c r="HKV281" s="885"/>
      <c r="HKW281" s="885"/>
      <c r="HKX281" s="885"/>
      <c r="HKY281" s="885"/>
      <c r="HKZ281" s="885"/>
      <c r="HLA281" s="885"/>
      <c r="HLB281" s="885"/>
      <c r="HLC281" s="885"/>
      <c r="HLD281" s="885"/>
      <c r="HLE281" s="885"/>
      <c r="HLF281" s="885"/>
      <c r="HLG281" s="885"/>
      <c r="HLH281" s="885"/>
      <c r="HLI281" s="885"/>
      <c r="HLJ281" s="885"/>
      <c r="HLK281" s="885"/>
      <c r="HLL281" s="885"/>
      <c r="HLM281" s="885"/>
      <c r="HLN281" s="885"/>
      <c r="HLO281" s="885"/>
      <c r="HLP281" s="885"/>
      <c r="HLQ281" s="885"/>
      <c r="HLR281" s="885"/>
      <c r="HLS281" s="885"/>
      <c r="HLT281" s="885"/>
      <c r="HLU281" s="885"/>
      <c r="HLV281" s="885"/>
      <c r="HLW281" s="885"/>
      <c r="HLX281" s="885"/>
      <c r="HLY281" s="885"/>
      <c r="HLZ281" s="885"/>
      <c r="HMA281" s="885"/>
      <c r="HMB281" s="885"/>
      <c r="HMC281" s="885"/>
      <c r="HMD281" s="885"/>
      <c r="HME281" s="885"/>
      <c r="HMF281" s="885"/>
      <c r="HMG281" s="885"/>
      <c r="HMH281" s="885"/>
      <c r="HMI281" s="885"/>
      <c r="HMJ281" s="885"/>
      <c r="HMK281" s="885"/>
      <c r="HML281" s="885"/>
      <c r="HMM281" s="885"/>
      <c r="HMN281" s="885"/>
      <c r="HMO281" s="885"/>
      <c r="HMP281" s="885"/>
      <c r="HMQ281" s="885"/>
      <c r="HMR281" s="885"/>
      <c r="HMS281" s="885"/>
      <c r="HMT281" s="885"/>
      <c r="HMU281" s="885"/>
      <c r="HMV281" s="885"/>
      <c r="HMW281" s="885"/>
      <c r="HMX281" s="885"/>
      <c r="HMY281" s="885"/>
      <c r="HMZ281" s="885"/>
      <c r="HNA281" s="885"/>
      <c r="HNB281" s="885"/>
      <c r="HNC281" s="885"/>
      <c r="HND281" s="885"/>
      <c r="HNE281" s="885"/>
      <c r="HNF281" s="885"/>
      <c r="HNG281" s="885"/>
      <c r="HNH281" s="885"/>
      <c r="HNI281" s="885"/>
      <c r="HNJ281" s="885"/>
      <c r="HNK281" s="885"/>
      <c r="HNL281" s="885"/>
      <c r="HNM281" s="885"/>
      <c r="HNN281" s="885"/>
      <c r="HNO281" s="885"/>
      <c r="HNP281" s="885"/>
      <c r="HNQ281" s="885"/>
      <c r="HNR281" s="885"/>
      <c r="HNS281" s="885"/>
      <c r="HNT281" s="885"/>
      <c r="HNU281" s="885"/>
      <c r="HNV281" s="885"/>
      <c r="HNW281" s="885"/>
      <c r="HNX281" s="885"/>
      <c r="HNY281" s="885"/>
      <c r="HNZ281" s="885"/>
      <c r="HOA281" s="885"/>
      <c r="HOB281" s="885"/>
      <c r="HOC281" s="885"/>
      <c r="HOD281" s="885"/>
      <c r="HOE281" s="885"/>
      <c r="HOF281" s="885"/>
      <c r="HOG281" s="885"/>
      <c r="HOH281" s="885"/>
      <c r="HOI281" s="885"/>
      <c r="HOJ281" s="885"/>
      <c r="HOK281" s="885"/>
      <c r="HOL281" s="885"/>
      <c r="HOM281" s="885"/>
      <c r="HON281" s="885"/>
      <c r="HOO281" s="885"/>
      <c r="HOP281" s="885"/>
      <c r="HOQ281" s="885"/>
      <c r="HOR281" s="885"/>
      <c r="HOS281" s="885"/>
      <c r="HOT281" s="885"/>
      <c r="HOU281" s="885"/>
      <c r="HOV281" s="885"/>
      <c r="HOW281" s="885"/>
      <c r="HOX281" s="885"/>
      <c r="HOY281" s="885"/>
      <c r="HOZ281" s="885"/>
      <c r="HPA281" s="885"/>
      <c r="HPB281" s="885"/>
      <c r="HPC281" s="885"/>
      <c r="HPD281" s="885"/>
      <c r="HPE281" s="885"/>
      <c r="HPF281" s="885"/>
      <c r="HPG281" s="885"/>
      <c r="HPH281" s="885"/>
      <c r="HPI281" s="885"/>
      <c r="HPJ281" s="885"/>
      <c r="HPK281" s="885"/>
      <c r="HPL281" s="885"/>
      <c r="HPM281" s="885"/>
      <c r="HPN281" s="885"/>
      <c r="HPO281" s="885"/>
      <c r="HPP281" s="885"/>
      <c r="HPQ281" s="885"/>
      <c r="HPR281" s="885"/>
      <c r="HPS281" s="885"/>
      <c r="HPT281" s="885"/>
      <c r="HPU281" s="885"/>
      <c r="HPV281" s="885"/>
      <c r="HPW281" s="885"/>
      <c r="HPX281" s="885"/>
      <c r="HPY281" s="885"/>
      <c r="HPZ281" s="885"/>
      <c r="HQA281" s="885"/>
      <c r="HQB281" s="885"/>
      <c r="HQC281" s="885"/>
      <c r="HQD281" s="885"/>
      <c r="HQE281" s="885"/>
      <c r="HQF281" s="885"/>
      <c r="HQG281" s="885"/>
      <c r="HQH281" s="885"/>
      <c r="HQI281" s="885"/>
      <c r="HQJ281" s="885"/>
      <c r="HQK281" s="885"/>
      <c r="HQL281" s="885"/>
      <c r="HQM281" s="885"/>
      <c r="HQN281" s="885"/>
      <c r="HQO281" s="885"/>
      <c r="HQP281" s="885"/>
      <c r="HQQ281" s="885"/>
      <c r="HQR281" s="885"/>
      <c r="HQS281" s="885"/>
      <c r="HQT281" s="885"/>
      <c r="HQU281" s="885"/>
      <c r="HQV281" s="885"/>
      <c r="HQW281" s="885"/>
      <c r="HQX281" s="885"/>
      <c r="HQY281" s="885"/>
      <c r="HQZ281" s="885"/>
      <c r="HRA281" s="885"/>
      <c r="HRB281" s="885"/>
      <c r="HRC281" s="885"/>
      <c r="HRD281" s="885"/>
      <c r="HRE281" s="885"/>
      <c r="HRF281" s="885"/>
      <c r="HRG281" s="885"/>
      <c r="HRH281" s="885"/>
      <c r="HRI281" s="885"/>
      <c r="HRJ281" s="885"/>
      <c r="HRK281" s="885"/>
      <c r="HRL281" s="885"/>
      <c r="HRM281" s="885"/>
      <c r="HRN281" s="885"/>
      <c r="HRO281" s="885"/>
      <c r="HRP281" s="885"/>
      <c r="HRQ281" s="885"/>
      <c r="HRR281" s="885"/>
      <c r="HRS281" s="885"/>
      <c r="HRT281" s="885"/>
      <c r="HRU281" s="885"/>
      <c r="HRV281" s="885"/>
      <c r="HRW281" s="885"/>
      <c r="HRX281" s="885"/>
      <c r="HRY281" s="885"/>
      <c r="HRZ281" s="885"/>
      <c r="HSA281" s="885"/>
      <c r="HSB281" s="885"/>
      <c r="HSC281" s="885"/>
      <c r="HSD281" s="885"/>
      <c r="HSE281" s="885"/>
      <c r="HSF281" s="885"/>
      <c r="HSG281" s="885"/>
      <c r="HSH281" s="885"/>
      <c r="HSI281" s="885"/>
      <c r="HSJ281" s="885"/>
      <c r="HSK281" s="885"/>
      <c r="HSL281" s="885"/>
      <c r="HSM281" s="885"/>
      <c r="HSN281" s="885"/>
      <c r="HSO281" s="885"/>
      <c r="HSP281" s="885"/>
      <c r="HSQ281" s="885"/>
      <c r="HSR281" s="885"/>
      <c r="HSS281" s="885"/>
      <c r="HST281" s="885"/>
      <c r="HSU281" s="885"/>
      <c r="HSV281" s="885"/>
      <c r="HSW281" s="885"/>
      <c r="HSX281" s="885"/>
      <c r="HSY281" s="885"/>
      <c r="HSZ281" s="885"/>
      <c r="HTA281" s="885"/>
      <c r="HTB281" s="885"/>
      <c r="HTC281" s="885"/>
      <c r="HTD281" s="885"/>
      <c r="HTE281" s="885"/>
      <c r="HTF281" s="885"/>
      <c r="HTG281" s="885"/>
      <c r="HTH281" s="885"/>
      <c r="HTI281" s="885"/>
      <c r="HTJ281" s="885"/>
      <c r="HTK281" s="885"/>
      <c r="HTL281" s="885"/>
      <c r="HTM281" s="885"/>
      <c r="HTN281" s="885"/>
      <c r="HTO281" s="885"/>
      <c r="HTP281" s="885"/>
      <c r="HTQ281" s="885"/>
      <c r="HTR281" s="885"/>
      <c r="HTS281" s="885"/>
      <c r="HTT281" s="885"/>
      <c r="HTU281" s="885"/>
      <c r="HTV281" s="885"/>
      <c r="HTW281" s="885"/>
      <c r="HTX281" s="885"/>
      <c r="HTY281" s="885"/>
      <c r="HTZ281" s="885"/>
      <c r="HUA281" s="885"/>
      <c r="HUB281" s="885"/>
      <c r="HUC281" s="885"/>
      <c r="HUD281" s="885"/>
      <c r="HUE281" s="885"/>
      <c r="HUF281" s="885"/>
      <c r="HUG281" s="885"/>
      <c r="HUH281" s="885"/>
      <c r="HUI281" s="885"/>
      <c r="HUJ281" s="885"/>
      <c r="HUK281" s="885"/>
      <c r="HUL281" s="885"/>
      <c r="HUM281" s="885"/>
      <c r="HUN281" s="885"/>
      <c r="HUO281" s="885"/>
      <c r="HUP281" s="885"/>
      <c r="HUQ281" s="885"/>
      <c r="HUR281" s="885"/>
      <c r="HUS281" s="885"/>
      <c r="HUT281" s="885"/>
      <c r="HUU281" s="885"/>
      <c r="HUV281" s="885"/>
      <c r="HUW281" s="885"/>
      <c r="HUX281" s="885"/>
      <c r="HUY281" s="885"/>
      <c r="HUZ281" s="885"/>
      <c r="HVA281" s="885"/>
      <c r="HVB281" s="885"/>
      <c r="HVC281" s="885"/>
      <c r="HVD281" s="885"/>
      <c r="HVE281" s="885"/>
      <c r="HVF281" s="885"/>
      <c r="HVG281" s="885"/>
      <c r="HVH281" s="885"/>
      <c r="HVI281" s="885"/>
      <c r="HVJ281" s="885"/>
      <c r="HVK281" s="885"/>
      <c r="HVL281" s="885"/>
      <c r="HVM281" s="885"/>
      <c r="HVN281" s="885"/>
      <c r="HVO281" s="885"/>
      <c r="HVP281" s="885"/>
      <c r="HVQ281" s="885"/>
      <c r="HVR281" s="885"/>
      <c r="HVS281" s="885"/>
      <c r="HVT281" s="885"/>
      <c r="HVU281" s="885"/>
      <c r="HVV281" s="885"/>
      <c r="HVW281" s="885"/>
      <c r="HVX281" s="885"/>
      <c r="HVY281" s="885"/>
      <c r="HVZ281" s="885"/>
      <c r="HWA281" s="885"/>
      <c r="HWB281" s="885"/>
      <c r="HWC281" s="885"/>
      <c r="HWD281" s="885"/>
      <c r="HWE281" s="885"/>
      <c r="HWF281" s="885"/>
      <c r="HWG281" s="885"/>
      <c r="HWH281" s="885"/>
      <c r="HWI281" s="885"/>
      <c r="HWJ281" s="885"/>
      <c r="HWK281" s="885"/>
      <c r="HWL281" s="885"/>
      <c r="HWM281" s="885"/>
      <c r="HWN281" s="885"/>
      <c r="HWO281" s="885"/>
      <c r="HWP281" s="885"/>
      <c r="HWQ281" s="885"/>
      <c r="HWR281" s="885"/>
      <c r="HWS281" s="885"/>
      <c r="HWT281" s="885"/>
      <c r="HWU281" s="885"/>
      <c r="HWV281" s="885"/>
      <c r="HWW281" s="885"/>
      <c r="HWX281" s="885"/>
      <c r="HWY281" s="885"/>
      <c r="HWZ281" s="885"/>
      <c r="HXA281" s="885"/>
      <c r="HXB281" s="885"/>
      <c r="HXC281" s="885"/>
      <c r="HXD281" s="885"/>
      <c r="HXE281" s="885"/>
      <c r="HXF281" s="885"/>
      <c r="HXG281" s="885"/>
      <c r="HXH281" s="885"/>
      <c r="HXI281" s="885"/>
      <c r="HXJ281" s="885"/>
      <c r="HXK281" s="885"/>
      <c r="HXL281" s="885"/>
      <c r="HXM281" s="885"/>
      <c r="HXN281" s="885"/>
      <c r="HXO281" s="885"/>
      <c r="HXP281" s="885"/>
      <c r="HXQ281" s="885"/>
      <c r="HXR281" s="885"/>
      <c r="HXS281" s="885"/>
      <c r="HXT281" s="885"/>
      <c r="HXU281" s="885"/>
      <c r="HXV281" s="885"/>
      <c r="HXW281" s="885"/>
      <c r="HXX281" s="885"/>
      <c r="HXY281" s="885"/>
      <c r="HXZ281" s="885"/>
      <c r="HYA281" s="885"/>
      <c r="HYB281" s="885"/>
      <c r="HYC281" s="885"/>
      <c r="HYD281" s="885"/>
      <c r="HYE281" s="885"/>
      <c r="HYF281" s="885"/>
      <c r="HYG281" s="885"/>
      <c r="HYH281" s="885"/>
      <c r="HYI281" s="885"/>
      <c r="HYJ281" s="885"/>
      <c r="HYK281" s="885"/>
      <c r="HYL281" s="885"/>
      <c r="HYM281" s="885"/>
      <c r="HYN281" s="885"/>
      <c r="HYO281" s="885"/>
      <c r="HYP281" s="885"/>
      <c r="HYQ281" s="885"/>
      <c r="HYR281" s="885"/>
      <c r="HYS281" s="885"/>
      <c r="HYT281" s="885"/>
      <c r="HYU281" s="885"/>
      <c r="HYV281" s="885"/>
      <c r="HYW281" s="885"/>
      <c r="HYX281" s="885"/>
      <c r="HYY281" s="885"/>
      <c r="HYZ281" s="885"/>
      <c r="HZA281" s="885"/>
      <c r="HZB281" s="885"/>
      <c r="HZC281" s="885"/>
      <c r="HZD281" s="885"/>
      <c r="HZE281" s="885"/>
      <c r="HZF281" s="885"/>
      <c r="HZG281" s="885"/>
      <c r="HZH281" s="885"/>
      <c r="HZI281" s="885"/>
      <c r="HZJ281" s="885"/>
      <c r="HZK281" s="885"/>
      <c r="HZL281" s="885"/>
      <c r="HZM281" s="885"/>
      <c r="HZN281" s="885"/>
      <c r="HZO281" s="885"/>
      <c r="HZP281" s="885"/>
      <c r="HZQ281" s="885"/>
      <c r="HZR281" s="885"/>
      <c r="HZS281" s="885"/>
      <c r="HZT281" s="885"/>
      <c r="HZU281" s="885"/>
      <c r="HZV281" s="885"/>
      <c r="HZW281" s="885"/>
      <c r="HZX281" s="885"/>
      <c r="HZY281" s="885"/>
      <c r="HZZ281" s="885"/>
      <c r="IAA281" s="885"/>
      <c r="IAB281" s="885"/>
      <c r="IAC281" s="885"/>
      <c r="IAD281" s="885"/>
      <c r="IAE281" s="885"/>
      <c r="IAF281" s="885"/>
      <c r="IAG281" s="885"/>
      <c r="IAH281" s="885"/>
      <c r="IAI281" s="885"/>
      <c r="IAJ281" s="885"/>
      <c r="IAK281" s="885"/>
      <c r="IAL281" s="885"/>
      <c r="IAM281" s="885"/>
      <c r="IAN281" s="885"/>
      <c r="IAO281" s="885"/>
      <c r="IAP281" s="885"/>
      <c r="IAQ281" s="885"/>
      <c r="IAR281" s="885"/>
      <c r="IAS281" s="885"/>
      <c r="IAT281" s="885"/>
      <c r="IAU281" s="885"/>
      <c r="IAV281" s="885"/>
      <c r="IAW281" s="885"/>
      <c r="IAX281" s="885"/>
      <c r="IAY281" s="885"/>
      <c r="IAZ281" s="885"/>
      <c r="IBA281" s="885"/>
      <c r="IBB281" s="885"/>
      <c r="IBC281" s="885"/>
      <c r="IBD281" s="885"/>
      <c r="IBE281" s="885"/>
      <c r="IBF281" s="885"/>
      <c r="IBG281" s="885"/>
      <c r="IBH281" s="885"/>
      <c r="IBI281" s="885"/>
      <c r="IBJ281" s="885"/>
      <c r="IBK281" s="885"/>
      <c r="IBL281" s="885"/>
      <c r="IBM281" s="885"/>
      <c r="IBN281" s="885"/>
      <c r="IBO281" s="885"/>
      <c r="IBP281" s="885"/>
      <c r="IBQ281" s="885"/>
      <c r="IBR281" s="885"/>
      <c r="IBS281" s="885"/>
      <c r="IBT281" s="885"/>
      <c r="IBU281" s="885"/>
      <c r="IBV281" s="885"/>
      <c r="IBW281" s="885"/>
      <c r="IBX281" s="885"/>
      <c r="IBY281" s="885"/>
      <c r="IBZ281" s="885"/>
      <c r="ICA281" s="885"/>
      <c r="ICB281" s="885"/>
      <c r="ICC281" s="885"/>
      <c r="ICD281" s="885"/>
      <c r="ICE281" s="885"/>
      <c r="ICF281" s="885"/>
      <c r="ICG281" s="885"/>
      <c r="ICH281" s="885"/>
      <c r="ICI281" s="885"/>
      <c r="ICJ281" s="885"/>
      <c r="ICK281" s="885"/>
      <c r="ICL281" s="885"/>
      <c r="ICM281" s="885"/>
      <c r="ICN281" s="885"/>
      <c r="ICO281" s="885"/>
      <c r="ICP281" s="885"/>
      <c r="ICQ281" s="885"/>
      <c r="ICR281" s="885"/>
      <c r="ICS281" s="885"/>
      <c r="ICT281" s="885"/>
      <c r="ICU281" s="885"/>
      <c r="ICV281" s="885"/>
      <c r="ICW281" s="885"/>
      <c r="ICX281" s="885"/>
      <c r="ICY281" s="885"/>
      <c r="ICZ281" s="885"/>
      <c r="IDA281" s="885"/>
      <c r="IDB281" s="885"/>
      <c r="IDC281" s="885"/>
      <c r="IDD281" s="885"/>
      <c r="IDE281" s="885"/>
      <c r="IDF281" s="885"/>
      <c r="IDG281" s="885"/>
      <c r="IDH281" s="885"/>
      <c r="IDI281" s="885"/>
      <c r="IDJ281" s="885"/>
      <c r="IDK281" s="885"/>
      <c r="IDL281" s="885"/>
      <c r="IDM281" s="885"/>
      <c r="IDN281" s="885"/>
      <c r="IDO281" s="885"/>
      <c r="IDP281" s="885"/>
      <c r="IDQ281" s="885"/>
      <c r="IDR281" s="885"/>
      <c r="IDS281" s="885"/>
      <c r="IDT281" s="885"/>
      <c r="IDU281" s="885"/>
      <c r="IDV281" s="885"/>
      <c r="IDW281" s="885"/>
      <c r="IDX281" s="885"/>
      <c r="IDY281" s="885"/>
      <c r="IDZ281" s="885"/>
      <c r="IEA281" s="885"/>
      <c r="IEB281" s="885"/>
      <c r="IEC281" s="885"/>
      <c r="IED281" s="885"/>
      <c r="IEE281" s="885"/>
      <c r="IEF281" s="885"/>
      <c r="IEG281" s="885"/>
      <c r="IEH281" s="885"/>
      <c r="IEI281" s="885"/>
      <c r="IEJ281" s="885"/>
      <c r="IEK281" s="885"/>
      <c r="IEL281" s="885"/>
      <c r="IEM281" s="885"/>
      <c r="IEN281" s="885"/>
      <c r="IEO281" s="885"/>
      <c r="IEP281" s="885"/>
      <c r="IEQ281" s="885"/>
      <c r="IER281" s="885"/>
      <c r="IES281" s="885"/>
      <c r="IET281" s="885"/>
      <c r="IEU281" s="885"/>
      <c r="IEV281" s="885"/>
      <c r="IEW281" s="885"/>
      <c r="IEX281" s="885"/>
      <c r="IEY281" s="885"/>
      <c r="IEZ281" s="885"/>
      <c r="IFA281" s="885"/>
      <c r="IFB281" s="885"/>
      <c r="IFC281" s="885"/>
      <c r="IFD281" s="885"/>
      <c r="IFE281" s="885"/>
      <c r="IFF281" s="885"/>
      <c r="IFG281" s="885"/>
      <c r="IFH281" s="885"/>
      <c r="IFI281" s="885"/>
      <c r="IFJ281" s="885"/>
      <c r="IFK281" s="885"/>
      <c r="IFL281" s="885"/>
      <c r="IFM281" s="885"/>
      <c r="IFN281" s="885"/>
      <c r="IFO281" s="885"/>
      <c r="IFP281" s="885"/>
      <c r="IFQ281" s="885"/>
      <c r="IFR281" s="885"/>
      <c r="IFS281" s="885"/>
      <c r="IFT281" s="885"/>
      <c r="IFU281" s="885"/>
      <c r="IFV281" s="885"/>
      <c r="IFW281" s="885"/>
      <c r="IFX281" s="885"/>
      <c r="IFY281" s="885"/>
      <c r="IFZ281" s="885"/>
      <c r="IGA281" s="885"/>
      <c r="IGB281" s="885"/>
      <c r="IGC281" s="885"/>
      <c r="IGD281" s="885"/>
      <c r="IGE281" s="885"/>
      <c r="IGF281" s="885"/>
      <c r="IGG281" s="885"/>
      <c r="IGH281" s="885"/>
      <c r="IGI281" s="885"/>
      <c r="IGJ281" s="885"/>
      <c r="IGK281" s="885"/>
      <c r="IGL281" s="885"/>
      <c r="IGM281" s="885"/>
      <c r="IGN281" s="885"/>
      <c r="IGO281" s="885"/>
      <c r="IGP281" s="885"/>
      <c r="IGQ281" s="885"/>
      <c r="IGR281" s="885"/>
      <c r="IGS281" s="885"/>
      <c r="IGT281" s="885"/>
      <c r="IGU281" s="885"/>
      <c r="IGV281" s="885"/>
      <c r="IGW281" s="885"/>
      <c r="IGX281" s="885"/>
      <c r="IGY281" s="885"/>
      <c r="IGZ281" s="885"/>
      <c r="IHA281" s="885"/>
      <c r="IHB281" s="885"/>
      <c r="IHC281" s="885"/>
      <c r="IHD281" s="885"/>
      <c r="IHE281" s="885"/>
      <c r="IHF281" s="885"/>
      <c r="IHG281" s="885"/>
      <c r="IHH281" s="885"/>
      <c r="IHI281" s="885"/>
      <c r="IHJ281" s="885"/>
      <c r="IHK281" s="885"/>
      <c r="IHL281" s="885"/>
      <c r="IHM281" s="885"/>
      <c r="IHN281" s="885"/>
      <c r="IHO281" s="885"/>
      <c r="IHP281" s="885"/>
      <c r="IHQ281" s="885"/>
      <c r="IHR281" s="885"/>
      <c r="IHS281" s="885"/>
      <c r="IHT281" s="885"/>
      <c r="IHU281" s="885"/>
      <c r="IHV281" s="885"/>
      <c r="IHW281" s="885"/>
      <c r="IHX281" s="885"/>
      <c r="IHY281" s="885"/>
      <c r="IHZ281" s="885"/>
      <c r="IIA281" s="885"/>
      <c r="IIB281" s="885"/>
      <c r="IIC281" s="885"/>
      <c r="IID281" s="885"/>
      <c r="IIE281" s="885"/>
      <c r="IIF281" s="885"/>
      <c r="IIG281" s="885"/>
      <c r="IIH281" s="885"/>
      <c r="III281" s="885"/>
      <c r="IIJ281" s="885"/>
      <c r="IIK281" s="885"/>
      <c r="IIL281" s="885"/>
      <c r="IIM281" s="885"/>
      <c r="IIN281" s="885"/>
      <c r="IIO281" s="885"/>
      <c r="IIP281" s="885"/>
      <c r="IIQ281" s="885"/>
      <c r="IIR281" s="885"/>
      <c r="IIS281" s="885"/>
      <c r="IIT281" s="885"/>
      <c r="IIU281" s="885"/>
      <c r="IIV281" s="885"/>
      <c r="IIW281" s="885"/>
      <c r="IIX281" s="885"/>
      <c r="IIY281" s="885"/>
      <c r="IIZ281" s="885"/>
      <c r="IJA281" s="885"/>
      <c r="IJB281" s="885"/>
      <c r="IJC281" s="885"/>
      <c r="IJD281" s="885"/>
      <c r="IJE281" s="885"/>
      <c r="IJF281" s="885"/>
      <c r="IJG281" s="885"/>
      <c r="IJH281" s="885"/>
      <c r="IJI281" s="885"/>
      <c r="IJJ281" s="885"/>
      <c r="IJK281" s="885"/>
      <c r="IJL281" s="885"/>
      <c r="IJM281" s="885"/>
      <c r="IJN281" s="885"/>
      <c r="IJO281" s="885"/>
      <c r="IJP281" s="885"/>
      <c r="IJQ281" s="885"/>
      <c r="IJR281" s="885"/>
      <c r="IJS281" s="885"/>
      <c r="IJT281" s="885"/>
      <c r="IJU281" s="885"/>
      <c r="IJV281" s="885"/>
      <c r="IJW281" s="885"/>
      <c r="IJX281" s="885"/>
      <c r="IJY281" s="885"/>
      <c r="IJZ281" s="885"/>
      <c r="IKA281" s="885"/>
      <c r="IKB281" s="885"/>
      <c r="IKC281" s="885"/>
      <c r="IKD281" s="885"/>
      <c r="IKE281" s="885"/>
      <c r="IKF281" s="885"/>
      <c r="IKG281" s="885"/>
      <c r="IKH281" s="885"/>
      <c r="IKI281" s="885"/>
      <c r="IKJ281" s="885"/>
      <c r="IKK281" s="885"/>
      <c r="IKL281" s="885"/>
      <c r="IKM281" s="885"/>
      <c r="IKN281" s="885"/>
      <c r="IKO281" s="885"/>
      <c r="IKP281" s="885"/>
      <c r="IKQ281" s="885"/>
      <c r="IKR281" s="885"/>
      <c r="IKS281" s="885"/>
      <c r="IKT281" s="885"/>
      <c r="IKU281" s="885"/>
      <c r="IKV281" s="885"/>
      <c r="IKW281" s="885"/>
      <c r="IKX281" s="885"/>
      <c r="IKY281" s="885"/>
      <c r="IKZ281" s="885"/>
      <c r="ILA281" s="885"/>
      <c r="ILB281" s="885"/>
      <c r="ILC281" s="885"/>
      <c r="ILD281" s="885"/>
      <c r="ILE281" s="885"/>
      <c r="ILF281" s="885"/>
      <c r="ILG281" s="885"/>
      <c r="ILH281" s="885"/>
      <c r="ILI281" s="885"/>
      <c r="ILJ281" s="885"/>
      <c r="ILK281" s="885"/>
      <c r="ILL281" s="885"/>
      <c r="ILM281" s="885"/>
      <c r="ILN281" s="885"/>
      <c r="ILO281" s="885"/>
      <c r="ILP281" s="885"/>
      <c r="ILQ281" s="885"/>
      <c r="ILR281" s="885"/>
      <c r="ILS281" s="885"/>
      <c r="ILT281" s="885"/>
      <c r="ILU281" s="885"/>
      <c r="ILV281" s="885"/>
      <c r="ILW281" s="885"/>
      <c r="ILX281" s="885"/>
      <c r="ILY281" s="885"/>
      <c r="ILZ281" s="885"/>
      <c r="IMA281" s="885"/>
      <c r="IMB281" s="885"/>
      <c r="IMC281" s="885"/>
      <c r="IMD281" s="885"/>
      <c r="IME281" s="885"/>
      <c r="IMF281" s="885"/>
      <c r="IMG281" s="885"/>
      <c r="IMH281" s="885"/>
      <c r="IMI281" s="885"/>
      <c r="IMJ281" s="885"/>
      <c r="IMK281" s="885"/>
      <c r="IML281" s="885"/>
      <c r="IMM281" s="885"/>
      <c r="IMN281" s="885"/>
      <c r="IMO281" s="885"/>
      <c r="IMP281" s="885"/>
      <c r="IMQ281" s="885"/>
      <c r="IMR281" s="885"/>
      <c r="IMS281" s="885"/>
      <c r="IMT281" s="885"/>
      <c r="IMU281" s="885"/>
      <c r="IMV281" s="885"/>
      <c r="IMW281" s="885"/>
      <c r="IMX281" s="885"/>
      <c r="IMY281" s="885"/>
      <c r="IMZ281" s="885"/>
      <c r="INA281" s="885"/>
      <c r="INB281" s="885"/>
      <c r="INC281" s="885"/>
      <c r="IND281" s="885"/>
      <c r="INE281" s="885"/>
      <c r="INF281" s="885"/>
      <c r="ING281" s="885"/>
      <c r="INH281" s="885"/>
      <c r="INI281" s="885"/>
      <c r="INJ281" s="885"/>
      <c r="INK281" s="885"/>
      <c r="INL281" s="885"/>
      <c r="INM281" s="885"/>
      <c r="INN281" s="885"/>
      <c r="INO281" s="885"/>
      <c r="INP281" s="885"/>
      <c r="INQ281" s="885"/>
      <c r="INR281" s="885"/>
      <c r="INS281" s="885"/>
      <c r="INT281" s="885"/>
      <c r="INU281" s="885"/>
      <c r="INV281" s="885"/>
      <c r="INW281" s="885"/>
      <c r="INX281" s="885"/>
      <c r="INY281" s="885"/>
      <c r="INZ281" s="885"/>
      <c r="IOA281" s="885"/>
      <c r="IOB281" s="885"/>
      <c r="IOC281" s="885"/>
      <c r="IOD281" s="885"/>
      <c r="IOE281" s="885"/>
      <c r="IOF281" s="885"/>
      <c r="IOG281" s="885"/>
      <c r="IOH281" s="885"/>
      <c r="IOI281" s="885"/>
      <c r="IOJ281" s="885"/>
      <c r="IOK281" s="885"/>
      <c r="IOL281" s="885"/>
      <c r="IOM281" s="885"/>
      <c r="ION281" s="885"/>
      <c r="IOO281" s="885"/>
      <c r="IOP281" s="885"/>
      <c r="IOQ281" s="885"/>
      <c r="IOR281" s="885"/>
      <c r="IOS281" s="885"/>
      <c r="IOT281" s="885"/>
      <c r="IOU281" s="885"/>
      <c r="IOV281" s="885"/>
      <c r="IOW281" s="885"/>
      <c r="IOX281" s="885"/>
      <c r="IOY281" s="885"/>
      <c r="IOZ281" s="885"/>
      <c r="IPA281" s="885"/>
      <c r="IPB281" s="885"/>
      <c r="IPC281" s="885"/>
      <c r="IPD281" s="885"/>
      <c r="IPE281" s="885"/>
      <c r="IPF281" s="885"/>
      <c r="IPG281" s="885"/>
      <c r="IPH281" s="885"/>
      <c r="IPI281" s="885"/>
      <c r="IPJ281" s="885"/>
      <c r="IPK281" s="885"/>
      <c r="IPL281" s="885"/>
      <c r="IPM281" s="885"/>
      <c r="IPN281" s="885"/>
      <c r="IPO281" s="885"/>
      <c r="IPP281" s="885"/>
      <c r="IPQ281" s="885"/>
      <c r="IPR281" s="885"/>
      <c r="IPS281" s="885"/>
      <c r="IPT281" s="885"/>
      <c r="IPU281" s="885"/>
      <c r="IPV281" s="885"/>
      <c r="IPW281" s="885"/>
      <c r="IPX281" s="885"/>
      <c r="IPY281" s="885"/>
      <c r="IPZ281" s="885"/>
      <c r="IQA281" s="885"/>
      <c r="IQB281" s="885"/>
      <c r="IQC281" s="885"/>
      <c r="IQD281" s="885"/>
      <c r="IQE281" s="885"/>
      <c r="IQF281" s="885"/>
      <c r="IQG281" s="885"/>
      <c r="IQH281" s="885"/>
      <c r="IQI281" s="885"/>
      <c r="IQJ281" s="885"/>
      <c r="IQK281" s="885"/>
      <c r="IQL281" s="885"/>
      <c r="IQM281" s="885"/>
      <c r="IQN281" s="885"/>
      <c r="IQO281" s="885"/>
      <c r="IQP281" s="885"/>
      <c r="IQQ281" s="885"/>
      <c r="IQR281" s="885"/>
      <c r="IQS281" s="885"/>
      <c r="IQT281" s="885"/>
      <c r="IQU281" s="885"/>
      <c r="IQV281" s="885"/>
      <c r="IQW281" s="885"/>
      <c r="IQX281" s="885"/>
      <c r="IQY281" s="885"/>
      <c r="IQZ281" s="885"/>
      <c r="IRA281" s="885"/>
      <c r="IRB281" s="885"/>
      <c r="IRC281" s="885"/>
      <c r="IRD281" s="885"/>
      <c r="IRE281" s="885"/>
      <c r="IRF281" s="885"/>
      <c r="IRG281" s="885"/>
      <c r="IRH281" s="885"/>
      <c r="IRI281" s="885"/>
      <c r="IRJ281" s="885"/>
      <c r="IRK281" s="885"/>
      <c r="IRL281" s="885"/>
      <c r="IRM281" s="885"/>
      <c r="IRN281" s="885"/>
      <c r="IRO281" s="885"/>
      <c r="IRP281" s="885"/>
      <c r="IRQ281" s="885"/>
      <c r="IRR281" s="885"/>
      <c r="IRS281" s="885"/>
      <c r="IRT281" s="885"/>
      <c r="IRU281" s="885"/>
      <c r="IRV281" s="885"/>
      <c r="IRW281" s="885"/>
      <c r="IRX281" s="885"/>
      <c r="IRY281" s="885"/>
      <c r="IRZ281" s="885"/>
      <c r="ISA281" s="885"/>
      <c r="ISB281" s="885"/>
      <c r="ISC281" s="885"/>
      <c r="ISD281" s="885"/>
      <c r="ISE281" s="885"/>
      <c r="ISF281" s="885"/>
      <c r="ISG281" s="885"/>
      <c r="ISH281" s="885"/>
      <c r="ISI281" s="885"/>
      <c r="ISJ281" s="885"/>
      <c r="ISK281" s="885"/>
      <c r="ISL281" s="885"/>
      <c r="ISM281" s="885"/>
      <c r="ISN281" s="885"/>
      <c r="ISO281" s="885"/>
      <c r="ISP281" s="885"/>
      <c r="ISQ281" s="885"/>
      <c r="ISR281" s="885"/>
      <c r="ISS281" s="885"/>
      <c r="IST281" s="885"/>
      <c r="ISU281" s="885"/>
      <c r="ISV281" s="885"/>
      <c r="ISW281" s="885"/>
      <c r="ISX281" s="885"/>
      <c r="ISY281" s="885"/>
      <c r="ISZ281" s="885"/>
      <c r="ITA281" s="885"/>
      <c r="ITB281" s="885"/>
      <c r="ITC281" s="885"/>
      <c r="ITD281" s="885"/>
      <c r="ITE281" s="885"/>
      <c r="ITF281" s="885"/>
      <c r="ITG281" s="885"/>
      <c r="ITH281" s="885"/>
      <c r="ITI281" s="885"/>
      <c r="ITJ281" s="885"/>
      <c r="ITK281" s="885"/>
      <c r="ITL281" s="885"/>
      <c r="ITM281" s="885"/>
      <c r="ITN281" s="885"/>
      <c r="ITO281" s="885"/>
      <c r="ITP281" s="885"/>
      <c r="ITQ281" s="885"/>
      <c r="ITR281" s="885"/>
      <c r="ITS281" s="885"/>
      <c r="ITT281" s="885"/>
      <c r="ITU281" s="885"/>
      <c r="ITV281" s="885"/>
      <c r="ITW281" s="885"/>
      <c r="ITX281" s="885"/>
      <c r="ITY281" s="885"/>
      <c r="ITZ281" s="885"/>
      <c r="IUA281" s="885"/>
      <c r="IUB281" s="885"/>
      <c r="IUC281" s="885"/>
      <c r="IUD281" s="885"/>
      <c r="IUE281" s="885"/>
      <c r="IUF281" s="885"/>
      <c r="IUG281" s="885"/>
      <c r="IUH281" s="885"/>
      <c r="IUI281" s="885"/>
      <c r="IUJ281" s="885"/>
      <c r="IUK281" s="885"/>
      <c r="IUL281" s="885"/>
      <c r="IUM281" s="885"/>
      <c r="IUN281" s="885"/>
      <c r="IUO281" s="885"/>
      <c r="IUP281" s="885"/>
      <c r="IUQ281" s="885"/>
      <c r="IUR281" s="885"/>
      <c r="IUS281" s="885"/>
      <c r="IUT281" s="885"/>
      <c r="IUU281" s="885"/>
      <c r="IUV281" s="885"/>
      <c r="IUW281" s="885"/>
      <c r="IUX281" s="885"/>
      <c r="IUY281" s="885"/>
      <c r="IUZ281" s="885"/>
      <c r="IVA281" s="885"/>
      <c r="IVB281" s="885"/>
      <c r="IVC281" s="885"/>
      <c r="IVD281" s="885"/>
      <c r="IVE281" s="885"/>
      <c r="IVF281" s="885"/>
      <c r="IVG281" s="885"/>
      <c r="IVH281" s="885"/>
      <c r="IVI281" s="885"/>
      <c r="IVJ281" s="885"/>
      <c r="IVK281" s="885"/>
      <c r="IVL281" s="885"/>
      <c r="IVM281" s="885"/>
      <c r="IVN281" s="885"/>
      <c r="IVO281" s="885"/>
      <c r="IVP281" s="885"/>
      <c r="IVQ281" s="885"/>
      <c r="IVR281" s="885"/>
      <c r="IVS281" s="885"/>
      <c r="IVT281" s="885"/>
      <c r="IVU281" s="885"/>
      <c r="IVV281" s="885"/>
      <c r="IVW281" s="885"/>
      <c r="IVX281" s="885"/>
      <c r="IVY281" s="885"/>
      <c r="IVZ281" s="885"/>
      <c r="IWA281" s="885"/>
      <c r="IWB281" s="885"/>
      <c r="IWC281" s="885"/>
      <c r="IWD281" s="885"/>
      <c r="IWE281" s="885"/>
      <c r="IWF281" s="885"/>
      <c r="IWG281" s="885"/>
      <c r="IWH281" s="885"/>
      <c r="IWI281" s="885"/>
      <c r="IWJ281" s="885"/>
      <c r="IWK281" s="885"/>
      <c r="IWL281" s="885"/>
      <c r="IWM281" s="885"/>
      <c r="IWN281" s="885"/>
      <c r="IWO281" s="885"/>
      <c r="IWP281" s="885"/>
      <c r="IWQ281" s="885"/>
      <c r="IWR281" s="885"/>
      <c r="IWS281" s="885"/>
      <c r="IWT281" s="885"/>
      <c r="IWU281" s="885"/>
      <c r="IWV281" s="885"/>
      <c r="IWW281" s="885"/>
      <c r="IWX281" s="885"/>
      <c r="IWY281" s="885"/>
      <c r="IWZ281" s="885"/>
      <c r="IXA281" s="885"/>
      <c r="IXB281" s="885"/>
      <c r="IXC281" s="885"/>
      <c r="IXD281" s="885"/>
      <c r="IXE281" s="885"/>
      <c r="IXF281" s="885"/>
      <c r="IXG281" s="885"/>
      <c r="IXH281" s="885"/>
      <c r="IXI281" s="885"/>
      <c r="IXJ281" s="885"/>
      <c r="IXK281" s="885"/>
      <c r="IXL281" s="885"/>
      <c r="IXM281" s="885"/>
      <c r="IXN281" s="885"/>
      <c r="IXO281" s="885"/>
      <c r="IXP281" s="885"/>
      <c r="IXQ281" s="885"/>
      <c r="IXR281" s="885"/>
      <c r="IXS281" s="885"/>
      <c r="IXT281" s="885"/>
      <c r="IXU281" s="885"/>
      <c r="IXV281" s="885"/>
      <c r="IXW281" s="885"/>
      <c r="IXX281" s="885"/>
      <c r="IXY281" s="885"/>
      <c r="IXZ281" s="885"/>
      <c r="IYA281" s="885"/>
      <c r="IYB281" s="885"/>
      <c r="IYC281" s="885"/>
      <c r="IYD281" s="885"/>
      <c r="IYE281" s="885"/>
      <c r="IYF281" s="885"/>
      <c r="IYG281" s="885"/>
      <c r="IYH281" s="885"/>
      <c r="IYI281" s="885"/>
      <c r="IYJ281" s="885"/>
      <c r="IYK281" s="885"/>
      <c r="IYL281" s="885"/>
      <c r="IYM281" s="885"/>
      <c r="IYN281" s="885"/>
      <c r="IYO281" s="885"/>
      <c r="IYP281" s="885"/>
      <c r="IYQ281" s="885"/>
      <c r="IYR281" s="885"/>
      <c r="IYS281" s="885"/>
      <c r="IYT281" s="885"/>
      <c r="IYU281" s="885"/>
      <c r="IYV281" s="885"/>
      <c r="IYW281" s="885"/>
      <c r="IYX281" s="885"/>
      <c r="IYY281" s="885"/>
      <c r="IYZ281" s="885"/>
      <c r="IZA281" s="885"/>
      <c r="IZB281" s="885"/>
      <c r="IZC281" s="885"/>
      <c r="IZD281" s="885"/>
      <c r="IZE281" s="885"/>
      <c r="IZF281" s="885"/>
      <c r="IZG281" s="885"/>
      <c r="IZH281" s="885"/>
      <c r="IZI281" s="885"/>
      <c r="IZJ281" s="885"/>
      <c r="IZK281" s="885"/>
      <c r="IZL281" s="885"/>
      <c r="IZM281" s="885"/>
      <c r="IZN281" s="885"/>
      <c r="IZO281" s="885"/>
      <c r="IZP281" s="885"/>
      <c r="IZQ281" s="885"/>
      <c r="IZR281" s="885"/>
      <c r="IZS281" s="885"/>
      <c r="IZT281" s="885"/>
      <c r="IZU281" s="885"/>
      <c r="IZV281" s="885"/>
      <c r="IZW281" s="885"/>
      <c r="IZX281" s="885"/>
      <c r="IZY281" s="885"/>
      <c r="IZZ281" s="885"/>
      <c r="JAA281" s="885"/>
      <c r="JAB281" s="885"/>
      <c r="JAC281" s="885"/>
      <c r="JAD281" s="885"/>
      <c r="JAE281" s="885"/>
      <c r="JAF281" s="885"/>
      <c r="JAG281" s="885"/>
      <c r="JAH281" s="885"/>
      <c r="JAI281" s="885"/>
      <c r="JAJ281" s="885"/>
      <c r="JAK281" s="885"/>
      <c r="JAL281" s="885"/>
      <c r="JAM281" s="885"/>
      <c r="JAN281" s="885"/>
      <c r="JAO281" s="885"/>
      <c r="JAP281" s="885"/>
      <c r="JAQ281" s="885"/>
      <c r="JAR281" s="885"/>
      <c r="JAS281" s="885"/>
      <c r="JAT281" s="885"/>
      <c r="JAU281" s="885"/>
      <c r="JAV281" s="885"/>
      <c r="JAW281" s="885"/>
      <c r="JAX281" s="885"/>
      <c r="JAY281" s="885"/>
      <c r="JAZ281" s="885"/>
      <c r="JBA281" s="885"/>
      <c r="JBB281" s="885"/>
      <c r="JBC281" s="885"/>
      <c r="JBD281" s="885"/>
      <c r="JBE281" s="885"/>
      <c r="JBF281" s="885"/>
      <c r="JBG281" s="885"/>
      <c r="JBH281" s="885"/>
      <c r="JBI281" s="885"/>
      <c r="JBJ281" s="885"/>
      <c r="JBK281" s="885"/>
      <c r="JBL281" s="885"/>
      <c r="JBM281" s="885"/>
      <c r="JBN281" s="885"/>
      <c r="JBO281" s="885"/>
      <c r="JBP281" s="885"/>
      <c r="JBQ281" s="885"/>
      <c r="JBR281" s="885"/>
      <c r="JBS281" s="885"/>
      <c r="JBT281" s="885"/>
      <c r="JBU281" s="885"/>
      <c r="JBV281" s="885"/>
      <c r="JBW281" s="885"/>
      <c r="JBX281" s="885"/>
      <c r="JBY281" s="885"/>
      <c r="JBZ281" s="885"/>
      <c r="JCA281" s="885"/>
      <c r="JCB281" s="885"/>
      <c r="JCC281" s="885"/>
      <c r="JCD281" s="885"/>
      <c r="JCE281" s="885"/>
      <c r="JCF281" s="885"/>
      <c r="JCG281" s="885"/>
      <c r="JCH281" s="885"/>
      <c r="JCI281" s="885"/>
      <c r="JCJ281" s="885"/>
      <c r="JCK281" s="885"/>
      <c r="JCL281" s="885"/>
      <c r="JCM281" s="885"/>
      <c r="JCN281" s="885"/>
      <c r="JCO281" s="885"/>
      <c r="JCP281" s="885"/>
      <c r="JCQ281" s="885"/>
      <c r="JCR281" s="885"/>
      <c r="JCS281" s="885"/>
      <c r="JCT281" s="885"/>
      <c r="JCU281" s="885"/>
      <c r="JCV281" s="885"/>
      <c r="JCW281" s="885"/>
      <c r="JCX281" s="885"/>
      <c r="JCY281" s="885"/>
      <c r="JCZ281" s="885"/>
      <c r="JDA281" s="885"/>
      <c r="JDB281" s="885"/>
      <c r="JDC281" s="885"/>
      <c r="JDD281" s="885"/>
      <c r="JDE281" s="885"/>
      <c r="JDF281" s="885"/>
      <c r="JDG281" s="885"/>
      <c r="JDH281" s="885"/>
      <c r="JDI281" s="885"/>
      <c r="JDJ281" s="885"/>
      <c r="JDK281" s="885"/>
      <c r="JDL281" s="885"/>
      <c r="JDM281" s="885"/>
      <c r="JDN281" s="885"/>
      <c r="JDO281" s="885"/>
      <c r="JDP281" s="885"/>
      <c r="JDQ281" s="885"/>
      <c r="JDR281" s="885"/>
      <c r="JDS281" s="885"/>
      <c r="JDT281" s="885"/>
      <c r="JDU281" s="885"/>
      <c r="JDV281" s="885"/>
      <c r="JDW281" s="885"/>
      <c r="JDX281" s="885"/>
      <c r="JDY281" s="885"/>
      <c r="JDZ281" s="885"/>
      <c r="JEA281" s="885"/>
      <c r="JEB281" s="885"/>
      <c r="JEC281" s="885"/>
      <c r="JED281" s="885"/>
      <c r="JEE281" s="885"/>
      <c r="JEF281" s="885"/>
      <c r="JEG281" s="885"/>
      <c r="JEH281" s="885"/>
      <c r="JEI281" s="885"/>
      <c r="JEJ281" s="885"/>
      <c r="JEK281" s="885"/>
      <c r="JEL281" s="885"/>
      <c r="JEM281" s="885"/>
      <c r="JEN281" s="885"/>
      <c r="JEO281" s="885"/>
      <c r="JEP281" s="885"/>
      <c r="JEQ281" s="885"/>
      <c r="JER281" s="885"/>
      <c r="JES281" s="885"/>
      <c r="JET281" s="885"/>
      <c r="JEU281" s="885"/>
      <c r="JEV281" s="885"/>
      <c r="JEW281" s="885"/>
      <c r="JEX281" s="885"/>
      <c r="JEY281" s="885"/>
      <c r="JEZ281" s="885"/>
      <c r="JFA281" s="885"/>
      <c r="JFB281" s="885"/>
      <c r="JFC281" s="885"/>
      <c r="JFD281" s="885"/>
      <c r="JFE281" s="885"/>
      <c r="JFF281" s="885"/>
      <c r="JFG281" s="885"/>
      <c r="JFH281" s="885"/>
      <c r="JFI281" s="885"/>
      <c r="JFJ281" s="885"/>
      <c r="JFK281" s="885"/>
      <c r="JFL281" s="885"/>
      <c r="JFM281" s="885"/>
      <c r="JFN281" s="885"/>
      <c r="JFO281" s="885"/>
      <c r="JFP281" s="885"/>
      <c r="JFQ281" s="885"/>
      <c r="JFR281" s="885"/>
      <c r="JFS281" s="885"/>
      <c r="JFT281" s="885"/>
      <c r="JFU281" s="885"/>
      <c r="JFV281" s="885"/>
      <c r="JFW281" s="885"/>
      <c r="JFX281" s="885"/>
      <c r="JFY281" s="885"/>
      <c r="JFZ281" s="885"/>
      <c r="JGA281" s="885"/>
      <c r="JGB281" s="885"/>
      <c r="JGC281" s="885"/>
      <c r="JGD281" s="885"/>
      <c r="JGE281" s="885"/>
      <c r="JGF281" s="885"/>
      <c r="JGG281" s="885"/>
      <c r="JGH281" s="885"/>
      <c r="JGI281" s="885"/>
      <c r="JGJ281" s="885"/>
      <c r="JGK281" s="885"/>
      <c r="JGL281" s="885"/>
      <c r="JGM281" s="885"/>
      <c r="JGN281" s="885"/>
      <c r="JGO281" s="885"/>
      <c r="JGP281" s="885"/>
      <c r="JGQ281" s="885"/>
      <c r="JGR281" s="885"/>
      <c r="JGS281" s="885"/>
      <c r="JGT281" s="885"/>
      <c r="JGU281" s="885"/>
      <c r="JGV281" s="885"/>
      <c r="JGW281" s="885"/>
      <c r="JGX281" s="885"/>
      <c r="JGY281" s="885"/>
      <c r="JGZ281" s="885"/>
      <c r="JHA281" s="885"/>
      <c r="JHB281" s="885"/>
      <c r="JHC281" s="885"/>
      <c r="JHD281" s="885"/>
      <c r="JHE281" s="885"/>
      <c r="JHF281" s="885"/>
      <c r="JHG281" s="885"/>
      <c r="JHH281" s="885"/>
      <c r="JHI281" s="885"/>
      <c r="JHJ281" s="885"/>
      <c r="JHK281" s="885"/>
      <c r="JHL281" s="885"/>
      <c r="JHM281" s="885"/>
      <c r="JHN281" s="885"/>
      <c r="JHO281" s="885"/>
      <c r="JHP281" s="885"/>
      <c r="JHQ281" s="885"/>
      <c r="JHR281" s="885"/>
      <c r="JHS281" s="885"/>
      <c r="JHT281" s="885"/>
      <c r="JHU281" s="885"/>
      <c r="JHV281" s="885"/>
      <c r="JHW281" s="885"/>
      <c r="JHX281" s="885"/>
      <c r="JHY281" s="885"/>
      <c r="JHZ281" s="885"/>
      <c r="JIA281" s="885"/>
      <c r="JIB281" s="885"/>
      <c r="JIC281" s="885"/>
      <c r="JID281" s="885"/>
      <c r="JIE281" s="885"/>
      <c r="JIF281" s="885"/>
      <c r="JIG281" s="885"/>
      <c r="JIH281" s="885"/>
      <c r="JII281" s="885"/>
      <c r="JIJ281" s="885"/>
      <c r="JIK281" s="885"/>
      <c r="JIL281" s="885"/>
      <c r="JIM281" s="885"/>
      <c r="JIN281" s="885"/>
      <c r="JIO281" s="885"/>
      <c r="JIP281" s="885"/>
      <c r="JIQ281" s="885"/>
      <c r="JIR281" s="885"/>
      <c r="JIS281" s="885"/>
      <c r="JIT281" s="885"/>
      <c r="JIU281" s="885"/>
      <c r="JIV281" s="885"/>
      <c r="JIW281" s="885"/>
      <c r="JIX281" s="885"/>
      <c r="JIY281" s="885"/>
      <c r="JIZ281" s="885"/>
      <c r="JJA281" s="885"/>
      <c r="JJB281" s="885"/>
      <c r="JJC281" s="885"/>
      <c r="JJD281" s="885"/>
      <c r="JJE281" s="885"/>
      <c r="JJF281" s="885"/>
      <c r="JJG281" s="885"/>
      <c r="JJH281" s="885"/>
      <c r="JJI281" s="885"/>
      <c r="JJJ281" s="885"/>
      <c r="JJK281" s="885"/>
      <c r="JJL281" s="885"/>
      <c r="JJM281" s="885"/>
      <c r="JJN281" s="885"/>
      <c r="JJO281" s="885"/>
      <c r="JJP281" s="885"/>
      <c r="JJQ281" s="885"/>
      <c r="JJR281" s="885"/>
      <c r="JJS281" s="885"/>
      <c r="JJT281" s="885"/>
      <c r="JJU281" s="885"/>
      <c r="JJV281" s="885"/>
      <c r="JJW281" s="885"/>
      <c r="JJX281" s="885"/>
      <c r="JJY281" s="885"/>
      <c r="JJZ281" s="885"/>
      <c r="JKA281" s="885"/>
      <c r="JKB281" s="885"/>
      <c r="JKC281" s="885"/>
      <c r="JKD281" s="885"/>
      <c r="JKE281" s="885"/>
      <c r="JKF281" s="885"/>
      <c r="JKG281" s="885"/>
      <c r="JKH281" s="885"/>
      <c r="JKI281" s="885"/>
      <c r="JKJ281" s="885"/>
      <c r="JKK281" s="885"/>
      <c r="JKL281" s="885"/>
      <c r="JKM281" s="885"/>
      <c r="JKN281" s="885"/>
      <c r="JKO281" s="885"/>
      <c r="JKP281" s="885"/>
      <c r="JKQ281" s="885"/>
      <c r="JKR281" s="885"/>
      <c r="JKS281" s="885"/>
      <c r="JKT281" s="885"/>
      <c r="JKU281" s="885"/>
      <c r="JKV281" s="885"/>
      <c r="JKW281" s="885"/>
      <c r="JKX281" s="885"/>
      <c r="JKY281" s="885"/>
      <c r="JKZ281" s="885"/>
      <c r="JLA281" s="885"/>
      <c r="JLB281" s="885"/>
      <c r="JLC281" s="885"/>
      <c r="JLD281" s="885"/>
      <c r="JLE281" s="885"/>
      <c r="JLF281" s="885"/>
      <c r="JLG281" s="885"/>
      <c r="JLH281" s="885"/>
      <c r="JLI281" s="885"/>
      <c r="JLJ281" s="885"/>
      <c r="JLK281" s="885"/>
      <c r="JLL281" s="885"/>
      <c r="JLM281" s="885"/>
      <c r="JLN281" s="885"/>
      <c r="JLO281" s="885"/>
      <c r="JLP281" s="885"/>
      <c r="JLQ281" s="885"/>
      <c r="JLR281" s="885"/>
      <c r="JLS281" s="885"/>
      <c r="JLT281" s="885"/>
      <c r="JLU281" s="885"/>
      <c r="JLV281" s="885"/>
      <c r="JLW281" s="885"/>
      <c r="JLX281" s="885"/>
      <c r="JLY281" s="885"/>
      <c r="JLZ281" s="885"/>
      <c r="JMA281" s="885"/>
      <c r="JMB281" s="885"/>
      <c r="JMC281" s="885"/>
      <c r="JMD281" s="885"/>
      <c r="JME281" s="885"/>
      <c r="JMF281" s="885"/>
      <c r="JMG281" s="885"/>
      <c r="JMH281" s="885"/>
      <c r="JMI281" s="885"/>
      <c r="JMJ281" s="885"/>
      <c r="JMK281" s="885"/>
      <c r="JML281" s="885"/>
      <c r="JMM281" s="885"/>
      <c r="JMN281" s="885"/>
      <c r="JMO281" s="885"/>
      <c r="JMP281" s="885"/>
      <c r="JMQ281" s="885"/>
      <c r="JMR281" s="885"/>
      <c r="JMS281" s="885"/>
      <c r="JMT281" s="885"/>
      <c r="JMU281" s="885"/>
      <c r="JMV281" s="885"/>
      <c r="JMW281" s="885"/>
      <c r="JMX281" s="885"/>
      <c r="JMY281" s="885"/>
      <c r="JMZ281" s="885"/>
      <c r="JNA281" s="885"/>
      <c r="JNB281" s="885"/>
      <c r="JNC281" s="885"/>
      <c r="JND281" s="885"/>
      <c r="JNE281" s="885"/>
      <c r="JNF281" s="885"/>
      <c r="JNG281" s="885"/>
      <c r="JNH281" s="885"/>
      <c r="JNI281" s="885"/>
      <c r="JNJ281" s="885"/>
      <c r="JNK281" s="885"/>
      <c r="JNL281" s="885"/>
      <c r="JNM281" s="885"/>
      <c r="JNN281" s="885"/>
      <c r="JNO281" s="885"/>
      <c r="JNP281" s="885"/>
      <c r="JNQ281" s="885"/>
      <c r="JNR281" s="885"/>
      <c r="JNS281" s="885"/>
      <c r="JNT281" s="885"/>
      <c r="JNU281" s="885"/>
      <c r="JNV281" s="885"/>
      <c r="JNW281" s="885"/>
      <c r="JNX281" s="885"/>
      <c r="JNY281" s="885"/>
      <c r="JNZ281" s="885"/>
      <c r="JOA281" s="885"/>
      <c r="JOB281" s="885"/>
      <c r="JOC281" s="885"/>
      <c r="JOD281" s="885"/>
      <c r="JOE281" s="885"/>
      <c r="JOF281" s="885"/>
      <c r="JOG281" s="885"/>
      <c r="JOH281" s="885"/>
      <c r="JOI281" s="885"/>
      <c r="JOJ281" s="885"/>
      <c r="JOK281" s="885"/>
      <c r="JOL281" s="885"/>
      <c r="JOM281" s="885"/>
      <c r="JON281" s="885"/>
      <c r="JOO281" s="885"/>
      <c r="JOP281" s="885"/>
      <c r="JOQ281" s="885"/>
      <c r="JOR281" s="885"/>
      <c r="JOS281" s="885"/>
      <c r="JOT281" s="885"/>
      <c r="JOU281" s="885"/>
      <c r="JOV281" s="885"/>
      <c r="JOW281" s="885"/>
      <c r="JOX281" s="885"/>
      <c r="JOY281" s="885"/>
      <c r="JOZ281" s="885"/>
      <c r="JPA281" s="885"/>
      <c r="JPB281" s="885"/>
      <c r="JPC281" s="885"/>
      <c r="JPD281" s="885"/>
      <c r="JPE281" s="885"/>
      <c r="JPF281" s="885"/>
      <c r="JPG281" s="885"/>
      <c r="JPH281" s="885"/>
      <c r="JPI281" s="885"/>
      <c r="JPJ281" s="885"/>
      <c r="JPK281" s="885"/>
      <c r="JPL281" s="885"/>
      <c r="JPM281" s="885"/>
      <c r="JPN281" s="885"/>
      <c r="JPO281" s="885"/>
      <c r="JPP281" s="885"/>
      <c r="JPQ281" s="885"/>
      <c r="JPR281" s="885"/>
      <c r="JPS281" s="885"/>
      <c r="JPT281" s="885"/>
      <c r="JPU281" s="885"/>
      <c r="JPV281" s="885"/>
      <c r="JPW281" s="885"/>
      <c r="JPX281" s="885"/>
      <c r="JPY281" s="885"/>
      <c r="JPZ281" s="885"/>
      <c r="JQA281" s="885"/>
      <c r="JQB281" s="885"/>
      <c r="JQC281" s="885"/>
      <c r="JQD281" s="885"/>
      <c r="JQE281" s="885"/>
      <c r="JQF281" s="885"/>
      <c r="JQG281" s="885"/>
      <c r="JQH281" s="885"/>
      <c r="JQI281" s="885"/>
      <c r="JQJ281" s="885"/>
      <c r="JQK281" s="885"/>
      <c r="JQL281" s="885"/>
      <c r="JQM281" s="885"/>
      <c r="JQN281" s="885"/>
      <c r="JQO281" s="885"/>
      <c r="JQP281" s="885"/>
      <c r="JQQ281" s="885"/>
      <c r="JQR281" s="885"/>
      <c r="JQS281" s="885"/>
      <c r="JQT281" s="885"/>
      <c r="JQU281" s="885"/>
      <c r="JQV281" s="885"/>
      <c r="JQW281" s="885"/>
      <c r="JQX281" s="885"/>
      <c r="JQY281" s="885"/>
      <c r="JQZ281" s="885"/>
      <c r="JRA281" s="885"/>
      <c r="JRB281" s="885"/>
      <c r="JRC281" s="885"/>
      <c r="JRD281" s="885"/>
      <c r="JRE281" s="885"/>
      <c r="JRF281" s="885"/>
      <c r="JRG281" s="885"/>
      <c r="JRH281" s="885"/>
      <c r="JRI281" s="885"/>
      <c r="JRJ281" s="885"/>
      <c r="JRK281" s="885"/>
      <c r="JRL281" s="885"/>
      <c r="JRM281" s="885"/>
      <c r="JRN281" s="885"/>
      <c r="JRO281" s="885"/>
      <c r="JRP281" s="885"/>
      <c r="JRQ281" s="885"/>
      <c r="JRR281" s="885"/>
      <c r="JRS281" s="885"/>
      <c r="JRT281" s="885"/>
      <c r="JRU281" s="885"/>
      <c r="JRV281" s="885"/>
      <c r="JRW281" s="885"/>
      <c r="JRX281" s="885"/>
      <c r="JRY281" s="885"/>
      <c r="JRZ281" s="885"/>
      <c r="JSA281" s="885"/>
      <c r="JSB281" s="885"/>
      <c r="JSC281" s="885"/>
      <c r="JSD281" s="885"/>
      <c r="JSE281" s="885"/>
      <c r="JSF281" s="885"/>
      <c r="JSG281" s="885"/>
      <c r="JSH281" s="885"/>
      <c r="JSI281" s="885"/>
      <c r="JSJ281" s="885"/>
      <c r="JSK281" s="885"/>
      <c r="JSL281" s="885"/>
      <c r="JSM281" s="885"/>
      <c r="JSN281" s="885"/>
      <c r="JSO281" s="885"/>
      <c r="JSP281" s="885"/>
      <c r="JSQ281" s="885"/>
      <c r="JSR281" s="885"/>
      <c r="JSS281" s="885"/>
      <c r="JST281" s="885"/>
      <c r="JSU281" s="885"/>
      <c r="JSV281" s="885"/>
      <c r="JSW281" s="885"/>
      <c r="JSX281" s="885"/>
      <c r="JSY281" s="885"/>
      <c r="JSZ281" s="885"/>
      <c r="JTA281" s="885"/>
      <c r="JTB281" s="885"/>
      <c r="JTC281" s="885"/>
      <c r="JTD281" s="885"/>
      <c r="JTE281" s="885"/>
      <c r="JTF281" s="885"/>
      <c r="JTG281" s="885"/>
      <c r="JTH281" s="885"/>
      <c r="JTI281" s="885"/>
      <c r="JTJ281" s="885"/>
      <c r="JTK281" s="885"/>
      <c r="JTL281" s="885"/>
      <c r="JTM281" s="885"/>
      <c r="JTN281" s="885"/>
      <c r="JTO281" s="885"/>
      <c r="JTP281" s="885"/>
      <c r="JTQ281" s="885"/>
      <c r="JTR281" s="885"/>
      <c r="JTS281" s="885"/>
      <c r="JTT281" s="885"/>
      <c r="JTU281" s="885"/>
      <c r="JTV281" s="885"/>
      <c r="JTW281" s="885"/>
      <c r="JTX281" s="885"/>
      <c r="JTY281" s="885"/>
      <c r="JTZ281" s="885"/>
      <c r="JUA281" s="885"/>
      <c r="JUB281" s="885"/>
      <c r="JUC281" s="885"/>
      <c r="JUD281" s="885"/>
      <c r="JUE281" s="885"/>
      <c r="JUF281" s="885"/>
      <c r="JUG281" s="885"/>
      <c r="JUH281" s="885"/>
      <c r="JUI281" s="885"/>
      <c r="JUJ281" s="885"/>
      <c r="JUK281" s="885"/>
      <c r="JUL281" s="885"/>
      <c r="JUM281" s="885"/>
      <c r="JUN281" s="885"/>
      <c r="JUO281" s="885"/>
      <c r="JUP281" s="885"/>
      <c r="JUQ281" s="885"/>
      <c r="JUR281" s="885"/>
      <c r="JUS281" s="885"/>
      <c r="JUT281" s="885"/>
      <c r="JUU281" s="885"/>
      <c r="JUV281" s="885"/>
      <c r="JUW281" s="885"/>
      <c r="JUX281" s="885"/>
      <c r="JUY281" s="885"/>
      <c r="JUZ281" s="885"/>
      <c r="JVA281" s="885"/>
      <c r="JVB281" s="885"/>
      <c r="JVC281" s="885"/>
      <c r="JVD281" s="885"/>
      <c r="JVE281" s="885"/>
      <c r="JVF281" s="885"/>
      <c r="JVG281" s="885"/>
      <c r="JVH281" s="885"/>
      <c r="JVI281" s="885"/>
      <c r="JVJ281" s="885"/>
      <c r="JVK281" s="885"/>
      <c r="JVL281" s="885"/>
      <c r="JVM281" s="885"/>
      <c r="JVN281" s="885"/>
      <c r="JVO281" s="885"/>
      <c r="JVP281" s="885"/>
      <c r="JVQ281" s="885"/>
      <c r="JVR281" s="885"/>
      <c r="JVS281" s="885"/>
      <c r="JVT281" s="885"/>
      <c r="JVU281" s="885"/>
      <c r="JVV281" s="885"/>
      <c r="JVW281" s="885"/>
      <c r="JVX281" s="885"/>
      <c r="JVY281" s="885"/>
      <c r="JVZ281" s="885"/>
      <c r="JWA281" s="885"/>
      <c r="JWB281" s="885"/>
      <c r="JWC281" s="885"/>
      <c r="JWD281" s="885"/>
      <c r="JWE281" s="885"/>
      <c r="JWF281" s="885"/>
      <c r="JWG281" s="885"/>
      <c r="JWH281" s="885"/>
      <c r="JWI281" s="885"/>
      <c r="JWJ281" s="885"/>
      <c r="JWK281" s="885"/>
      <c r="JWL281" s="885"/>
      <c r="JWM281" s="885"/>
      <c r="JWN281" s="885"/>
      <c r="JWO281" s="885"/>
      <c r="JWP281" s="885"/>
      <c r="JWQ281" s="885"/>
      <c r="JWR281" s="885"/>
      <c r="JWS281" s="885"/>
      <c r="JWT281" s="885"/>
      <c r="JWU281" s="885"/>
      <c r="JWV281" s="885"/>
      <c r="JWW281" s="885"/>
      <c r="JWX281" s="885"/>
      <c r="JWY281" s="885"/>
      <c r="JWZ281" s="885"/>
      <c r="JXA281" s="885"/>
      <c r="JXB281" s="885"/>
      <c r="JXC281" s="885"/>
      <c r="JXD281" s="885"/>
      <c r="JXE281" s="885"/>
      <c r="JXF281" s="885"/>
      <c r="JXG281" s="885"/>
      <c r="JXH281" s="885"/>
      <c r="JXI281" s="885"/>
      <c r="JXJ281" s="885"/>
      <c r="JXK281" s="885"/>
      <c r="JXL281" s="885"/>
      <c r="JXM281" s="885"/>
      <c r="JXN281" s="885"/>
      <c r="JXO281" s="885"/>
      <c r="JXP281" s="885"/>
      <c r="JXQ281" s="885"/>
      <c r="JXR281" s="885"/>
      <c r="JXS281" s="885"/>
      <c r="JXT281" s="885"/>
      <c r="JXU281" s="885"/>
      <c r="JXV281" s="885"/>
      <c r="JXW281" s="885"/>
      <c r="JXX281" s="885"/>
      <c r="JXY281" s="885"/>
      <c r="JXZ281" s="885"/>
      <c r="JYA281" s="885"/>
      <c r="JYB281" s="885"/>
      <c r="JYC281" s="885"/>
      <c r="JYD281" s="885"/>
      <c r="JYE281" s="885"/>
      <c r="JYF281" s="885"/>
      <c r="JYG281" s="885"/>
      <c r="JYH281" s="885"/>
      <c r="JYI281" s="885"/>
      <c r="JYJ281" s="885"/>
      <c r="JYK281" s="885"/>
      <c r="JYL281" s="885"/>
      <c r="JYM281" s="885"/>
      <c r="JYN281" s="885"/>
      <c r="JYO281" s="885"/>
      <c r="JYP281" s="885"/>
      <c r="JYQ281" s="885"/>
      <c r="JYR281" s="885"/>
      <c r="JYS281" s="885"/>
      <c r="JYT281" s="885"/>
      <c r="JYU281" s="885"/>
      <c r="JYV281" s="885"/>
      <c r="JYW281" s="885"/>
      <c r="JYX281" s="885"/>
      <c r="JYY281" s="885"/>
      <c r="JYZ281" s="885"/>
      <c r="JZA281" s="885"/>
      <c r="JZB281" s="885"/>
      <c r="JZC281" s="885"/>
      <c r="JZD281" s="885"/>
      <c r="JZE281" s="885"/>
      <c r="JZF281" s="885"/>
      <c r="JZG281" s="885"/>
      <c r="JZH281" s="885"/>
      <c r="JZI281" s="885"/>
      <c r="JZJ281" s="885"/>
      <c r="JZK281" s="885"/>
      <c r="JZL281" s="885"/>
      <c r="JZM281" s="885"/>
      <c r="JZN281" s="885"/>
      <c r="JZO281" s="885"/>
      <c r="JZP281" s="885"/>
      <c r="JZQ281" s="885"/>
      <c r="JZR281" s="885"/>
      <c r="JZS281" s="885"/>
      <c r="JZT281" s="885"/>
      <c r="JZU281" s="885"/>
      <c r="JZV281" s="885"/>
      <c r="JZW281" s="885"/>
      <c r="JZX281" s="885"/>
      <c r="JZY281" s="885"/>
      <c r="JZZ281" s="885"/>
      <c r="KAA281" s="885"/>
      <c r="KAB281" s="885"/>
      <c r="KAC281" s="885"/>
      <c r="KAD281" s="885"/>
      <c r="KAE281" s="885"/>
      <c r="KAF281" s="885"/>
      <c r="KAG281" s="885"/>
      <c r="KAH281" s="885"/>
      <c r="KAI281" s="885"/>
      <c r="KAJ281" s="885"/>
      <c r="KAK281" s="885"/>
      <c r="KAL281" s="885"/>
      <c r="KAM281" s="885"/>
      <c r="KAN281" s="885"/>
      <c r="KAO281" s="885"/>
      <c r="KAP281" s="885"/>
      <c r="KAQ281" s="885"/>
      <c r="KAR281" s="885"/>
      <c r="KAS281" s="885"/>
      <c r="KAT281" s="885"/>
      <c r="KAU281" s="885"/>
      <c r="KAV281" s="885"/>
      <c r="KAW281" s="885"/>
      <c r="KAX281" s="885"/>
      <c r="KAY281" s="885"/>
      <c r="KAZ281" s="885"/>
      <c r="KBA281" s="885"/>
      <c r="KBB281" s="885"/>
      <c r="KBC281" s="885"/>
      <c r="KBD281" s="885"/>
      <c r="KBE281" s="885"/>
      <c r="KBF281" s="885"/>
      <c r="KBG281" s="885"/>
      <c r="KBH281" s="885"/>
      <c r="KBI281" s="885"/>
      <c r="KBJ281" s="885"/>
      <c r="KBK281" s="885"/>
      <c r="KBL281" s="885"/>
      <c r="KBM281" s="885"/>
      <c r="KBN281" s="885"/>
      <c r="KBO281" s="885"/>
      <c r="KBP281" s="885"/>
      <c r="KBQ281" s="885"/>
      <c r="KBR281" s="885"/>
      <c r="KBS281" s="885"/>
      <c r="KBT281" s="885"/>
      <c r="KBU281" s="885"/>
      <c r="KBV281" s="885"/>
      <c r="KBW281" s="885"/>
      <c r="KBX281" s="885"/>
      <c r="KBY281" s="885"/>
      <c r="KBZ281" s="885"/>
      <c r="KCA281" s="885"/>
      <c r="KCB281" s="885"/>
      <c r="KCC281" s="885"/>
      <c r="KCD281" s="885"/>
      <c r="KCE281" s="885"/>
      <c r="KCF281" s="885"/>
      <c r="KCG281" s="885"/>
      <c r="KCH281" s="885"/>
      <c r="KCI281" s="885"/>
      <c r="KCJ281" s="885"/>
      <c r="KCK281" s="885"/>
      <c r="KCL281" s="885"/>
      <c r="KCM281" s="885"/>
      <c r="KCN281" s="885"/>
      <c r="KCO281" s="885"/>
      <c r="KCP281" s="885"/>
      <c r="KCQ281" s="885"/>
      <c r="KCR281" s="885"/>
      <c r="KCS281" s="885"/>
      <c r="KCT281" s="885"/>
      <c r="KCU281" s="885"/>
      <c r="KCV281" s="885"/>
      <c r="KCW281" s="885"/>
      <c r="KCX281" s="885"/>
      <c r="KCY281" s="885"/>
      <c r="KCZ281" s="885"/>
      <c r="KDA281" s="885"/>
      <c r="KDB281" s="885"/>
      <c r="KDC281" s="885"/>
      <c r="KDD281" s="885"/>
      <c r="KDE281" s="885"/>
      <c r="KDF281" s="885"/>
      <c r="KDG281" s="885"/>
      <c r="KDH281" s="885"/>
      <c r="KDI281" s="885"/>
      <c r="KDJ281" s="885"/>
      <c r="KDK281" s="885"/>
      <c r="KDL281" s="885"/>
      <c r="KDM281" s="885"/>
      <c r="KDN281" s="885"/>
      <c r="KDO281" s="885"/>
      <c r="KDP281" s="885"/>
      <c r="KDQ281" s="885"/>
      <c r="KDR281" s="885"/>
      <c r="KDS281" s="885"/>
      <c r="KDT281" s="885"/>
      <c r="KDU281" s="885"/>
      <c r="KDV281" s="885"/>
      <c r="KDW281" s="885"/>
      <c r="KDX281" s="885"/>
      <c r="KDY281" s="885"/>
      <c r="KDZ281" s="885"/>
      <c r="KEA281" s="885"/>
      <c r="KEB281" s="885"/>
      <c r="KEC281" s="885"/>
      <c r="KED281" s="885"/>
      <c r="KEE281" s="885"/>
      <c r="KEF281" s="885"/>
      <c r="KEG281" s="885"/>
      <c r="KEH281" s="885"/>
      <c r="KEI281" s="885"/>
      <c r="KEJ281" s="885"/>
      <c r="KEK281" s="885"/>
      <c r="KEL281" s="885"/>
      <c r="KEM281" s="885"/>
      <c r="KEN281" s="885"/>
      <c r="KEO281" s="885"/>
      <c r="KEP281" s="885"/>
      <c r="KEQ281" s="885"/>
      <c r="KER281" s="885"/>
      <c r="KES281" s="885"/>
      <c r="KET281" s="885"/>
      <c r="KEU281" s="885"/>
      <c r="KEV281" s="885"/>
      <c r="KEW281" s="885"/>
      <c r="KEX281" s="885"/>
      <c r="KEY281" s="885"/>
      <c r="KEZ281" s="885"/>
      <c r="KFA281" s="885"/>
      <c r="KFB281" s="885"/>
      <c r="KFC281" s="885"/>
      <c r="KFD281" s="885"/>
      <c r="KFE281" s="885"/>
      <c r="KFF281" s="885"/>
      <c r="KFG281" s="885"/>
      <c r="KFH281" s="885"/>
      <c r="KFI281" s="885"/>
      <c r="KFJ281" s="885"/>
      <c r="KFK281" s="885"/>
      <c r="KFL281" s="885"/>
      <c r="KFM281" s="885"/>
      <c r="KFN281" s="885"/>
      <c r="KFO281" s="885"/>
      <c r="KFP281" s="885"/>
      <c r="KFQ281" s="885"/>
      <c r="KFR281" s="885"/>
      <c r="KFS281" s="885"/>
      <c r="KFT281" s="885"/>
      <c r="KFU281" s="885"/>
      <c r="KFV281" s="885"/>
      <c r="KFW281" s="885"/>
      <c r="KFX281" s="885"/>
      <c r="KFY281" s="885"/>
      <c r="KFZ281" s="885"/>
      <c r="KGA281" s="885"/>
      <c r="KGB281" s="885"/>
      <c r="KGC281" s="885"/>
      <c r="KGD281" s="885"/>
      <c r="KGE281" s="885"/>
      <c r="KGF281" s="885"/>
      <c r="KGG281" s="885"/>
      <c r="KGH281" s="885"/>
      <c r="KGI281" s="885"/>
      <c r="KGJ281" s="885"/>
      <c r="KGK281" s="885"/>
      <c r="KGL281" s="885"/>
      <c r="KGM281" s="885"/>
      <c r="KGN281" s="885"/>
      <c r="KGO281" s="885"/>
      <c r="KGP281" s="885"/>
      <c r="KGQ281" s="885"/>
      <c r="KGR281" s="885"/>
      <c r="KGS281" s="885"/>
      <c r="KGT281" s="885"/>
      <c r="KGU281" s="885"/>
      <c r="KGV281" s="885"/>
      <c r="KGW281" s="885"/>
      <c r="KGX281" s="885"/>
      <c r="KGY281" s="885"/>
      <c r="KGZ281" s="885"/>
      <c r="KHA281" s="885"/>
      <c r="KHB281" s="885"/>
      <c r="KHC281" s="885"/>
      <c r="KHD281" s="885"/>
      <c r="KHE281" s="885"/>
      <c r="KHF281" s="885"/>
      <c r="KHG281" s="885"/>
      <c r="KHH281" s="885"/>
      <c r="KHI281" s="885"/>
      <c r="KHJ281" s="885"/>
      <c r="KHK281" s="885"/>
      <c r="KHL281" s="885"/>
      <c r="KHM281" s="885"/>
      <c r="KHN281" s="885"/>
      <c r="KHO281" s="885"/>
      <c r="KHP281" s="885"/>
      <c r="KHQ281" s="885"/>
      <c r="KHR281" s="885"/>
      <c r="KHS281" s="885"/>
      <c r="KHT281" s="885"/>
      <c r="KHU281" s="885"/>
      <c r="KHV281" s="885"/>
      <c r="KHW281" s="885"/>
      <c r="KHX281" s="885"/>
      <c r="KHY281" s="885"/>
      <c r="KHZ281" s="885"/>
      <c r="KIA281" s="885"/>
      <c r="KIB281" s="885"/>
      <c r="KIC281" s="885"/>
      <c r="KID281" s="885"/>
      <c r="KIE281" s="885"/>
      <c r="KIF281" s="885"/>
      <c r="KIG281" s="885"/>
      <c r="KIH281" s="885"/>
      <c r="KII281" s="885"/>
      <c r="KIJ281" s="885"/>
      <c r="KIK281" s="885"/>
      <c r="KIL281" s="885"/>
      <c r="KIM281" s="885"/>
      <c r="KIN281" s="885"/>
      <c r="KIO281" s="885"/>
      <c r="KIP281" s="885"/>
      <c r="KIQ281" s="885"/>
      <c r="KIR281" s="885"/>
      <c r="KIS281" s="885"/>
      <c r="KIT281" s="885"/>
      <c r="KIU281" s="885"/>
      <c r="KIV281" s="885"/>
      <c r="KIW281" s="885"/>
      <c r="KIX281" s="885"/>
      <c r="KIY281" s="885"/>
      <c r="KIZ281" s="885"/>
      <c r="KJA281" s="885"/>
      <c r="KJB281" s="885"/>
      <c r="KJC281" s="885"/>
      <c r="KJD281" s="885"/>
      <c r="KJE281" s="885"/>
      <c r="KJF281" s="885"/>
      <c r="KJG281" s="885"/>
      <c r="KJH281" s="885"/>
      <c r="KJI281" s="885"/>
      <c r="KJJ281" s="885"/>
      <c r="KJK281" s="885"/>
      <c r="KJL281" s="885"/>
      <c r="KJM281" s="885"/>
      <c r="KJN281" s="885"/>
      <c r="KJO281" s="885"/>
      <c r="KJP281" s="885"/>
      <c r="KJQ281" s="885"/>
      <c r="KJR281" s="885"/>
      <c r="KJS281" s="885"/>
      <c r="KJT281" s="885"/>
      <c r="KJU281" s="885"/>
      <c r="KJV281" s="885"/>
      <c r="KJW281" s="885"/>
      <c r="KJX281" s="885"/>
      <c r="KJY281" s="885"/>
      <c r="KJZ281" s="885"/>
      <c r="KKA281" s="885"/>
      <c r="KKB281" s="885"/>
      <c r="KKC281" s="885"/>
      <c r="KKD281" s="885"/>
      <c r="KKE281" s="885"/>
      <c r="KKF281" s="885"/>
      <c r="KKG281" s="885"/>
      <c r="KKH281" s="885"/>
      <c r="KKI281" s="885"/>
      <c r="KKJ281" s="885"/>
      <c r="KKK281" s="885"/>
      <c r="KKL281" s="885"/>
      <c r="KKM281" s="885"/>
      <c r="KKN281" s="885"/>
      <c r="KKO281" s="885"/>
      <c r="KKP281" s="885"/>
      <c r="KKQ281" s="885"/>
      <c r="KKR281" s="885"/>
      <c r="KKS281" s="885"/>
      <c r="KKT281" s="885"/>
      <c r="KKU281" s="885"/>
      <c r="KKV281" s="885"/>
      <c r="KKW281" s="885"/>
      <c r="KKX281" s="885"/>
      <c r="KKY281" s="885"/>
      <c r="KKZ281" s="885"/>
      <c r="KLA281" s="885"/>
      <c r="KLB281" s="885"/>
      <c r="KLC281" s="885"/>
      <c r="KLD281" s="885"/>
      <c r="KLE281" s="885"/>
      <c r="KLF281" s="885"/>
      <c r="KLG281" s="885"/>
      <c r="KLH281" s="885"/>
      <c r="KLI281" s="885"/>
      <c r="KLJ281" s="885"/>
      <c r="KLK281" s="885"/>
      <c r="KLL281" s="885"/>
      <c r="KLM281" s="885"/>
      <c r="KLN281" s="885"/>
      <c r="KLO281" s="885"/>
      <c r="KLP281" s="885"/>
      <c r="KLQ281" s="885"/>
      <c r="KLR281" s="885"/>
      <c r="KLS281" s="885"/>
      <c r="KLT281" s="885"/>
      <c r="KLU281" s="885"/>
      <c r="KLV281" s="885"/>
      <c r="KLW281" s="885"/>
      <c r="KLX281" s="885"/>
      <c r="KLY281" s="885"/>
      <c r="KLZ281" s="885"/>
      <c r="KMA281" s="885"/>
      <c r="KMB281" s="885"/>
      <c r="KMC281" s="885"/>
      <c r="KMD281" s="885"/>
      <c r="KME281" s="885"/>
      <c r="KMF281" s="885"/>
      <c r="KMG281" s="885"/>
      <c r="KMH281" s="885"/>
      <c r="KMI281" s="885"/>
      <c r="KMJ281" s="885"/>
      <c r="KMK281" s="885"/>
      <c r="KML281" s="885"/>
      <c r="KMM281" s="885"/>
      <c r="KMN281" s="885"/>
      <c r="KMO281" s="885"/>
      <c r="KMP281" s="885"/>
      <c r="KMQ281" s="885"/>
      <c r="KMR281" s="885"/>
      <c r="KMS281" s="885"/>
      <c r="KMT281" s="885"/>
      <c r="KMU281" s="885"/>
      <c r="KMV281" s="885"/>
      <c r="KMW281" s="885"/>
      <c r="KMX281" s="885"/>
      <c r="KMY281" s="885"/>
      <c r="KMZ281" s="885"/>
      <c r="KNA281" s="885"/>
      <c r="KNB281" s="885"/>
      <c r="KNC281" s="885"/>
      <c r="KND281" s="885"/>
      <c r="KNE281" s="885"/>
      <c r="KNF281" s="885"/>
      <c r="KNG281" s="885"/>
      <c r="KNH281" s="885"/>
      <c r="KNI281" s="885"/>
      <c r="KNJ281" s="885"/>
      <c r="KNK281" s="885"/>
      <c r="KNL281" s="885"/>
      <c r="KNM281" s="885"/>
      <c r="KNN281" s="885"/>
      <c r="KNO281" s="885"/>
      <c r="KNP281" s="885"/>
      <c r="KNQ281" s="885"/>
      <c r="KNR281" s="885"/>
      <c r="KNS281" s="885"/>
      <c r="KNT281" s="885"/>
      <c r="KNU281" s="885"/>
      <c r="KNV281" s="885"/>
      <c r="KNW281" s="885"/>
      <c r="KNX281" s="885"/>
      <c r="KNY281" s="885"/>
      <c r="KNZ281" s="885"/>
      <c r="KOA281" s="885"/>
      <c r="KOB281" s="885"/>
      <c r="KOC281" s="885"/>
      <c r="KOD281" s="885"/>
      <c r="KOE281" s="885"/>
      <c r="KOF281" s="885"/>
      <c r="KOG281" s="885"/>
      <c r="KOH281" s="885"/>
      <c r="KOI281" s="885"/>
      <c r="KOJ281" s="885"/>
      <c r="KOK281" s="885"/>
      <c r="KOL281" s="885"/>
      <c r="KOM281" s="885"/>
      <c r="KON281" s="885"/>
      <c r="KOO281" s="885"/>
      <c r="KOP281" s="885"/>
      <c r="KOQ281" s="885"/>
      <c r="KOR281" s="885"/>
      <c r="KOS281" s="885"/>
      <c r="KOT281" s="885"/>
      <c r="KOU281" s="885"/>
      <c r="KOV281" s="885"/>
      <c r="KOW281" s="885"/>
      <c r="KOX281" s="885"/>
      <c r="KOY281" s="885"/>
      <c r="KOZ281" s="885"/>
      <c r="KPA281" s="885"/>
      <c r="KPB281" s="885"/>
      <c r="KPC281" s="885"/>
      <c r="KPD281" s="885"/>
      <c r="KPE281" s="885"/>
      <c r="KPF281" s="885"/>
      <c r="KPG281" s="885"/>
      <c r="KPH281" s="885"/>
      <c r="KPI281" s="885"/>
      <c r="KPJ281" s="885"/>
      <c r="KPK281" s="885"/>
      <c r="KPL281" s="885"/>
      <c r="KPM281" s="885"/>
      <c r="KPN281" s="885"/>
      <c r="KPO281" s="885"/>
      <c r="KPP281" s="885"/>
      <c r="KPQ281" s="885"/>
      <c r="KPR281" s="885"/>
      <c r="KPS281" s="885"/>
      <c r="KPT281" s="885"/>
      <c r="KPU281" s="885"/>
      <c r="KPV281" s="885"/>
      <c r="KPW281" s="885"/>
      <c r="KPX281" s="885"/>
      <c r="KPY281" s="885"/>
      <c r="KPZ281" s="885"/>
      <c r="KQA281" s="885"/>
      <c r="KQB281" s="885"/>
      <c r="KQC281" s="885"/>
      <c r="KQD281" s="885"/>
      <c r="KQE281" s="885"/>
      <c r="KQF281" s="885"/>
      <c r="KQG281" s="885"/>
      <c r="KQH281" s="885"/>
      <c r="KQI281" s="885"/>
      <c r="KQJ281" s="885"/>
      <c r="KQK281" s="885"/>
      <c r="KQL281" s="885"/>
      <c r="KQM281" s="885"/>
      <c r="KQN281" s="885"/>
      <c r="KQO281" s="885"/>
      <c r="KQP281" s="885"/>
      <c r="KQQ281" s="885"/>
      <c r="KQR281" s="885"/>
      <c r="KQS281" s="885"/>
      <c r="KQT281" s="885"/>
      <c r="KQU281" s="885"/>
      <c r="KQV281" s="885"/>
      <c r="KQW281" s="885"/>
      <c r="KQX281" s="885"/>
      <c r="KQY281" s="885"/>
      <c r="KQZ281" s="885"/>
      <c r="KRA281" s="885"/>
      <c r="KRB281" s="885"/>
      <c r="KRC281" s="885"/>
      <c r="KRD281" s="885"/>
      <c r="KRE281" s="885"/>
      <c r="KRF281" s="885"/>
      <c r="KRG281" s="885"/>
      <c r="KRH281" s="885"/>
      <c r="KRI281" s="885"/>
      <c r="KRJ281" s="885"/>
      <c r="KRK281" s="885"/>
      <c r="KRL281" s="885"/>
      <c r="KRM281" s="885"/>
      <c r="KRN281" s="885"/>
      <c r="KRO281" s="885"/>
      <c r="KRP281" s="885"/>
      <c r="KRQ281" s="885"/>
      <c r="KRR281" s="885"/>
      <c r="KRS281" s="885"/>
      <c r="KRT281" s="885"/>
      <c r="KRU281" s="885"/>
      <c r="KRV281" s="885"/>
      <c r="KRW281" s="885"/>
      <c r="KRX281" s="885"/>
      <c r="KRY281" s="885"/>
      <c r="KRZ281" s="885"/>
      <c r="KSA281" s="885"/>
      <c r="KSB281" s="885"/>
      <c r="KSC281" s="885"/>
      <c r="KSD281" s="885"/>
      <c r="KSE281" s="885"/>
      <c r="KSF281" s="885"/>
      <c r="KSG281" s="885"/>
      <c r="KSH281" s="885"/>
      <c r="KSI281" s="885"/>
      <c r="KSJ281" s="885"/>
      <c r="KSK281" s="885"/>
      <c r="KSL281" s="885"/>
      <c r="KSM281" s="885"/>
      <c r="KSN281" s="885"/>
      <c r="KSO281" s="885"/>
      <c r="KSP281" s="885"/>
      <c r="KSQ281" s="885"/>
      <c r="KSR281" s="885"/>
      <c r="KSS281" s="885"/>
      <c r="KST281" s="885"/>
      <c r="KSU281" s="885"/>
      <c r="KSV281" s="885"/>
      <c r="KSW281" s="885"/>
      <c r="KSX281" s="885"/>
      <c r="KSY281" s="885"/>
      <c r="KSZ281" s="885"/>
      <c r="KTA281" s="885"/>
      <c r="KTB281" s="885"/>
      <c r="KTC281" s="885"/>
      <c r="KTD281" s="885"/>
      <c r="KTE281" s="885"/>
      <c r="KTF281" s="885"/>
      <c r="KTG281" s="885"/>
      <c r="KTH281" s="885"/>
      <c r="KTI281" s="885"/>
      <c r="KTJ281" s="885"/>
      <c r="KTK281" s="885"/>
      <c r="KTL281" s="885"/>
      <c r="KTM281" s="885"/>
      <c r="KTN281" s="885"/>
      <c r="KTO281" s="885"/>
      <c r="KTP281" s="885"/>
      <c r="KTQ281" s="885"/>
      <c r="KTR281" s="885"/>
      <c r="KTS281" s="885"/>
      <c r="KTT281" s="885"/>
      <c r="KTU281" s="885"/>
      <c r="KTV281" s="885"/>
      <c r="KTW281" s="885"/>
      <c r="KTX281" s="885"/>
      <c r="KTY281" s="885"/>
      <c r="KTZ281" s="885"/>
      <c r="KUA281" s="885"/>
      <c r="KUB281" s="885"/>
      <c r="KUC281" s="885"/>
      <c r="KUD281" s="885"/>
      <c r="KUE281" s="885"/>
      <c r="KUF281" s="885"/>
      <c r="KUG281" s="885"/>
      <c r="KUH281" s="885"/>
      <c r="KUI281" s="885"/>
      <c r="KUJ281" s="885"/>
      <c r="KUK281" s="885"/>
      <c r="KUL281" s="885"/>
      <c r="KUM281" s="885"/>
      <c r="KUN281" s="885"/>
      <c r="KUO281" s="885"/>
      <c r="KUP281" s="885"/>
      <c r="KUQ281" s="885"/>
      <c r="KUR281" s="885"/>
      <c r="KUS281" s="885"/>
      <c r="KUT281" s="885"/>
      <c r="KUU281" s="885"/>
      <c r="KUV281" s="885"/>
      <c r="KUW281" s="885"/>
      <c r="KUX281" s="885"/>
      <c r="KUY281" s="885"/>
      <c r="KUZ281" s="885"/>
      <c r="KVA281" s="885"/>
      <c r="KVB281" s="885"/>
      <c r="KVC281" s="885"/>
      <c r="KVD281" s="885"/>
      <c r="KVE281" s="885"/>
      <c r="KVF281" s="885"/>
      <c r="KVG281" s="885"/>
      <c r="KVH281" s="885"/>
      <c r="KVI281" s="885"/>
      <c r="KVJ281" s="885"/>
      <c r="KVK281" s="885"/>
      <c r="KVL281" s="885"/>
      <c r="KVM281" s="885"/>
      <c r="KVN281" s="885"/>
      <c r="KVO281" s="885"/>
      <c r="KVP281" s="885"/>
      <c r="KVQ281" s="885"/>
      <c r="KVR281" s="885"/>
      <c r="KVS281" s="885"/>
      <c r="KVT281" s="885"/>
      <c r="KVU281" s="885"/>
      <c r="KVV281" s="885"/>
      <c r="KVW281" s="885"/>
      <c r="KVX281" s="885"/>
      <c r="KVY281" s="885"/>
      <c r="KVZ281" s="885"/>
      <c r="KWA281" s="885"/>
      <c r="KWB281" s="885"/>
      <c r="KWC281" s="885"/>
      <c r="KWD281" s="885"/>
      <c r="KWE281" s="885"/>
      <c r="KWF281" s="885"/>
      <c r="KWG281" s="885"/>
      <c r="KWH281" s="885"/>
      <c r="KWI281" s="885"/>
      <c r="KWJ281" s="885"/>
      <c r="KWK281" s="885"/>
      <c r="KWL281" s="885"/>
      <c r="KWM281" s="885"/>
      <c r="KWN281" s="885"/>
      <c r="KWO281" s="885"/>
      <c r="KWP281" s="885"/>
      <c r="KWQ281" s="885"/>
      <c r="KWR281" s="885"/>
      <c r="KWS281" s="885"/>
      <c r="KWT281" s="885"/>
      <c r="KWU281" s="885"/>
      <c r="KWV281" s="885"/>
      <c r="KWW281" s="885"/>
      <c r="KWX281" s="885"/>
      <c r="KWY281" s="885"/>
      <c r="KWZ281" s="885"/>
      <c r="KXA281" s="885"/>
      <c r="KXB281" s="885"/>
      <c r="KXC281" s="885"/>
      <c r="KXD281" s="885"/>
      <c r="KXE281" s="885"/>
      <c r="KXF281" s="885"/>
      <c r="KXG281" s="885"/>
      <c r="KXH281" s="885"/>
      <c r="KXI281" s="885"/>
      <c r="KXJ281" s="885"/>
      <c r="KXK281" s="885"/>
      <c r="KXL281" s="885"/>
      <c r="KXM281" s="885"/>
      <c r="KXN281" s="885"/>
      <c r="KXO281" s="885"/>
      <c r="KXP281" s="885"/>
      <c r="KXQ281" s="885"/>
      <c r="KXR281" s="885"/>
      <c r="KXS281" s="885"/>
      <c r="KXT281" s="885"/>
      <c r="KXU281" s="885"/>
      <c r="KXV281" s="885"/>
      <c r="KXW281" s="885"/>
      <c r="KXX281" s="885"/>
      <c r="KXY281" s="885"/>
      <c r="KXZ281" s="885"/>
      <c r="KYA281" s="885"/>
      <c r="KYB281" s="885"/>
      <c r="KYC281" s="885"/>
      <c r="KYD281" s="885"/>
      <c r="KYE281" s="885"/>
      <c r="KYF281" s="885"/>
      <c r="KYG281" s="885"/>
      <c r="KYH281" s="885"/>
      <c r="KYI281" s="885"/>
      <c r="KYJ281" s="885"/>
      <c r="KYK281" s="885"/>
      <c r="KYL281" s="885"/>
      <c r="KYM281" s="885"/>
      <c r="KYN281" s="885"/>
      <c r="KYO281" s="885"/>
      <c r="KYP281" s="885"/>
      <c r="KYQ281" s="885"/>
      <c r="KYR281" s="885"/>
      <c r="KYS281" s="885"/>
      <c r="KYT281" s="885"/>
      <c r="KYU281" s="885"/>
      <c r="KYV281" s="885"/>
      <c r="KYW281" s="885"/>
      <c r="KYX281" s="885"/>
      <c r="KYY281" s="885"/>
      <c r="KYZ281" s="885"/>
      <c r="KZA281" s="885"/>
      <c r="KZB281" s="885"/>
      <c r="KZC281" s="885"/>
      <c r="KZD281" s="885"/>
      <c r="KZE281" s="885"/>
      <c r="KZF281" s="885"/>
      <c r="KZG281" s="885"/>
      <c r="KZH281" s="885"/>
      <c r="KZI281" s="885"/>
      <c r="KZJ281" s="885"/>
      <c r="KZK281" s="885"/>
      <c r="KZL281" s="885"/>
      <c r="KZM281" s="885"/>
      <c r="KZN281" s="885"/>
      <c r="KZO281" s="885"/>
      <c r="KZP281" s="885"/>
      <c r="KZQ281" s="885"/>
      <c r="KZR281" s="885"/>
      <c r="KZS281" s="885"/>
      <c r="KZT281" s="885"/>
      <c r="KZU281" s="885"/>
      <c r="KZV281" s="885"/>
      <c r="KZW281" s="885"/>
      <c r="KZX281" s="885"/>
      <c r="KZY281" s="885"/>
      <c r="KZZ281" s="885"/>
      <c r="LAA281" s="885"/>
      <c r="LAB281" s="885"/>
      <c r="LAC281" s="885"/>
      <c r="LAD281" s="885"/>
      <c r="LAE281" s="885"/>
      <c r="LAF281" s="885"/>
      <c r="LAG281" s="885"/>
      <c r="LAH281" s="885"/>
      <c r="LAI281" s="885"/>
      <c r="LAJ281" s="885"/>
      <c r="LAK281" s="885"/>
      <c r="LAL281" s="885"/>
      <c r="LAM281" s="885"/>
      <c r="LAN281" s="885"/>
      <c r="LAO281" s="885"/>
      <c r="LAP281" s="885"/>
      <c r="LAQ281" s="885"/>
      <c r="LAR281" s="885"/>
      <c r="LAS281" s="885"/>
      <c r="LAT281" s="885"/>
      <c r="LAU281" s="885"/>
      <c r="LAV281" s="885"/>
      <c r="LAW281" s="885"/>
      <c r="LAX281" s="885"/>
      <c r="LAY281" s="885"/>
      <c r="LAZ281" s="885"/>
      <c r="LBA281" s="885"/>
      <c r="LBB281" s="885"/>
      <c r="LBC281" s="885"/>
      <c r="LBD281" s="885"/>
      <c r="LBE281" s="885"/>
      <c r="LBF281" s="885"/>
      <c r="LBG281" s="885"/>
      <c r="LBH281" s="885"/>
      <c r="LBI281" s="885"/>
      <c r="LBJ281" s="885"/>
      <c r="LBK281" s="885"/>
      <c r="LBL281" s="885"/>
      <c r="LBM281" s="885"/>
      <c r="LBN281" s="885"/>
      <c r="LBO281" s="885"/>
      <c r="LBP281" s="885"/>
      <c r="LBQ281" s="885"/>
      <c r="LBR281" s="885"/>
      <c r="LBS281" s="885"/>
      <c r="LBT281" s="885"/>
      <c r="LBU281" s="885"/>
      <c r="LBV281" s="885"/>
      <c r="LBW281" s="885"/>
      <c r="LBX281" s="885"/>
      <c r="LBY281" s="885"/>
      <c r="LBZ281" s="885"/>
      <c r="LCA281" s="885"/>
      <c r="LCB281" s="885"/>
      <c r="LCC281" s="885"/>
      <c r="LCD281" s="885"/>
      <c r="LCE281" s="885"/>
      <c r="LCF281" s="885"/>
      <c r="LCG281" s="885"/>
      <c r="LCH281" s="885"/>
      <c r="LCI281" s="885"/>
      <c r="LCJ281" s="885"/>
      <c r="LCK281" s="885"/>
      <c r="LCL281" s="885"/>
      <c r="LCM281" s="885"/>
      <c r="LCN281" s="885"/>
      <c r="LCO281" s="885"/>
      <c r="LCP281" s="885"/>
      <c r="LCQ281" s="885"/>
      <c r="LCR281" s="885"/>
      <c r="LCS281" s="885"/>
      <c r="LCT281" s="885"/>
      <c r="LCU281" s="885"/>
      <c r="LCV281" s="885"/>
      <c r="LCW281" s="885"/>
      <c r="LCX281" s="885"/>
      <c r="LCY281" s="885"/>
      <c r="LCZ281" s="885"/>
      <c r="LDA281" s="885"/>
      <c r="LDB281" s="885"/>
      <c r="LDC281" s="885"/>
      <c r="LDD281" s="885"/>
      <c r="LDE281" s="885"/>
      <c r="LDF281" s="885"/>
      <c r="LDG281" s="885"/>
      <c r="LDH281" s="885"/>
      <c r="LDI281" s="885"/>
      <c r="LDJ281" s="885"/>
      <c r="LDK281" s="885"/>
      <c r="LDL281" s="885"/>
      <c r="LDM281" s="885"/>
      <c r="LDN281" s="885"/>
      <c r="LDO281" s="885"/>
      <c r="LDP281" s="885"/>
      <c r="LDQ281" s="885"/>
      <c r="LDR281" s="885"/>
      <c r="LDS281" s="885"/>
      <c r="LDT281" s="885"/>
      <c r="LDU281" s="885"/>
      <c r="LDV281" s="885"/>
      <c r="LDW281" s="885"/>
      <c r="LDX281" s="885"/>
      <c r="LDY281" s="885"/>
      <c r="LDZ281" s="885"/>
      <c r="LEA281" s="885"/>
      <c r="LEB281" s="885"/>
      <c r="LEC281" s="885"/>
      <c r="LED281" s="885"/>
      <c r="LEE281" s="885"/>
      <c r="LEF281" s="885"/>
      <c r="LEG281" s="885"/>
      <c r="LEH281" s="885"/>
      <c r="LEI281" s="885"/>
      <c r="LEJ281" s="885"/>
      <c r="LEK281" s="885"/>
      <c r="LEL281" s="885"/>
      <c r="LEM281" s="885"/>
      <c r="LEN281" s="885"/>
      <c r="LEO281" s="885"/>
      <c r="LEP281" s="885"/>
      <c r="LEQ281" s="885"/>
      <c r="LER281" s="885"/>
      <c r="LES281" s="885"/>
      <c r="LET281" s="885"/>
      <c r="LEU281" s="885"/>
      <c r="LEV281" s="885"/>
      <c r="LEW281" s="885"/>
      <c r="LEX281" s="885"/>
      <c r="LEY281" s="885"/>
      <c r="LEZ281" s="885"/>
      <c r="LFA281" s="885"/>
      <c r="LFB281" s="885"/>
      <c r="LFC281" s="885"/>
      <c r="LFD281" s="885"/>
      <c r="LFE281" s="885"/>
      <c r="LFF281" s="885"/>
      <c r="LFG281" s="885"/>
      <c r="LFH281" s="885"/>
      <c r="LFI281" s="885"/>
      <c r="LFJ281" s="885"/>
      <c r="LFK281" s="885"/>
      <c r="LFL281" s="885"/>
      <c r="LFM281" s="885"/>
      <c r="LFN281" s="885"/>
      <c r="LFO281" s="885"/>
      <c r="LFP281" s="885"/>
      <c r="LFQ281" s="885"/>
      <c r="LFR281" s="885"/>
      <c r="LFS281" s="885"/>
      <c r="LFT281" s="885"/>
      <c r="LFU281" s="885"/>
      <c r="LFV281" s="885"/>
      <c r="LFW281" s="885"/>
      <c r="LFX281" s="885"/>
      <c r="LFY281" s="885"/>
      <c r="LFZ281" s="885"/>
      <c r="LGA281" s="885"/>
      <c r="LGB281" s="885"/>
      <c r="LGC281" s="885"/>
      <c r="LGD281" s="885"/>
      <c r="LGE281" s="885"/>
      <c r="LGF281" s="885"/>
      <c r="LGG281" s="885"/>
      <c r="LGH281" s="885"/>
      <c r="LGI281" s="885"/>
      <c r="LGJ281" s="885"/>
      <c r="LGK281" s="885"/>
      <c r="LGL281" s="885"/>
      <c r="LGM281" s="885"/>
      <c r="LGN281" s="885"/>
      <c r="LGO281" s="885"/>
      <c r="LGP281" s="885"/>
      <c r="LGQ281" s="885"/>
      <c r="LGR281" s="885"/>
      <c r="LGS281" s="885"/>
      <c r="LGT281" s="885"/>
      <c r="LGU281" s="885"/>
      <c r="LGV281" s="885"/>
      <c r="LGW281" s="885"/>
      <c r="LGX281" s="885"/>
      <c r="LGY281" s="885"/>
      <c r="LGZ281" s="885"/>
      <c r="LHA281" s="885"/>
      <c r="LHB281" s="885"/>
      <c r="LHC281" s="885"/>
      <c r="LHD281" s="885"/>
      <c r="LHE281" s="885"/>
      <c r="LHF281" s="885"/>
      <c r="LHG281" s="885"/>
      <c r="LHH281" s="885"/>
      <c r="LHI281" s="885"/>
      <c r="LHJ281" s="885"/>
      <c r="LHK281" s="885"/>
      <c r="LHL281" s="885"/>
      <c r="LHM281" s="885"/>
      <c r="LHN281" s="885"/>
      <c r="LHO281" s="885"/>
      <c r="LHP281" s="885"/>
      <c r="LHQ281" s="885"/>
      <c r="LHR281" s="885"/>
      <c r="LHS281" s="885"/>
      <c r="LHT281" s="885"/>
      <c r="LHU281" s="885"/>
      <c r="LHV281" s="885"/>
      <c r="LHW281" s="885"/>
      <c r="LHX281" s="885"/>
      <c r="LHY281" s="885"/>
      <c r="LHZ281" s="885"/>
      <c r="LIA281" s="885"/>
      <c r="LIB281" s="885"/>
      <c r="LIC281" s="885"/>
      <c r="LID281" s="885"/>
      <c r="LIE281" s="885"/>
      <c r="LIF281" s="885"/>
      <c r="LIG281" s="885"/>
      <c r="LIH281" s="885"/>
      <c r="LII281" s="885"/>
      <c r="LIJ281" s="885"/>
      <c r="LIK281" s="885"/>
      <c r="LIL281" s="885"/>
      <c r="LIM281" s="885"/>
      <c r="LIN281" s="885"/>
      <c r="LIO281" s="885"/>
      <c r="LIP281" s="885"/>
      <c r="LIQ281" s="885"/>
      <c r="LIR281" s="885"/>
      <c r="LIS281" s="885"/>
      <c r="LIT281" s="885"/>
      <c r="LIU281" s="885"/>
      <c r="LIV281" s="885"/>
      <c r="LIW281" s="885"/>
      <c r="LIX281" s="885"/>
      <c r="LIY281" s="885"/>
      <c r="LIZ281" s="885"/>
      <c r="LJA281" s="885"/>
      <c r="LJB281" s="885"/>
      <c r="LJC281" s="885"/>
      <c r="LJD281" s="885"/>
      <c r="LJE281" s="885"/>
      <c r="LJF281" s="885"/>
      <c r="LJG281" s="885"/>
      <c r="LJH281" s="885"/>
      <c r="LJI281" s="885"/>
      <c r="LJJ281" s="885"/>
      <c r="LJK281" s="885"/>
      <c r="LJL281" s="885"/>
      <c r="LJM281" s="885"/>
      <c r="LJN281" s="885"/>
      <c r="LJO281" s="885"/>
      <c r="LJP281" s="885"/>
      <c r="LJQ281" s="885"/>
      <c r="LJR281" s="885"/>
      <c r="LJS281" s="885"/>
      <c r="LJT281" s="885"/>
      <c r="LJU281" s="885"/>
      <c r="LJV281" s="885"/>
      <c r="LJW281" s="885"/>
      <c r="LJX281" s="885"/>
      <c r="LJY281" s="885"/>
      <c r="LJZ281" s="885"/>
      <c r="LKA281" s="885"/>
      <c r="LKB281" s="885"/>
      <c r="LKC281" s="885"/>
      <c r="LKD281" s="885"/>
      <c r="LKE281" s="885"/>
      <c r="LKF281" s="885"/>
      <c r="LKG281" s="885"/>
      <c r="LKH281" s="885"/>
      <c r="LKI281" s="885"/>
      <c r="LKJ281" s="885"/>
      <c r="LKK281" s="885"/>
      <c r="LKL281" s="885"/>
      <c r="LKM281" s="885"/>
      <c r="LKN281" s="885"/>
      <c r="LKO281" s="885"/>
      <c r="LKP281" s="885"/>
      <c r="LKQ281" s="885"/>
      <c r="LKR281" s="885"/>
      <c r="LKS281" s="885"/>
      <c r="LKT281" s="885"/>
      <c r="LKU281" s="885"/>
      <c r="LKV281" s="885"/>
      <c r="LKW281" s="885"/>
      <c r="LKX281" s="885"/>
      <c r="LKY281" s="885"/>
      <c r="LKZ281" s="885"/>
      <c r="LLA281" s="885"/>
      <c r="LLB281" s="885"/>
      <c r="LLC281" s="885"/>
      <c r="LLD281" s="885"/>
      <c r="LLE281" s="885"/>
      <c r="LLF281" s="885"/>
      <c r="LLG281" s="885"/>
      <c r="LLH281" s="885"/>
      <c r="LLI281" s="885"/>
      <c r="LLJ281" s="885"/>
      <c r="LLK281" s="885"/>
      <c r="LLL281" s="885"/>
      <c r="LLM281" s="885"/>
      <c r="LLN281" s="885"/>
      <c r="LLO281" s="885"/>
      <c r="LLP281" s="885"/>
      <c r="LLQ281" s="885"/>
      <c r="LLR281" s="885"/>
      <c r="LLS281" s="885"/>
      <c r="LLT281" s="885"/>
      <c r="LLU281" s="885"/>
      <c r="LLV281" s="885"/>
      <c r="LLW281" s="885"/>
      <c r="LLX281" s="885"/>
      <c r="LLY281" s="885"/>
      <c r="LLZ281" s="885"/>
      <c r="LMA281" s="885"/>
      <c r="LMB281" s="885"/>
      <c r="LMC281" s="885"/>
      <c r="LMD281" s="885"/>
      <c r="LME281" s="885"/>
      <c r="LMF281" s="885"/>
      <c r="LMG281" s="885"/>
      <c r="LMH281" s="885"/>
      <c r="LMI281" s="885"/>
      <c r="LMJ281" s="885"/>
      <c r="LMK281" s="885"/>
      <c r="LML281" s="885"/>
      <c r="LMM281" s="885"/>
      <c r="LMN281" s="885"/>
      <c r="LMO281" s="885"/>
      <c r="LMP281" s="885"/>
      <c r="LMQ281" s="885"/>
      <c r="LMR281" s="885"/>
      <c r="LMS281" s="885"/>
      <c r="LMT281" s="885"/>
      <c r="LMU281" s="885"/>
      <c r="LMV281" s="885"/>
      <c r="LMW281" s="885"/>
      <c r="LMX281" s="885"/>
      <c r="LMY281" s="885"/>
      <c r="LMZ281" s="885"/>
      <c r="LNA281" s="885"/>
      <c r="LNB281" s="885"/>
      <c r="LNC281" s="885"/>
      <c r="LND281" s="885"/>
      <c r="LNE281" s="885"/>
      <c r="LNF281" s="885"/>
      <c r="LNG281" s="885"/>
      <c r="LNH281" s="885"/>
      <c r="LNI281" s="885"/>
      <c r="LNJ281" s="885"/>
      <c r="LNK281" s="885"/>
      <c r="LNL281" s="885"/>
      <c r="LNM281" s="885"/>
      <c r="LNN281" s="885"/>
      <c r="LNO281" s="885"/>
      <c r="LNP281" s="885"/>
      <c r="LNQ281" s="885"/>
      <c r="LNR281" s="885"/>
      <c r="LNS281" s="885"/>
      <c r="LNT281" s="885"/>
      <c r="LNU281" s="885"/>
      <c r="LNV281" s="885"/>
      <c r="LNW281" s="885"/>
      <c r="LNX281" s="885"/>
      <c r="LNY281" s="885"/>
      <c r="LNZ281" s="885"/>
      <c r="LOA281" s="885"/>
      <c r="LOB281" s="885"/>
      <c r="LOC281" s="885"/>
      <c r="LOD281" s="885"/>
      <c r="LOE281" s="885"/>
      <c r="LOF281" s="885"/>
      <c r="LOG281" s="885"/>
      <c r="LOH281" s="885"/>
      <c r="LOI281" s="885"/>
      <c r="LOJ281" s="885"/>
      <c r="LOK281" s="885"/>
      <c r="LOL281" s="885"/>
      <c r="LOM281" s="885"/>
      <c r="LON281" s="885"/>
      <c r="LOO281" s="885"/>
      <c r="LOP281" s="885"/>
      <c r="LOQ281" s="885"/>
      <c r="LOR281" s="885"/>
      <c r="LOS281" s="885"/>
      <c r="LOT281" s="885"/>
      <c r="LOU281" s="885"/>
      <c r="LOV281" s="885"/>
      <c r="LOW281" s="885"/>
      <c r="LOX281" s="885"/>
      <c r="LOY281" s="885"/>
      <c r="LOZ281" s="885"/>
      <c r="LPA281" s="885"/>
      <c r="LPB281" s="885"/>
      <c r="LPC281" s="885"/>
      <c r="LPD281" s="885"/>
      <c r="LPE281" s="885"/>
      <c r="LPF281" s="885"/>
      <c r="LPG281" s="885"/>
      <c r="LPH281" s="885"/>
      <c r="LPI281" s="885"/>
      <c r="LPJ281" s="885"/>
      <c r="LPK281" s="885"/>
      <c r="LPL281" s="885"/>
      <c r="LPM281" s="885"/>
      <c r="LPN281" s="885"/>
      <c r="LPO281" s="885"/>
      <c r="LPP281" s="885"/>
      <c r="LPQ281" s="885"/>
      <c r="LPR281" s="885"/>
      <c r="LPS281" s="885"/>
      <c r="LPT281" s="885"/>
      <c r="LPU281" s="885"/>
      <c r="LPV281" s="885"/>
      <c r="LPW281" s="885"/>
      <c r="LPX281" s="885"/>
      <c r="LPY281" s="885"/>
      <c r="LPZ281" s="885"/>
      <c r="LQA281" s="885"/>
      <c r="LQB281" s="885"/>
      <c r="LQC281" s="885"/>
      <c r="LQD281" s="885"/>
      <c r="LQE281" s="885"/>
      <c r="LQF281" s="885"/>
      <c r="LQG281" s="885"/>
      <c r="LQH281" s="885"/>
      <c r="LQI281" s="885"/>
      <c r="LQJ281" s="885"/>
      <c r="LQK281" s="885"/>
      <c r="LQL281" s="885"/>
      <c r="LQM281" s="885"/>
      <c r="LQN281" s="885"/>
      <c r="LQO281" s="885"/>
      <c r="LQP281" s="885"/>
      <c r="LQQ281" s="885"/>
      <c r="LQR281" s="885"/>
      <c r="LQS281" s="885"/>
      <c r="LQT281" s="885"/>
      <c r="LQU281" s="885"/>
      <c r="LQV281" s="885"/>
      <c r="LQW281" s="885"/>
      <c r="LQX281" s="885"/>
      <c r="LQY281" s="885"/>
      <c r="LQZ281" s="885"/>
      <c r="LRA281" s="885"/>
      <c r="LRB281" s="885"/>
      <c r="LRC281" s="885"/>
      <c r="LRD281" s="885"/>
      <c r="LRE281" s="885"/>
      <c r="LRF281" s="885"/>
      <c r="LRG281" s="885"/>
      <c r="LRH281" s="885"/>
      <c r="LRI281" s="885"/>
      <c r="LRJ281" s="885"/>
      <c r="LRK281" s="885"/>
      <c r="LRL281" s="885"/>
      <c r="LRM281" s="885"/>
      <c r="LRN281" s="885"/>
      <c r="LRO281" s="885"/>
      <c r="LRP281" s="885"/>
      <c r="LRQ281" s="885"/>
      <c r="LRR281" s="885"/>
      <c r="LRS281" s="885"/>
      <c r="LRT281" s="885"/>
      <c r="LRU281" s="885"/>
      <c r="LRV281" s="885"/>
      <c r="LRW281" s="885"/>
      <c r="LRX281" s="885"/>
      <c r="LRY281" s="885"/>
      <c r="LRZ281" s="885"/>
      <c r="LSA281" s="885"/>
      <c r="LSB281" s="885"/>
      <c r="LSC281" s="885"/>
      <c r="LSD281" s="885"/>
      <c r="LSE281" s="885"/>
      <c r="LSF281" s="885"/>
      <c r="LSG281" s="885"/>
      <c r="LSH281" s="885"/>
      <c r="LSI281" s="885"/>
      <c r="LSJ281" s="885"/>
      <c r="LSK281" s="885"/>
      <c r="LSL281" s="885"/>
      <c r="LSM281" s="885"/>
      <c r="LSN281" s="885"/>
      <c r="LSO281" s="885"/>
      <c r="LSP281" s="885"/>
      <c r="LSQ281" s="885"/>
      <c r="LSR281" s="885"/>
      <c r="LSS281" s="885"/>
      <c r="LST281" s="885"/>
      <c r="LSU281" s="885"/>
      <c r="LSV281" s="885"/>
      <c r="LSW281" s="885"/>
      <c r="LSX281" s="885"/>
      <c r="LSY281" s="885"/>
      <c r="LSZ281" s="885"/>
      <c r="LTA281" s="885"/>
      <c r="LTB281" s="885"/>
      <c r="LTC281" s="885"/>
      <c r="LTD281" s="885"/>
      <c r="LTE281" s="885"/>
      <c r="LTF281" s="885"/>
      <c r="LTG281" s="885"/>
      <c r="LTH281" s="885"/>
      <c r="LTI281" s="885"/>
      <c r="LTJ281" s="885"/>
      <c r="LTK281" s="885"/>
      <c r="LTL281" s="885"/>
      <c r="LTM281" s="885"/>
      <c r="LTN281" s="885"/>
      <c r="LTO281" s="885"/>
      <c r="LTP281" s="885"/>
      <c r="LTQ281" s="885"/>
      <c r="LTR281" s="885"/>
      <c r="LTS281" s="885"/>
      <c r="LTT281" s="885"/>
      <c r="LTU281" s="885"/>
      <c r="LTV281" s="885"/>
      <c r="LTW281" s="885"/>
      <c r="LTX281" s="885"/>
      <c r="LTY281" s="885"/>
      <c r="LTZ281" s="885"/>
      <c r="LUA281" s="885"/>
      <c r="LUB281" s="885"/>
      <c r="LUC281" s="885"/>
      <c r="LUD281" s="885"/>
      <c r="LUE281" s="885"/>
      <c r="LUF281" s="885"/>
      <c r="LUG281" s="885"/>
      <c r="LUH281" s="885"/>
      <c r="LUI281" s="885"/>
      <c r="LUJ281" s="885"/>
      <c r="LUK281" s="885"/>
      <c r="LUL281" s="885"/>
      <c r="LUM281" s="885"/>
      <c r="LUN281" s="885"/>
      <c r="LUO281" s="885"/>
      <c r="LUP281" s="885"/>
      <c r="LUQ281" s="885"/>
      <c r="LUR281" s="885"/>
      <c r="LUS281" s="885"/>
      <c r="LUT281" s="885"/>
      <c r="LUU281" s="885"/>
      <c r="LUV281" s="885"/>
      <c r="LUW281" s="885"/>
      <c r="LUX281" s="885"/>
      <c r="LUY281" s="885"/>
      <c r="LUZ281" s="885"/>
      <c r="LVA281" s="885"/>
      <c r="LVB281" s="885"/>
      <c r="LVC281" s="885"/>
      <c r="LVD281" s="885"/>
      <c r="LVE281" s="885"/>
      <c r="LVF281" s="885"/>
      <c r="LVG281" s="885"/>
      <c r="LVH281" s="885"/>
      <c r="LVI281" s="885"/>
      <c r="LVJ281" s="885"/>
      <c r="LVK281" s="885"/>
      <c r="LVL281" s="885"/>
      <c r="LVM281" s="885"/>
      <c r="LVN281" s="885"/>
      <c r="LVO281" s="885"/>
      <c r="LVP281" s="885"/>
      <c r="LVQ281" s="885"/>
      <c r="LVR281" s="885"/>
      <c r="LVS281" s="885"/>
      <c r="LVT281" s="885"/>
      <c r="LVU281" s="885"/>
      <c r="LVV281" s="885"/>
      <c r="LVW281" s="885"/>
      <c r="LVX281" s="885"/>
      <c r="LVY281" s="885"/>
      <c r="LVZ281" s="885"/>
      <c r="LWA281" s="885"/>
      <c r="LWB281" s="885"/>
      <c r="LWC281" s="885"/>
      <c r="LWD281" s="885"/>
      <c r="LWE281" s="885"/>
      <c r="LWF281" s="885"/>
      <c r="LWG281" s="885"/>
      <c r="LWH281" s="885"/>
      <c r="LWI281" s="885"/>
      <c r="LWJ281" s="885"/>
      <c r="LWK281" s="885"/>
      <c r="LWL281" s="885"/>
      <c r="LWM281" s="885"/>
      <c r="LWN281" s="885"/>
      <c r="LWO281" s="885"/>
      <c r="LWP281" s="885"/>
      <c r="LWQ281" s="885"/>
      <c r="LWR281" s="885"/>
      <c r="LWS281" s="885"/>
      <c r="LWT281" s="885"/>
      <c r="LWU281" s="885"/>
      <c r="LWV281" s="885"/>
      <c r="LWW281" s="885"/>
      <c r="LWX281" s="885"/>
      <c r="LWY281" s="885"/>
      <c r="LWZ281" s="885"/>
      <c r="LXA281" s="885"/>
      <c r="LXB281" s="885"/>
      <c r="LXC281" s="885"/>
      <c r="LXD281" s="885"/>
      <c r="LXE281" s="885"/>
      <c r="LXF281" s="885"/>
      <c r="LXG281" s="885"/>
      <c r="LXH281" s="885"/>
      <c r="LXI281" s="885"/>
      <c r="LXJ281" s="885"/>
      <c r="LXK281" s="885"/>
      <c r="LXL281" s="885"/>
      <c r="LXM281" s="885"/>
      <c r="LXN281" s="885"/>
      <c r="LXO281" s="885"/>
      <c r="LXP281" s="885"/>
      <c r="LXQ281" s="885"/>
      <c r="LXR281" s="885"/>
      <c r="LXS281" s="885"/>
      <c r="LXT281" s="885"/>
      <c r="LXU281" s="885"/>
      <c r="LXV281" s="885"/>
      <c r="LXW281" s="885"/>
      <c r="LXX281" s="885"/>
      <c r="LXY281" s="885"/>
      <c r="LXZ281" s="885"/>
      <c r="LYA281" s="885"/>
      <c r="LYB281" s="885"/>
      <c r="LYC281" s="885"/>
      <c r="LYD281" s="885"/>
      <c r="LYE281" s="885"/>
      <c r="LYF281" s="885"/>
      <c r="LYG281" s="885"/>
      <c r="LYH281" s="885"/>
      <c r="LYI281" s="885"/>
      <c r="LYJ281" s="885"/>
      <c r="LYK281" s="885"/>
      <c r="LYL281" s="885"/>
      <c r="LYM281" s="885"/>
      <c r="LYN281" s="885"/>
      <c r="LYO281" s="885"/>
      <c r="LYP281" s="885"/>
      <c r="LYQ281" s="885"/>
      <c r="LYR281" s="885"/>
      <c r="LYS281" s="885"/>
      <c r="LYT281" s="885"/>
      <c r="LYU281" s="885"/>
      <c r="LYV281" s="885"/>
      <c r="LYW281" s="885"/>
      <c r="LYX281" s="885"/>
      <c r="LYY281" s="885"/>
      <c r="LYZ281" s="885"/>
      <c r="LZA281" s="885"/>
      <c r="LZB281" s="885"/>
      <c r="LZC281" s="885"/>
      <c r="LZD281" s="885"/>
      <c r="LZE281" s="885"/>
      <c r="LZF281" s="885"/>
      <c r="LZG281" s="885"/>
      <c r="LZH281" s="885"/>
      <c r="LZI281" s="885"/>
      <c r="LZJ281" s="885"/>
      <c r="LZK281" s="885"/>
      <c r="LZL281" s="885"/>
      <c r="LZM281" s="885"/>
      <c r="LZN281" s="885"/>
      <c r="LZO281" s="885"/>
      <c r="LZP281" s="885"/>
      <c r="LZQ281" s="885"/>
      <c r="LZR281" s="885"/>
      <c r="LZS281" s="885"/>
      <c r="LZT281" s="885"/>
      <c r="LZU281" s="885"/>
      <c r="LZV281" s="885"/>
      <c r="LZW281" s="885"/>
      <c r="LZX281" s="885"/>
      <c r="LZY281" s="885"/>
      <c r="LZZ281" s="885"/>
      <c r="MAA281" s="885"/>
      <c r="MAB281" s="885"/>
      <c r="MAC281" s="885"/>
      <c r="MAD281" s="885"/>
      <c r="MAE281" s="885"/>
      <c r="MAF281" s="885"/>
      <c r="MAG281" s="885"/>
      <c r="MAH281" s="885"/>
      <c r="MAI281" s="885"/>
      <c r="MAJ281" s="885"/>
      <c r="MAK281" s="885"/>
      <c r="MAL281" s="885"/>
      <c r="MAM281" s="885"/>
      <c r="MAN281" s="885"/>
      <c r="MAO281" s="885"/>
      <c r="MAP281" s="885"/>
      <c r="MAQ281" s="885"/>
      <c r="MAR281" s="885"/>
      <c r="MAS281" s="885"/>
      <c r="MAT281" s="885"/>
      <c r="MAU281" s="885"/>
      <c r="MAV281" s="885"/>
      <c r="MAW281" s="885"/>
      <c r="MAX281" s="885"/>
      <c r="MAY281" s="885"/>
      <c r="MAZ281" s="885"/>
      <c r="MBA281" s="885"/>
      <c r="MBB281" s="885"/>
      <c r="MBC281" s="885"/>
      <c r="MBD281" s="885"/>
      <c r="MBE281" s="885"/>
      <c r="MBF281" s="885"/>
      <c r="MBG281" s="885"/>
      <c r="MBH281" s="885"/>
      <c r="MBI281" s="885"/>
      <c r="MBJ281" s="885"/>
      <c r="MBK281" s="885"/>
      <c r="MBL281" s="885"/>
      <c r="MBM281" s="885"/>
      <c r="MBN281" s="885"/>
      <c r="MBO281" s="885"/>
      <c r="MBP281" s="885"/>
      <c r="MBQ281" s="885"/>
      <c r="MBR281" s="885"/>
      <c r="MBS281" s="885"/>
      <c r="MBT281" s="885"/>
      <c r="MBU281" s="885"/>
      <c r="MBV281" s="885"/>
      <c r="MBW281" s="885"/>
      <c r="MBX281" s="885"/>
      <c r="MBY281" s="885"/>
      <c r="MBZ281" s="885"/>
      <c r="MCA281" s="885"/>
      <c r="MCB281" s="885"/>
      <c r="MCC281" s="885"/>
      <c r="MCD281" s="885"/>
      <c r="MCE281" s="885"/>
      <c r="MCF281" s="885"/>
      <c r="MCG281" s="885"/>
      <c r="MCH281" s="885"/>
      <c r="MCI281" s="885"/>
      <c r="MCJ281" s="885"/>
      <c r="MCK281" s="885"/>
      <c r="MCL281" s="885"/>
      <c r="MCM281" s="885"/>
      <c r="MCN281" s="885"/>
      <c r="MCO281" s="885"/>
      <c r="MCP281" s="885"/>
      <c r="MCQ281" s="885"/>
      <c r="MCR281" s="885"/>
      <c r="MCS281" s="885"/>
      <c r="MCT281" s="885"/>
      <c r="MCU281" s="885"/>
      <c r="MCV281" s="885"/>
      <c r="MCW281" s="885"/>
      <c r="MCX281" s="885"/>
      <c r="MCY281" s="885"/>
      <c r="MCZ281" s="885"/>
      <c r="MDA281" s="885"/>
      <c r="MDB281" s="885"/>
      <c r="MDC281" s="885"/>
      <c r="MDD281" s="885"/>
      <c r="MDE281" s="885"/>
      <c r="MDF281" s="885"/>
      <c r="MDG281" s="885"/>
      <c r="MDH281" s="885"/>
      <c r="MDI281" s="885"/>
      <c r="MDJ281" s="885"/>
      <c r="MDK281" s="885"/>
      <c r="MDL281" s="885"/>
      <c r="MDM281" s="885"/>
      <c r="MDN281" s="885"/>
      <c r="MDO281" s="885"/>
      <c r="MDP281" s="885"/>
      <c r="MDQ281" s="885"/>
      <c r="MDR281" s="885"/>
      <c r="MDS281" s="885"/>
      <c r="MDT281" s="885"/>
      <c r="MDU281" s="885"/>
      <c r="MDV281" s="885"/>
      <c r="MDW281" s="885"/>
      <c r="MDX281" s="885"/>
      <c r="MDY281" s="885"/>
      <c r="MDZ281" s="885"/>
      <c r="MEA281" s="885"/>
      <c r="MEB281" s="885"/>
      <c r="MEC281" s="885"/>
      <c r="MED281" s="885"/>
      <c r="MEE281" s="885"/>
      <c r="MEF281" s="885"/>
      <c r="MEG281" s="885"/>
      <c r="MEH281" s="885"/>
      <c r="MEI281" s="885"/>
      <c r="MEJ281" s="885"/>
      <c r="MEK281" s="885"/>
      <c r="MEL281" s="885"/>
      <c r="MEM281" s="885"/>
      <c r="MEN281" s="885"/>
      <c r="MEO281" s="885"/>
      <c r="MEP281" s="885"/>
      <c r="MEQ281" s="885"/>
      <c r="MER281" s="885"/>
      <c r="MES281" s="885"/>
      <c r="MET281" s="885"/>
      <c r="MEU281" s="885"/>
      <c r="MEV281" s="885"/>
      <c r="MEW281" s="885"/>
      <c r="MEX281" s="885"/>
      <c r="MEY281" s="885"/>
      <c r="MEZ281" s="885"/>
      <c r="MFA281" s="885"/>
      <c r="MFB281" s="885"/>
      <c r="MFC281" s="885"/>
      <c r="MFD281" s="885"/>
      <c r="MFE281" s="885"/>
      <c r="MFF281" s="885"/>
      <c r="MFG281" s="885"/>
      <c r="MFH281" s="885"/>
      <c r="MFI281" s="885"/>
      <c r="MFJ281" s="885"/>
      <c r="MFK281" s="885"/>
      <c r="MFL281" s="885"/>
      <c r="MFM281" s="885"/>
      <c r="MFN281" s="885"/>
      <c r="MFO281" s="885"/>
      <c r="MFP281" s="885"/>
      <c r="MFQ281" s="885"/>
      <c r="MFR281" s="885"/>
      <c r="MFS281" s="885"/>
      <c r="MFT281" s="885"/>
      <c r="MFU281" s="885"/>
      <c r="MFV281" s="885"/>
      <c r="MFW281" s="885"/>
      <c r="MFX281" s="885"/>
      <c r="MFY281" s="885"/>
      <c r="MFZ281" s="885"/>
      <c r="MGA281" s="885"/>
      <c r="MGB281" s="885"/>
      <c r="MGC281" s="885"/>
      <c r="MGD281" s="885"/>
      <c r="MGE281" s="885"/>
      <c r="MGF281" s="885"/>
      <c r="MGG281" s="885"/>
      <c r="MGH281" s="885"/>
      <c r="MGI281" s="885"/>
      <c r="MGJ281" s="885"/>
      <c r="MGK281" s="885"/>
      <c r="MGL281" s="885"/>
      <c r="MGM281" s="885"/>
      <c r="MGN281" s="885"/>
      <c r="MGO281" s="885"/>
      <c r="MGP281" s="885"/>
      <c r="MGQ281" s="885"/>
      <c r="MGR281" s="885"/>
      <c r="MGS281" s="885"/>
      <c r="MGT281" s="885"/>
      <c r="MGU281" s="885"/>
      <c r="MGV281" s="885"/>
      <c r="MGW281" s="885"/>
      <c r="MGX281" s="885"/>
      <c r="MGY281" s="885"/>
      <c r="MGZ281" s="885"/>
      <c r="MHA281" s="885"/>
      <c r="MHB281" s="885"/>
      <c r="MHC281" s="885"/>
      <c r="MHD281" s="885"/>
      <c r="MHE281" s="885"/>
      <c r="MHF281" s="885"/>
      <c r="MHG281" s="885"/>
      <c r="MHH281" s="885"/>
      <c r="MHI281" s="885"/>
      <c r="MHJ281" s="885"/>
      <c r="MHK281" s="885"/>
      <c r="MHL281" s="885"/>
      <c r="MHM281" s="885"/>
      <c r="MHN281" s="885"/>
      <c r="MHO281" s="885"/>
      <c r="MHP281" s="885"/>
      <c r="MHQ281" s="885"/>
      <c r="MHR281" s="885"/>
      <c r="MHS281" s="885"/>
      <c r="MHT281" s="885"/>
      <c r="MHU281" s="885"/>
      <c r="MHV281" s="885"/>
      <c r="MHW281" s="885"/>
      <c r="MHX281" s="885"/>
      <c r="MHY281" s="885"/>
      <c r="MHZ281" s="885"/>
      <c r="MIA281" s="885"/>
      <c r="MIB281" s="885"/>
      <c r="MIC281" s="885"/>
      <c r="MID281" s="885"/>
      <c r="MIE281" s="885"/>
      <c r="MIF281" s="885"/>
      <c r="MIG281" s="885"/>
      <c r="MIH281" s="885"/>
      <c r="MII281" s="885"/>
      <c r="MIJ281" s="885"/>
      <c r="MIK281" s="885"/>
      <c r="MIL281" s="885"/>
      <c r="MIM281" s="885"/>
      <c r="MIN281" s="885"/>
      <c r="MIO281" s="885"/>
      <c r="MIP281" s="885"/>
      <c r="MIQ281" s="885"/>
      <c r="MIR281" s="885"/>
      <c r="MIS281" s="885"/>
      <c r="MIT281" s="885"/>
      <c r="MIU281" s="885"/>
      <c r="MIV281" s="885"/>
      <c r="MIW281" s="885"/>
      <c r="MIX281" s="885"/>
      <c r="MIY281" s="885"/>
      <c r="MIZ281" s="885"/>
      <c r="MJA281" s="885"/>
      <c r="MJB281" s="885"/>
      <c r="MJC281" s="885"/>
      <c r="MJD281" s="885"/>
      <c r="MJE281" s="885"/>
      <c r="MJF281" s="885"/>
      <c r="MJG281" s="885"/>
      <c r="MJH281" s="885"/>
      <c r="MJI281" s="885"/>
      <c r="MJJ281" s="885"/>
      <c r="MJK281" s="885"/>
      <c r="MJL281" s="885"/>
      <c r="MJM281" s="885"/>
      <c r="MJN281" s="885"/>
      <c r="MJO281" s="885"/>
      <c r="MJP281" s="885"/>
      <c r="MJQ281" s="885"/>
      <c r="MJR281" s="885"/>
      <c r="MJS281" s="885"/>
      <c r="MJT281" s="885"/>
      <c r="MJU281" s="885"/>
      <c r="MJV281" s="885"/>
      <c r="MJW281" s="885"/>
      <c r="MJX281" s="885"/>
      <c r="MJY281" s="885"/>
      <c r="MJZ281" s="885"/>
      <c r="MKA281" s="885"/>
      <c r="MKB281" s="885"/>
      <c r="MKC281" s="885"/>
      <c r="MKD281" s="885"/>
      <c r="MKE281" s="885"/>
      <c r="MKF281" s="885"/>
      <c r="MKG281" s="885"/>
      <c r="MKH281" s="885"/>
      <c r="MKI281" s="885"/>
      <c r="MKJ281" s="885"/>
      <c r="MKK281" s="885"/>
      <c r="MKL281" s="885"/>
      <c r="MKM281" s="885"/>
      <c r="MKN281" s="885"/>
      <c r="MKO281" s="885"/>
      <c r="MKP281" s="885"/>
      <c r="MKQ281" s="885"/>
      <c r="MKR281" s="885"/>
      <c r="MKS281" s="885"/>
      <c r="MKT281" s="885"/>
      <c r="MKU281" s="885"/>
      <c r="MKV281" s="885"/>
      <c r="MKW281" s="885"/>
      <c r="MKX281" s="885"/>
      <c r="MKY281" s="885"/>
      <c r="MKZ281" s="885"/>
      <c r="MLA281" s="885"/>
      <c r="MLB281" s="885"/>
      <c r="MLC281" s="885"/>
      <c r="MLD281" s="885"/>
      <c r="MLE281" s="885"/>
      <c r="MLF281" s="885"/>
      <c r="MLG281" s="885"/>
      <c r="MLH281" s="885"/>
      <c r="MLI281" s="885"/>
      <c r="MLJ281" s="885"/>
      <c r="MLK281" s="885"/>
      <c r="MLL281" s="885"/>
      <c r="MLM281" s="885"/>
      <c r="MLN281" s="885"/>
      <c r="MLO281" s="885"/>
      <c r="MLP281" s="885"/>
      <c r="MLQ281" s="885"/>
      <c r="MLR281" s="885"/>
      <c r="MLS281" s="885"/>
      <c r="MLT281" s="885"/>
      <c r="MLU281" s="885"/>
      <c r="MLV281" s="885"/>
      <c r="MLW281" s="885"/>
      <c r="MLX281" s="885"/>
      <c r="MLY281" s="885"/>
      <c r="MLZ281" s="885"/>
      <c r="MMA281" s="885"/>
      <c r="MMB281" s="885"/>
      <c r="MMC281" s="885"/>
      <c r="MMD281" s="885"/>
      <c r="MME281" s="885"/>
      <c r="MMF281" s="885"/>
      <c r="MMG281" s="885"/>
      <c r="MMH281" s="885"/>
      <c r="MMI281" s="885"/>
      <c r="MMJ281" s="885"/>
      <c r="MMK281" s="885"/>
      <c r="MML281" s="885"/>
      <c r="MMM281" s="885"/>
      <c r="MMN281" s="885"/>
      <c r="MMO281" s="885"/>
      <c r="MMP281" s="885"/>
      <c r="MMQ281" s="885"/>
      <c r="MMR281" s="885"/>
      <c r="MMS281" s="885"/>
      <c r="MMT281" s="885"/>
      <c r="MMU281" s="885"/>
      <c r="MMV281" s="885"/>
      <c r="MMW281" s="885"/>
      <c r="MMX281" s="885"/>
      <c r="MMY281" s="885"/>
      <c r="MMZ281" s="885"/>
      <c r="MNA281" s="885"/>
      <c r="MNB281" s="885"/>
      <c r="MNC281" s="885"/>
      <c r="MND281" s="885"/>
      <c r="MNE281" s="885"/>
      <c r="MNF281" s="885"/>
      <c r="MNG281" s="885"/>
      <c r="MNH281" s="885"/>
      <c r="MNI281" s="885"/>
      <c r="MNJ281" s="885"/>
      <c r="MNK281" s="885"/>
      <c r="MNL281" s="885"/>
      <c r="MNM281" s="885"/>
      <c r="MNN281" s="885"/>
      <c r="MNO281" s="885"/>
      <c r="MNP281" s="885"/>
      <c r="MNQ281" s="885"/>
      <c r="MNR281" s="885"/>
      <c r="MNS281" s="885"/>
      <c r="MNT281" s="885"/>
      <c r="MNU281" s="885"/>
      <c r="MNV281" s="885"/>
      <c r="MNW281" s="885"/>
      <c r="MNX281" s="885"/>
      <c r="MNY281" s="885"/>
      <c r="MNZ281" s="885"/>
      <c r="MOA281" s="885"/>
      <c r="MOB281" s="885"/>
      <c r="MOC281" s="885"/>
      <c r="MOD281" s="885"/>
      <c r="MOE281" s="885"/>
      <c r="MOF281" s="885"/>
      <c r="MOG281" s="885"/>
      <c r="MOH281" s="885"/>
      <c r="MOI281" s="885"/>
      <c r="MOJ281" s="885"/>
      <c r="MOK281" s="885"/>
      <c r="MOL281" s="885"/>
      <c r="MOM281" s="885"/>
      <c r="MON281" s="885"/>
      <c r="MOO281" s="885"/>
      <c r="MOP281" s="885"/>
      <c r="MOQ281" s="885"/>
      <c r="MOR281" s="885"/>
      <c r="MOS281" s="885"/>
      <c r="MOT281" s="885"/>
      <c r="MOU281" s="885"/>
      <c r="MOV281" s="885"/>
      <c r="MOW281" s="885"/>
      <c r="MOX281" s="885"/>
      <c r="MOY281" s="885"/>
      <c r="MOZ281" s="885"/>
      <c r="MPA281" s="885"/>
      <c r="MPB281" s="885"/>
      <c r="MPC281" s="885"/>
      <c r="MPD281" s="885"/>
      <c r="MPE281" s="885"/>
      <c r="MPF281" s="885"/>
      <c r="MPG281" s="885"/>
      <c r="MPH281" s="885"/>
      <c r="MPI281" s="885"/>
      <c r="MPJ281" s="885"/>
      <c r="MPK281" s="885"/>
      <c r="MPL281" s="885"/>
      <c r="MPM281" s="885"/>
      <c r="MPN281" s="885"/>
      <c r="MPO281" s="885"/>
      <c r="MPP281" s="885"/>
      <c r="MPQ281" s="885"/>
      <c r="MPR281" s="885"/>
      <c r="MPS281" s="885"/>
      <c r="MPT281" s="885"/>
      <c r="MPU281" s="885"/>
      <c r="MPV281" s="885"/>
      <c r="MPW281" s="885"/>
      <c r="MPX281" s="885"/>
      <c r="MPY281" s="885"/>
      <c r="MPZ281" s="885"/>
      <c r="MQA281" s="885"/>
      <c r="MQB281" s="885"/>
      <c r="MQC281" s="885"/>
      <c r="MQD281" s="885"/>
      <c r="MQE281" s="885"/>
      <c r="MQF281" s="885"/>
      <c r="MQG281" s="885"/>
      <c r="MQH281" s="885"/>
      <c r="MQI281" s="885"/>
      <c r="MQJ281" s="885"/>
      <c r="MQK281" s="885"/>
      <c r="MQL281" s="885"/>
      <c r="MQM281" s="885"/>
      <c r="MQN281" s="885"/>
      <c r="MQO281" s="885"/>
      <c r="MQP281" s="885"/>
      <c r="MQQ281" s="885"/>
      <c r="MQR281" s="885"/>
      <c r="MQS281" s="885"/>
      <c r="MQT281" s="885"/>
      <c r="MQU281" s="885"/>
      <c r="MQV281" s="885"/>
      <c r="MQW281" s="885"/>
      <c r="MQX281" s="885"/>
      <c r="MQY281" s="885"/>
      <c r="MQZ281" s="885"/>
      <c r="MRA281" s="885"/>
      <c r="MRB281" s="885"/>
      <c r="MRC281" s="885"/>
      <c r="MRD281" s="885"/>
      <c r="MRE281" s="885"/>
      <c r="MRF281" s="885"/>
      <c r="MRG281" s="885"/>
      <c r="MRH281" s="885"/>
      <c r="MRI281" s="885"/>
      <c r="MRJ281" s="885"/>
      <c r="MRK281" s="885"/>
      <c r="MRL281" s="885"/>
      <c r="MRM281" s="885"/>
      <c r="MRN281" s="885"/>
      <c r="MRO281" s="885"/>
      <c r="MRP281" s="885"/>
      <c r="MRQ281" s="885"/>
      <c r="MRR281" s="885"/>
      <c r="MRS281" s="885"/>
      <c r="MRT281" s="885"/>
      <c r="MRU281" s="885"/>
      <c r="MRV281" s="885"/>
      <c r="MRW281" s="885"/>
      <c r="MRX281" s="885"/>
      <c r="MRY281" s="885"/>
      <c r="MRZ281" s="885"/>
      <c r="MSA281" s="885"/>
      <c r="MSB281" s="885"/>
      <c r="MSC281" s="885"/>
      <c r="MSD281" s="885"/>
      <c r="MSE281" s="885"/>
      <c r="MSF281" s="885"/>
      <c r="MSG281" s="885"/>
      <c r="MSH281" s="885"/>
      <c r="MSI281" s="885"/>
      <c r="MSJ281" s="885"/>
      <c r="MSK281" s="885"/>
      <c r="MSL281" s="885"/>
      <c r="MSM281" s="885"/>
      <c r="MSN281" s="885"/>
      <c r="MSO281" s="885"/>
      <c r="MSP281" s="885"/>
      <c r="MSQ281" s="885"/>
      <c r="MSR281" s="885"/>
      <c r="MSS281" s="885"/>
      <c r="MST281" s="885"/>
      <c r="MSU281" s="885"/>
      <c r="MSV281" s="885"/>
      <c r="MSW281" s="885"/>
      <c r="MSX281" s="885"/>
      <c r="MSY281" s="885"/>
      <c r="MSZ281" s="885"/>
      <c r="MTA281" s="885"/>
      <c r="MTB281" s="885"/>
      <c r="MTC281" s="885"/>
      <c r="MTD281" s="885"/>
      <c r="MTE281" s="885"/>
      <c r="MTF281" s="885"/>
      <c r="MTG281" s="885"/>
      <c r="MTH281" s="885"/>
      <c r="MTI281" s="885"/>
      <c r="MTJ281" s="885"/>
      <c r="MTK281" s="885"/>
      <c r="MTL281" s="885"/>
      <c r="MTM281" s="885"/>
      <c r="MTN281" s="885"/>
      <c r="MTO281" s="885"/>
      <c r="MTP281" s="885"/>
      <c r="MTQ281" s="885"/>
      <c r="MTR281" s="885"/>
      <c r="MTS281" s="885"/>
      <c r="MTT281" s="885"/>
      <c r="MTU281" s="885"/>
      <c r="MTV281" s="885"/>
      <c r="MTW281" s="885"/>
      <c r="MTX281" s="885"/>
      <c r="MTY281" s="885"/>
      <c r="MTZ281" s="885"/>
      <c r="MUA281" s="885"/>
      <c r="MUB281" s="885"/>
      <c r="MUC281" s="885"/>
      <c r="MUD281" s="885"/>
      <c r="MUE281" s="885"/>
      <c r="MUF281" s="885"/>
      <c r="MUG281" s="885"/>
      <c r="MUH281" s="885"/>
      <c r="MUI281" s="885"/>
      <c r="MUJ281" s="885"/>
      <c r="MUK281" s="885"/>
      <c r="MUL281" s="885"/>
      <c r="MUM281" s="885"/>
      <c r="MUN281" s="885"/>
      <c r="MUO281" s="885"/>
      <c r="MUP281" s="885"/>
      <c r="MUQ281" s="885"/>
      <c r="MUR281" s="885"/>
      <c r="MUS281" s="885"/>
      <c r="MUT281" s="885"/>
      <c r="MUU281" s="885"/>
      <c r="MUV281" s="885"/>
      <c r="MUW281" s="885"/>
      <c r="MUX281" s="885"/>
      <c r="MUY281" s="885"/>
      <c r="MUZ281" s="885"/>
      <c r="MVA281" s="885"/>
      <c r="MVB281" s="885"/>
      <c r="MVC281" s="885"/>
      <c r="MVD281" s="885"/>
      <c r="MVE281" s="885"/>
      <c r="MVF281" s="885"/>
      <c r="MVG281" s="885"/>
      <c r="MVH281" s="885"/>
      <c r="MVI281" s="885"/>
      <c r="MVJ281" s="885"/>
      <c r="MVK281" s="885"/>
      <c r="MVL281" s="885"/>
      <c r="MVM281" s="885"/>
      <c r="MVN281" s="885"/>
      <c r="MVO281" s="885"/>
      <c r="MVP281" s="885"/>
      <c r="MVQ281" s="885"/>
      <c r="MVR281" s="885"/>
      <c r="MVS281" s="885"/>
      <c r="MVT281" s="885"/>
      <c r="MVU281" s="885"/>
      <c r="MVV281" s="885"/>
      <c r="MVW281" s="885"/>
      <c r="MVX281" s="885"/>
      <c r="MVY281" s="885"/>
      <c r="MVZ281" s="885"/>
      <c r="MWA281" s="885"/>
      <c r="MWB281" s="885"/>
      <c r="MWC281" s="885"/>
      <c r="MWD281" s="885"/>
      <c r="MWE281" s="885"/>
      <c r="MWF281" s="885"/>
      <c r="MWG281" s="885"/>
      <c r="MWH281" s="885"/>
      <c r="MWI281" s="885"/>
      <c r="MWJ281" s="885"/>
      <c r="MWK281" s="885"/>
      <c r="MWL281" s="885"/>
      <c r="MWM281" s="885"/>
      <c r="MWN281" s="885"/>
      <c r="MWO281" s="885"/>
      <c r="MWP281" s="885"/>
      <c r="MWQ281" s="885"/>
      <c r="MWR281" s="885"/>
      <c r="MWS281" s="885"/>
      <c r="MWT281" s="885"/>
      <c r="MWU281" s="885"/>
      <c r="MWV281" s="885"/>
      <c r="MWW281" s="885"/>
      <c r="MWX281" s="885"/>
      <c r="MWY281" s="885"/>
      <c r="MWZ281" s="885"/>
      <c r="MXA281" s="885"/>
      <c r="MXB281" s="885"/>
      <c r="MXC281" s="885"/>
      <c r="MXD281" s="885"/>
      <c r="MXE281" s="885"/>
      <c r="MXF281" s="885"/>
      <c r="MXG281" s="885"/>
      <c r="MXH281" s="885"/>
      <c r="MXI281" s="885"/>
      <c r="MXJ281" s="885"/>
      <c r="MXK281" s="885"/>
      <c r="MXL281" s="885"/>
      <c r="MXM281" s="885"/>
      <c r="MXN281" s="885"/>
      <c r="MXO281" s="885"/>
      <c r="MXP281" s="885"/>
      <c r="MXQ281" s="885"/>
      <c r="MXR281" s="885"/>
      <c r="MXS281" s="885"/>
      <c r="MXT281" s="885"/>
      <c r="MXU281" s="885"/>
      <c r="MXV281" s="885"/>
      <c r="MXW281" s="885"/>
      <c r="MXX281" s="885"/>
      <c r="MXY281" s="885"/>
      <c r="MXZ281" s="885"/>
      <c r="MYA281" s="885"/>
      <c r="MYB281" s="885"/>
      <c r="MYC281" s="885"/>
      <c r="MYD281" s="885"/>
      <c r="MYE281" s="885"/>
      <c r="MYF281" s="885"/>
      <c r="MYG281" s="885"/>
      <c r="MYH281" s="885"/>
      <c r="MYI281" s="885"/>
      <c r="MYJ281" s="885"/>
      <c r="MYK281" s="885"/>
      <c r="MYL281" s="885"/>
      <c r="MYM281" s="885"/>
      <c r="MYN281" s="885"/>
      <c r="MYO281" s="885"/>
      <c r="MYP281" s="885"/>
      <c r="MYQ281" s="885"/>
      <c r="MYR281" s="885"/>
      <c r="MYS281" s="885"/>
      <c r="MYT281" s="885"/>
      <c r="MYU281" s="885"/>
      <c r="MYV281" s="885"/>
      <c r="MYW281" s="885"/>
      <c r="MYX281" s="885"/>
      <c r="MYY281" s="885"/>
      <c r="MYZ281" s="885"/>
      <c r="MZA281" s="885"/>
      <c r="MZB281" s="885"/>
      <c r="MZC281" s="885"/>
      <c r="MZD281" s="885"/>
      <c r="MZE281" s="885"/>
      <c r="MZF281" s="885"/>
      <c r="MZG281" s="885"/>
      <c r="MZH281" s="885"/>
      <c r="MZI281" s="885"/>
      <c r="MZJ281" s="885"/>
      <c r="MZK281" s="885"/>
      <c r="MZL281" s="885"/>
      <c r="MZM281" s="885"/>
      <c r="MZN281" s="885"/>
      <c r="MZO281" s="885"/>
      <c r="MZP281" s="885"/>
      <c r="MZQ281" s="885"/>
      <c r="MZR281" s="885"/>
      <c r="MZS281" s="885"/>
      <c r="MZT281" s="885"/>
      <c r="MZU281" s="885"/>
      <c r="MZV281" s="885"/>
      <c r="MZW281" s="885"/>
      <c r="MZX281" s="885"/>
      <c r="MZY281" s="885"/>
      <c r="MZZ281" s="885"/>
      <c r="NAA281" s="885"/>
      <c r="NAB281" s="885"/>
      <c r="NAC281" s="885"/>
      <c r="NAD281" s="885"/>
      <c r="NAE281" s="885"/>
      <c r="NAF281" s="885"/>
      <c r="NAG281" s="885"/>
      <c r="NAH281" s="885"/>
      <c r="NAI281" s="885"/>
      <c r="NAJ281" s="885"/>
      <c r="NAK281" s="885"/>
      <c r="NAL281" s="885"/>
      <c r="NAM281" s="885"/>
      <c r="NAN281" s="885"/>
      <c r="NAO281" s="885"/>
      <c r="NAP281" s="885"/>
      <c r="NAQ281" s="885"/>
      <c r="NAR281" s="885"/>
      <c r="NAS281" s="885"/>
      <c r="NAT281" s="885"/>
      <c r="NAU281" s="885"/>
      <c r="NAV281" s="885"/>
      <c r="NAW281" s="885"/>
      <c r="NAX281" s="885"/>
      <c r="NAY281" s="885"/>
      <c r="NAZ281" s="885"/>
      <c r="NBA281" s="885"/>
      <c r="NBB281" s="885"/>
      <c r="NBC281" s="885"/>
      <c r="NBD281" s="885"/>
      <c r="NBE281" s="885"/>
      <c r="NBF281" s="885"/>
      <c r="NBG281" s="885"/>
      <c r="NBH281" s="885"/>
      <c r="NBI281" s="885"/>
      <c r="NBJ281" s="885"/>
      <c r="NBK281" s="885"/>
      <c r="NBL281" s="885"/>
      <c r="NBM281" s="885"/>
      <c r="NBN281" s="885"/>
      <c r="NBO281" s="885"/>
      <c r="NBP281" s="885"/>
      <c r="NBQ281" s="885"/>
      <c r="NBR281" s="885"/>
      <c r="NBS281" s="885"/>
      <c r="NBT281" s="885"/>
      <c r="NBU281" s="885"/>
      <c r="NBV281" s="885"/>
      <c r="NBW281" s="885"/>
      <c r="NBX281" s="885"/>
      <c r="NBY281" s="885"/>
      <c r="NBZ281" s="885"/>
      <c r="NCA281" s="885"/>
      <c r="NCB281" s="885"/>
      <c r="NCC281" s="885"/>
      <c r="NCD281" s="885"/>
      <c r="NCE281" s="885"/>
      <c r="NCF281" s="885"/>
      <c r="NCG281" s="885"/>
      <c r="NCH281" s="885"/>
      <c r="NCI281" s="885"/>
      <c r="NCJ281" s="885"/>
      <c r="NCK281" s="885"/>
      <c r="NCL281" s="885"/>
      <c r="NCM281" s="885"/>
      <c r="NCN281" s="885"/>
      <c r="NCO281" s="885"/>
      <c r="NCP281" s="885"/>
      <c r="NCQ281" s="885"/>
      <c r="NCR281" s="885"/>
      <c r="NCS281" s="885"/>
      <c r="NCT281" s="885"/>
      <c r="NCU281" s="885"/>
      <c r="NCV281" s="885"/>
      <c r="NCW281" s="885"/>
      <c r="NCX281" s="885"/>
      <c r="NCY281" s="885"/>
      <c r="NCZ281" s="885"/>
      <c r="NDA281" s="885"/>
      <c r="NDB281" s="885"/>
      <c r="NDC281" s="885"/>
      <c r="NDD281" s="885"/>
      <c r="NDE281" s="885"/>
      <c r="NDF281" s="885"/>
      <c r="NDG281" s="885"/>
      <c r="NDH281" s="885"/>
      <c r="NDI281" s="885"/>
      <c r="NDJ281" s="885"/>
      <c r="NDK281" s="885"/>
      <c r="NDL281" s="885"/>
      <c r="NDM281" s="885"/>
      <c r="NDN281" s="885"/>
      <c r="NDO281" s="885"/>
      <c r="NDP281" s="885"/>
      <c r="NDQ281" s="885"/>
      <c r="NDR281" s="885"/>
      <c r="NDS281" s="885"/>
      <c r="NDT281" s="885"/>
      <c r="NDU281" s="885"/>
      <c r="NDV281" s="885"/>
      <c r="NDW281" s="885"/>
      <c r="NDX281" s="885"/>
      <c r="NDY281" s="885"/>
      <c r="NDZ281" s="885"/>
      <c r="NEA281" s="885"/>
      <c r="NEB281" s="885"/>
      <c r="NEC281" s="885"/>
      <c r="NED281" s="885"/>
      <c r="NEE281" s="885"/>
      <c r="NEF281" s="885"/>
      <c r="NEG281" s="885"/>
      <c r="NEH281" s="885"/>
      <c r="NEI281" s="885"/>
      <c r="NEJ281" s="885"/>
      <c r="NEK281" s="885"/>
      <c r="NEL281" s="885"/>
      <c r="NEM281" s="885"/>
      <c r="NEN281" s="885"/>
      <c r="NEO281" s="885"/>
      <c r="NEP281" s="885"/>
      <c r="NEQ281" s="885"/>
      <c r="NER281" s="885"/>
      <c r="NES281" s="885"/>
      <c r="NET281" s="885"/>
      <c r="NEU281" s="885"/>
      <c r="NEV281" s="885"/>
      <c r="NEW281" s="885"/>
      <c r="NEX281" s="885"/>
      <c r="NEY281" s="885"/>
      <c r="NEZ281" s="885"/>
      <c r="NFA281" s="885"/>
      <c r="NFB281" s="885"/>
      <c r="NFC281" s="885"/>
      <c r="NFD281" s="885"/>
      <c r="NFE281" s="885"/>
      <c r="NFF281" s="885"/>
      <c r="NFG281" s="885"/>
      <c r="NFH281" s="885"/>
      <c r="NFI281" s="885"/>
      <c r="NFJ281" s="885"/>
      <c r="NFK281" s="885"/>
      <c r="NFL281" s="885"/>
      <c r="NFM281" s="885"/>
      <c r="NFN281" s="885"/>
      <c r="NFO281" s="885"/>
      <c r="NFP281" s="885"/>
      <c r="NFQ281" s="885"/>
      <c r="NFR281" s="885"/>
      <c r="NFS281" s="885"/>
      <c r="NFT281" s="885"/>
      <c r="NFU281" s="885"/>
      <c r="NFV281" s="885"/>
      <c r="NFW281" s="885"/>
      <c r="NFX281" s="885"/>
      <c r="NFY281" s="885"/>
      <c r="NFZ281" s="885"/>
      <c r="NGA281" s="885"/>
      <c r="NGB281" s="885"/>
      <c r="NGC281" s="885"/>
      <c r="NGD281" s="885"/>
      <c r="NGE281" s="885"/>
      <c r="NGF281" s="885"/>
      <c r="NGG281" s="885"/>
      <c r="NGH281" s="885"/>
      <c r="NGI281" s="885"/>
      <c r="NGJ281" s="885"/>
      <c r="NGK281" s="885"/>
      <c r="NGL281" s="885"/>
      <c r="NGM281" s="885"/>
      <c r="NGN281" s="885"/>
      <c r="NGO281" s="885"/>
      <c r="NGP281" s="885"/>
      <c r="NGQ281" s="885"/>
      <c r="NGR281" s="885"/>
      <c r="NGS281" s="885"/>
      <c r="NGT281" s="885"/>
      <c r="NGU281" s="885"/>
      <c r="NGV281" s="885"/>
      <c r="NGW281" s="885"/>
      <c r="NGX281" s="885"/>
      <c r="NGY281" s="885"/>
      <c r="NGZ281" s="885"/>
      <c r="NHA281" s="885"/>
      <c r="NHB281" s="885"/>
      <c r="NHC281" s="885"/>
      <c r="NHD281" s="885"/>
      <c r="NHE281" s="885"/>
      <c r="NHF281" s="885"/>
      <c r="NHG281" s="885"/>
      <c r="NHH281" s="885"/>
      <c r="NHI281" s="885"/>
      <c r="NHJ281" s="885"/>
      <c r="NHK281" s="885"/>
      <c r="NHL281" s="885"/>
      <c r="NHM281" s="885"/>
      <c r="NHN281" s="885"/>
      <c r="NHO281" s="885"/>
      <c r="NHP281" s="885"/>
      <c r="NHQ281" s="885"/>
      <c r="NHR281" s="885"/>
      <c r="NHS281" s="885"/>
      <c r="NHT281" s="885"/>
      <c r="NHU281" s="885"/>
      <c r="NHV281" s="885"/>
      <c r="NHW281" s="885"/>
      <c r="NHX281" s="885"/>
      <c r="NHY281" s="885"/>
      <c r="NHZ281" s="885"/>
      <c r="NIA281" s="885"/>
      <c r="NIB281" s="885"/>
      <c r="NIC281" s="885"/>
      <c r="NID281" s="885"/>
      <c r="NIE281" s="885"/>
      <c r="NIF281" s="885"/>
      <c r="NIG281" s="885"/>
      <c r="NIH281" s="885"/>
      <c r="NII281" s="885"/>
      <c r="NIJ281" s="885"/>
      <c r="NIK281" s="885"/>
      <c r="NIL281" s="885"/>
      <c r="NIM281" s="885"/>
      <c r="NIN281" s="885"/>
      <c r="NIO281" s="885"/>
      <c r="NIP281" s="885"/>
      <c r="NIQ281" s="885"/>
      <c r="NIR281" s="885"/>
      <c r="NIS281" s="885"/>
      <c r="NIT281" s="885"/>
      <c r="NIU281" s="885"/>
      <c r="NIV281" s="885"/>
      <c r="NIW281" s="885"/>
      <c r="NIX281" s="885"/>
      <c r="NIY281" s="885"/>
      <c r="NIZ281" s="885"/>
      <c r="NJA281" s="885"/>
      <c r="NJB281" s="885"/>
      <c r="NJC281" s="885"/>
      <c r="NJD281" s="885"/>
      <c r="NJE281" s="885"/>
      <c r="NJF281" s="885"/>
      <c r="NJG281" s="885"/>
      <c r="NJH281" s="885"/>
      <c r="NJI281" s="885"/>
      <c r="NJJ281" s="885"/>
      <c r="NJK281" s="885"/>
      <c r="NJL281" s="885"/>
      <c r="NJM281" s="885"/>
      <c r="NJN281" s="885"/>
      <c r="NJO281" s="885"/>
      <c r="NJP281" s="885"/>
      <c r="NJQ281" s="885"/>
      <c r="NJR281" s="885"/>
      <c r="NJS281" s="885"/>
      <c r="NJT281" s="885"/>
      <c r="NJU281" s="885"/>
      <c r="NJV281" s="885"/>
      <c r="NJW281" s="885"/>
      <c r="NJX281" s="885"/>
      <c r="NJY281" s="885"/>
      <c r="NJZ281" s="885"/>
      <c r="NKA281" s="885"/>
      <c r="NKB281" s="885"/>
      <c r="NKC281" s="885"/>
      <c r="NKD281" s="885"/>
      <c r="NKE281" s="885"/>
      <c r="NKF281" s="885"/>
      <c r="NKG281" s="885"/>
      <c r="NKH281" s="885"/>
      <c r="NKI281" s="885"/>
      <c r="NKJ281" s="885"/>
      <c r="NKK281" s="885"/>
      <c r="NKL281" s="885"/>
      <c r="NKM281" s="885"/>
      <c r="NKN281" s="885"/>
      <c r="NKO281" s="885"/>
      <c r="NKP281" s="885"/>
      <c r="NKQ281" s="885"/>
      <c r="NKR281" s="885"/>
      <c r="NKS281" s="885"/>
      <c r="NKT281" s="885"/>
      <c r="NKU281" s="885"/>
      <c r="NKV281" s="885"/>
      <c r="NKW281" s="885"/>
      <c r="NKX281" s="885"/>
      <c r="NKY281" s="885"/>
      <c r="NKZ281" s="885"/>
      <c r="NLA281" s="885"/>
      <c r="NLB281" s="885"/>
      <c r="NLC281" s="885"/>
      <c r="NLD281" s="885"/>
      <c r="NLE281" s="885"/>
      <c r="NLF281" s="885"/>
      <c r="NLG281" s="885"/>
      <c r="NLH281" s="885"/>
      <c r="NLI281" s="885"/>
      <c r="NLJ281" s="885"/>
      <c r="NLK281" s="885"/>
      <c r="NLL281" s="885"/>
      <c r="NLM281" s="885"/>
      <c r="NLN281" s="885"/>
      <c r="NLO281" s="885"/>
      <c r="NLP281" s="885"/>
      <c r="NLQ281" s="885"/>
      <c r="NLR281" s="885"/>
      <c r="NLS281" s="885"/>
      <c r="NLT281" s="885"/>
      <c r="NLU281" s="885"/>
      <c r="NLV281" s="885"/>
      <c r="NLW281" s="885"/>
      <c r="NLX281" s="885"/>
      <c r="NLY281" s="885"/>
      <c r="NLZ281" s="885"/>
      <c r="NMA281" s="885"/>
      <c r="NMB281" s="885"/>
      <c r="NMC281" s="885"/>
      <c r="NMD281" s="885"/>
      <c r="NME281" s="885"/>
      <c r="NMF281" s="885"/>
      <c r="NMG281" s="885"/>
      <c r="NMH281" s="885"/>
      <c r="NMI281" s="885"/>
      <c r="NMJ281" s="885"/>
      <c r="NMK281" s="885"/>
      <c r="NML281" s="885"/>
      <c r="NMM281" s="885"/>
      <c r="NMN281" s="885"/>
      <c r="NMO281" s="885"/>
      <c r="NMP281" s="885"/>
      <c r="NMQ281" s="885"/>
      <c r="NMR281" s="885"/>
      <c r="NMS281" s="885"/>
      <c r="NMT281" s="885"/>
      <c r="NMU281" s="885"/>
      <c r="NMV281" s="885"/>
      <c r="NMW281" s="885"/>
      <c r="NMX281" s="885"/>
      <c r="NMY281" s="885"/>
      <c r="NMZ281" s="885"/>
      <c r="NNA281" s="885"/>
      <c r="NNB281" s="885"/>
      <c r="NNC281" s="885"/>
      <c r="NND281" s="885"/>
      <c r="NNE281" s="885"/>
      <c r="NNF281" s="885"/>
      <c r="NNG281" s="885"/>
      <c r="NNH281" s="885"/>
      <c r="NNI281" s="885"/>
      <c r="NNJ281" s="885"/>
      <c r="NNK281" s="885"/>
      <c r="NNL281" s="885"/>
      <c r="NNM281" s="885"/>
      <c r="NNN281" s="885"/>
      <c r="NNO281" s="885"/>
      <c r="NNP281" s="885"/>
      <c r="NNQ281" s="885"/>
      <c r="NNR281" s="885"/>
      <c r="NNS281" s="885"/>
      <c r="NNT281" s="885"/>
      <c r="NNU281" s="885"/>
      <c r="NNV281" s="885"/>
      <c r="NNW281" s="885"/>
      <c r="NNX281" s="885"/>
      <c r="NNY281" s="885"/>
      <c r="NNZ281" s="885"/>
      <c r="NOA281" s="885"/>
      <c r="NOB281" s="885"/>
      <c r="NOC281" s="885"/>
      <c r="NOD281" s="885"/>
      <c r="NOE281" s="885"/>
      <c r="NOF281" s="885"/>
      <c r="NOG281" s="885"/>
      <c r="NOH281" s="885"/>
      <c r="NOI281" s="885"/>
      <c r="NOJ281" s="885"/>
      <c r="NOK281" s="885"/>
      <c r="NOL281" s="885"/>
      <c r="NOM281" s="885"/>
      <c r="NON281" s="885"/>
      <c r="NOO281" s="885"/>
      <c r="NOP281" s="885"/>
      <c r="NOQ281" s="885"/>
      <c r="NOR281" s="885"/>
      <c r="NOS281" s="885"/>
      <c r="NOT281" s="885"/>
      <c r="NOU281" s="885"/>
      <c r="NOV281" s="885"/>
      <c r="NOW281" s="885"/>
      <c r="NOX281" s="885"/>
      <c r="NOY281" s="885"/>
      <c r="NOZ281" s="885"/>
      <c r="NPA281" s="885"/>
      <c r="NPB281" s="885"/>
      <c r="NPC281" s="885"/>
      <c r="NPD281" s="885"/>
      <c r="NPE281" s="885"/>
      <c r="NPF281" s="885"/>
      <c r="NPG281" s="885"/>
      <c r="NPH281" s="885"/>
      <c r="NPI281" s="885"/>
      <c r="NPJ281" s="885"/>
      <c r="NPK281" s="885"/>
      <c r="NPL281" s="885"/>
      <c r="NPM281" s="885"/>
      <c r="NPN281" s="885"/>
      <c r="NPO281" s="885"/>
      <c r="NPP281" s="885"/>
      <c r="NPQ281" s="885"/>
      <c r="NPR281" s="885"/>
      <c r="NPS281" s="885"/>
      <c r="NPT281" s="885"/>
      <c r="NPU281" s="885"/>
      <c r="NPV281" s="885"/>
      <c r="NPW281" s="885"/>
      <c r="NPX281" s="885"/>
      <c r="NPY281" s="885"/>
      <c r="NPZ281" s="885"/>
      <c r="NQA281" s="885"/>
      <c r="NQB281" s="885"/>
      <c r="NQC281" s="885"/>
      <c r="NQD281" s="885"/>
      <c r="NQE281" s="885"/>
      <c r="NQF281" s="885"/>
      <c r="NQG281" s="885"/>
      <c r="NQH281" s="885"/>
      <c r="NQI281" s="885"/>
      <c r="NQJ281" s="885"/>
      <c r="NQK281" s="885"/>
      <c r="NQL281" s="885"/>
      <c r="NQM281" s="885"/>
      <c r="NQN281" s="885"/>
      <c r="NQO281" s="885"/>
      <c r="NQP281" s="885"/>
      <c r="NQQ281" s="885"/>
      <c r="NQR281" s="885"/>
      <c r="NQS281" s="885"/>
      <c r="NQT281" s="885"/>
      <c r="NQU281" s="885"/>
      <c r="NQV281" s="885"/>
      <c r="NQW281" s="885"/>
      <c r="NQX281" s="885"/>
      <c r="NQY281" s="885"/>
      <c r="NQZ281" s="885"/>
      <c r="NRA281" s="885"/>
      <c r="NRB281" s="885"/>
      <c r="NRC281" s="885"/>
      <c r="NRD281" s="885"/>
      <c r="NRE281" s="885"/>
      <c r="NRF281" s="885"/>
      <c r="NRG281" s="885"/>
      <c r="NRH281" s="885"/>
      <c r="NRI281" s="885"/>
      <c r="NRJ281" s="885"/>
      <c r="NRK281" s="885"/>
      <c r="NRL281" s="885"/>
      <c r="NRM281" s="885"/>
      <c r="NRN281" s="885"/>
      <c r="NRO281" s="885"/>
      <c r="NRP281" s="885"/>
      <c r="NRQ281" s="885"/>
      <c r="NRR281" s="885"/>
      <c r="NRS281" s="885"/>
      <c r="NRT281" s="885"/>
      <c r="NRU281" s="885"/>
      <c r="NRV281" s="885"/>
      <c r="NRW281" s="885"/>
      <c r="NRX281" s="885"/>
      <c r="NRY281" s="885"/>
      <c r="NRZ281" s="885"/>
      <c r="NSA281" s="885"/>
      <c r="NSB281" s="885"/>
      <c r="NSC281" s="885"/>
      <c r="NSD281" s="885"/>
      <c r="NSE281" s="885"/>
      <c r="NSF281" s="885"/>
      <c r="NSG281" s="885"/>
      <c r="NSH281" s="885"/>
      <c r="NSI281" s="885"/>
      <c r="NSJ281" s="885"/>
      <c r="NSK281" s="885"/>
      <c r="NSL281" s="885"/>
      <c r="NSM281" s="885"/>
      <c r="NSN281" s="885"/>
      <c r="NSO281" s="885"/>
      <c r="NSP281" s="885"/>
      <c r="NSQ281" s="885"/>
      <c r="NSR281" s="885"/>
      <c r="NSS281" s="885"/>
      <c r="NST281" s="885"/>
      <c r="NSU281" s="885"/>
      <c r="NSV281" s="885"/>
      <c r="NSW281" s="885"/>
      <c r="NSX281" s="885"/>
      <c r="NSY281" s="885"/>
      <c r="NSZ281" s="885"/>
      <c r="NTA281" s="885"/>
      <c r="NTB281" s="885"/>
      <c r="NTC281" s="885"/>
      <c r="NTD281" s="885"/>
      <c r="NTE281" s="885"/>
      <c r="NTF281" s="885"/>
      <c r="NTG281" s="885"/>
      <c r="NTH281" s="885"/>
      <c r="NTI281" s="885"/>
      <c r="NTJ281" s="885"/>
      <c r="NTK281" s="885"/>
      <c r="NTL281" s="885"/>
      <c r="NTM281" s="885"/>
      <c r="NTN281" s="885"/>
      <c r="NTO281" s="885"/>
      <c r="NTP281" s="885"/>
      <c r="NTQ281" s="885"/>
      <c r="NTR281" s="885"/>
      <c r="NTS281" s="885"/>
      <c r="NTT281" s="885"/>
      <c r="NTU281" s="885"/>
      <c r="NTV281" s="885"/>
      <c r="NTW281" s="885"/>
      <c r="NTX281" s="885"/>
      <c r="NTY281" s="885"/>
      <c r="NTZ281" s="885"/>
      <c r="NUA281" s="885"/>
      <c r="NUB281" s="885"/>
      <c r="NUC281" s="885"/>
      <c r="NUD281" s="885"/>
      <c r="NUE281" s="885"/>
      <c r="NUF281" s="885"/>
      <c r="NUG281" s="885"/>
      <c r="NUH281" s="885"/>
      <c r="NUI281" s="885"/>
      <c r="NUJ281" s="885"/>
      <c r="NUK281" s="885"/>
      <c r="NUL281" s="885"/>
      <c r="NUM281" s="885"/>
      <c r="NUN281" s="885"/>
      <c r="NUO281" s="885"/>
      <c r="NUP281" s="885"/>
      <c r="NUQ281" s="885"/>
      <c r="NUR281" s="885"/>
      <c r="NUS281" s="885"/>
      <c r="NUT281" s="885"/>
      <c r="NUU281" s="885"/>
      <c r="NUV281" s="885"/>
      <c r="NUW281" s="885"/>
      <c r="NUX281" s="885"/>
      <c r="NUY281" s="885"/>
      <c r="NUZ281" s="885"/>
      <c r="NVA281" s="885"/>
      <c r="NVB281" s="885"/>
      <c r="NVC281" s="885"/>
      <c r="NVD281" s="885"/>
      <c r="NVE281" s="885"/>
      <c r="NVF281" s="885"/>
      <c r="NVG281" s="885"/>
      <c r="NVH281" s="885"/>
      <c r="NVI281" s="885"/>
      <c r="NVJ281" s="885"/>
      <c r="NVK281" s="885"/>
      <c r="NVL281" s="885"/>
      <c r="NVM281" s="885"/>
      <c r="NVN281" s="885"/>
      <c r="NVO281" s="885"/>
      <c r="NVP281" s="885"/>
      <c r="NVQ281" s="885"/>
      <c r="NVR281" s="885"/>
      <c r="NVS281" s="885"/>
      <c r="NVT281" s="885"/>
      <c r="NVU281" s="885"/>
      <c r="NVV281" s="885"/>
      <c r="NVW281" s="885"/>
      <c r="NVX281" s="885"/>
      <c r="NVY281" s="885"/>
      <c r="NVZ281" s="885"/>
      <c r="NWA281" s="885"/>
      <c r="NWB281" s="885"/>
      <c r="NWC281" s="885"/>
      <c r="NWD281" s="885"/>
      <c r="NWE281" s="885"/>
      <c r="NWF281" s="885"/>
      <c r="NWG281" s="885"/>
      <c r="NWH281" s="885"/>
      <c r="NWI281" s="885"/>
      <c r="NWJ281" s="885"/>
      <c r="NWK281" s="885"/>
      <c r="NWL281" s="885"/>
      <c r="NWM281" s="885"/>
      <c r="NWN281" s="885"/>
      <c r="NWO281" s="885"/>
      <c r="NWP281" s="885"/>
      <c r="NWQ281" s="885"/>
      <c r="NWR281" s="885"/>
      <c r="NWS281" s="885"/>
      <c r="NWT281" s="885"/>
      <c r="NWU281" s="885"/>
      <c r="NWV281" s="885"/>
      <c r="NWW281" s="885"/>
      <c r="NWX281" s="885"/>
      <c r="NWY281" s="885"/>
      <c r="NWZ281" s="885"/>
      <c r="NXA281" s="885"/>
      <c r="NXB281" s="885"/>
      <c r="NXC281" s="885"/>
      <c r="NXD281" s="885"/>
      <c r="NXE281" s="885"/>
      <c r="NXF281" s="885"/>
      <c r="NXG281" s="885"/>
      <c r="NXH281" s="885"/>
      <c r="NXI281" s="885"/>
      <c r="NXJ281" s="885"/>
      <c r="NXK281" s="885"/>
      <c r="NXL281" s="885"/>
      <c r="NXM281" s="885"/>
      <c r="NXN281" s="885"/>
      <c r="NXO281" s="885"/>
      <c r="NXP281" s="885"/>
      <c r="NXQ281" s="885"/>
      <c r="NXR281" s="885"/>
      <c r="NXS281" s="885"/>
      <c r="NXT281" s="885"/>
      <c r="NXU281" s="885"/>
      <c r="NXV281" s="885"/>
      <c r="NXW281" s="885"/>
      <c r="NXX281" s="885"/>
      <c r="NXY281" s="885"/>
      <c r="NXZ281" s="885"/>
      <c r="NYA281" s="885"/>
      <c r="NYB281" s="885"/>
      <c r="NYC281" s="885"/>
      <c r="NYD281" s="885"/>
      <c r="NYE281" s="885"/>
      <c r="NYF281" s="885"/>
      <c r="NYG281" s="885"/>
      <c r="NYH281" s="885"/>
      <c r="NYI281" s="885"/>
      <c r="NYJ281" s="885"/>
      <c r="NYK281" s="885"/>
      <c r="NYL281" s="885"/>
      <c r="NYM281" s="885"/>
      <c r="NYN281" s="885"/>
      <c r="NYO281" s="885"/>
      <c r="NYP281" s="885"/>
      <c r="NYQ281" s="885"/>
      <c r="NYR281" s="885"/>
      <c r="NYS281" s="885"/>
      <c r="NYT281" s="885"/>
      <c r="NYU281" s="885"/>
      <c r="NYV281" s="885"/>
      <c r="NYW281" s="885"/>
      <c r="NYX281" s="885"/>
      <c r="NYY281" s="885"/>
      <c r="NYZ281" s="885"/>
      <c r="NZA281" s="885"/>
      <c r="NZB281" s="885"/>
      <c r="NZC281" s="885"/>
      <c r="NZD281" s="885"/>
      <c r="NZE281" s="885"/>
      <c r="NZF281" s="885"/>
      <c r="NZG281" s="885"/>
      <c r="NZH281" s="885"/>
      <c r="NZI281" s="885"/>
      <c r="NZJ281" s="885"/>
      <c r="NZK281" s="885"/>
      <c r="NZL281" s="885"/>
      <c r="NZM281" s="885"/>
      <c r="NZN281" s="885"/>
      <c r="NZO281" s="885"/>
      <c r="NZP281" s="885"/>
      <c r="NZQ281" s="885"/>
      <c r="NZR281" s="885"/>
      <c r="NZS281" s="885"/>
      <c r="NZT281" s="885"/>
      <c r="NZU281" s="885"/>
      <c r="NZV281" s="885"/>
      <c r="NZW281" s="885"/>
      <c r="NZX281" s="885"/>
      <c r="NZY281" s="885"/>
      <c r="NZZ281" s="885"/>
      <c r="OAA281" s="885"/>
      <c r="OAB281" s="885"/>
      <c r="OAC281" s="885"/>
      <c r="OAD281" s="885"/>
      <c r="OAE281" s="885"/>
      <c r="OAF281" s="885"/>
      <c r="OAG281" s="885"/>
      <c r="OAH281" s="885"/>
      <c r="OAI281" s="885"/>
      <c r="OAJ281" s="885"/>
      <c r="OAK281" s="885"/>
      <c r="OAL281" s="885"/>
      <c r="OAM281" s="885"/>
      <c r="OAN281" s="885"/>
      <c r="OAO281" s="885"/>
      <c r="OAP281" s="885"/>
      <c r="OAQ281" s="885"/>
      <c r="OAR281" s="885"/>
      <c r="OAS281" s="885"/>
      <c r="OAT281" s="885"/>
      <c r="OAU281" s="885"/>
      <c r="OAV281" s="885"/>
      <c r="OAW281" s="885"/>
      <c r="OAX281" s="885"/>
      <c r="OAY281" s="885"/>
      <c r="OAZ281" s="885"/>
      <c r="OBA281" s="885"/>
      <c r="OBB281" s="885"/>
      <c r="OBC281" s="885"/>
      <c r="OBD281" s="885"/>
      <c r="OBE281" s="885"/>
      <c r="OBF281" s="885"/>
      <c r="OBG281" s="885"/>
      <c r="OBH281" s="885"/>
      <c r="OBI281" s="885"/>
      <c r="OBJ281" s="885"/>
      <c r="OBK281" s="885"/>
      <c r="OBL281" s="885"/>
      <c r="OBM281" s="885"/>
      <c r="OBN281" s="885"/>
      <c r="OBO281" s="885"/>
      <c r="OBP281" s="885"/>
      <c r="OBQ281" s="885"/>
      <c r="OBR281" s="885"/>
      <c r="OBS281" s="885"/>
      <c r="OBT281" s="885"/>
      <c r="OBU281" s="885"/>
      <c r="OBV281" s="885"/>
      <c r="OBW281" s="885"/>
      <c r="OBX281" s="885"/>
      <c r="OBY281" s="885"/>
      <c r="OBZ281" s="885"/>
      <c r="OCA281" s="885"/>
      <c r="OCB281" s="885"/>
      <c r="OCC281" s="885"/>
      <c r="OCD281" s="885"/>
      <c r="OCE281" s="885"/>
      <c r="OCF281" s="885"/>
      <c r="OCG281" s="885"/>
      <c r="OCH281" s="885"/>
      <c r="OCI281" s="885"/>
      <c r="OCJ281" s="885"/>
      <c r="OCK281" s="885"/>
      <c r="OCL281" s="885"/>
      <c r="OCM281" s="885"/>
      <c r="OCN281" s="885"/>
      <c r="OCO281" s="885"/>
      <c r="OCP281" s="885"/>
      <c r="OCQ281" s="885"/>
      <c r="OCR281" s="885"/>
      <c r="OCS281" s="885"/>
      <c r="OCT281" s="885"/>
      <c r="OCU281" s="885"/>
      <c r="OCV281" s="885"/>
      <c r="OCW281" s="885"/>
      <c r="OCX281" s="885"/>
      <c r="OCY281" s="885"/>
      <c r="OCZ281" s="885"/>
      <c r="ODA281" s="885"/>
      <c r="ODB281" s="885"/>
      <c r="ODC281" s="885"/>
      <c r="ODD281" s="885"/>
      <c r="ODE281" s="885"/>
      <c r="ODF281" s="885"/>
      <c r="ODG281" s="885"/>
      <c r="ODH281" s="885"/>
      <c r="ODI281" s="885"/>
      <c r="ODJ281" s="885"/>
      <c r="ODK281" s="885"/>
      <c r="ODL281" s="885"/>
      <c r="ODM281" s="885"/>
      <c r="ODN281" s="885"/>
      <c r="ODO281" s="885"/>
      <c r="ODP281" s="885"/>
      <c r="ODQ281" s="885"/>
      <c r="ODR281" s="885"/>
      <c r="ODS281" s="885"/>
      <c r="ODT281" s="885"/>
      <c r="ODU281" s="885"/>
      <c r="ODV281" s="885"/>
      <c r="ODW281" s="885"/>
      <c r="ODX281" s="885"/>
      <c r="ODY281" s="885"/>
      <c r="ODZ281" s="885"/>
      <c r="OEA281" s="885"/>
      <c r="OEB281" s="885"/>
      <c r="OEC281" s="885"/>
      <c r="OED281" s="885"/>
      <c r="OEE281" s="885"/>
      <c r="OEF281" s="885"/>
      <c r="OEG281" s="885"/>
      <c r="OEH281" s="885"/>
      <c r="OEI281" s="885"/>
      <c r="OEJ281" s="885"/>
      <c r="OEK281" s="885"/>
      <c r="OEL281" s="885"/>
      <c r="OEM281" s="885"/>
      <c r="OEN281" s="885"/>
      <c r="OEO281" s="885"/>
      <c r="OEP281" s="885"/>
      <c r="OEQ281" s="885"/>
      <c r="OER281" s="885"/>
      <c r="OES281" s="885"/>
      <c r="OET281" s="885"/>
      <c r="OEU281" s="885"/>
      <c r="OEV281" s="885"/>
      <c r="OEW281" s="885"/>
      <c r="OEX281" s="885"/>
      <c r="OEY281" s="885"/>
      <c r="OEZ281" s="885"/>
      <c r="OFA281" s="885"/>
      <c r="OFB281" s="885"/>
      <c r="OFC281" s="885"/>
      <c r="OFD281" s="885"/>
      <c r="OFE281" s="885"/>
      <c r="OFF281" s="885"/>
      <c r="OFG281" s="885"/>
      <c r="OFH281" s="885"/>
      <c r="OFI281" s="885"/>
      <c r="OFJ281" s="885"/>
      <c r="OFK281" s="885"/>
      <c r="OFL281" s="885"/>
      <c r="OFM281" s="885"/>
      <c r="OFN281" s="885"/>
      <c r="OFO281" s="885"/>
      <c r="OFP281" s="885"/>
      <c r="OFQ281" s="885"/>
      <c r="OFR281" s="885"/>
      <c r="OFS281" s="885"/>
      <c r="OFT281" s="885"/>
      <c r="OFU281" s="885"/>
      <c r="OFV281" s="885"/>
      <c r="OFW281" s="885"/>
      <c r="OFX281" s="885"/>
      <c r="OFY281" s="885"/>
      <c r="OFZ281" s="885"/>
      <c r="OGA281" s="885"/>
      <c r="OGB281" s="885"/>
      <c r="OGC281" s="885"/>
      <c r="OGD281" s="885"/>
      <c r="OGE281" s="885"/>
      <c r="OGF281" s="885"/>
      <c r="OGG281" s="885"/>
      <c r="OGH281" s="885"/>
      <c r="OGI281" s="885"/>
      <c r="OGJ281" s="885"/>
      <c r="OGK281" s="885"/>
      <c r="OGL281" s="885"/>
      <c r="OGM281" s="885"/>
      <c r="OGN281" s="885"/>
      <c r="OGO281" s="885"/>
      <c r="OGP281" s="885"/>
      <c r="OGQ281" s="885"/>
      <c r="OGR281" s="885"/>
      <c r="OGS281" s="885"/>
      <c r="OGT281" s="885"/>
      <c r="OGU281" s="885"/>
      <c r="OGV281" s="885"/>
      <c r="OGW281" s="885"/>
      <c r="OGX281" s="885"/>
      <c r="OGY281" s="885"/>
      <c r="OGZ281" s="885"/>
      <c r="OHA281" s="885"/>
      <c r="OHB281" s="885"/>
      <c r="OHC281" s="885"/>
      <c r="OHD281" s="885"/>
      <c r="OHE281" s="885"/>
      <c r="OHF281" s="885"/>
      <c r="OHG281" s="885"/>
      <c r="OHH281" s="885"/>
      <c r="OHI281" s="885"/>
      <c r="OHJ281" s="885"/>
      <c r="OHK281" s="885"/>
      <c r="OHL281" s="885"/>
      <c r="OHM281" s="885"/>
      <c r="OHN281" s="885"/>
      <c r="OHO281" s="885"/>
      <c r="OHP281" s="885"/>
      <c r="OHQ281" s="885"/>
      <c r="OHR281" s="885"/>
      <c r="OHS281" s="885"/>
      <c r="OHT281" s="885"/>
      <c r="OHU281" s="885"/>
      <c r="OHV281" s="885"/>
      <c r="OHW281" s="885"/>
      <c r="OHX281" s="885"/>
      <c r="OHY281" s="885"/>
      <c r="OHZ281" s="885"/>
      <c r="OIA281" s="885"/>
      <c r="OIB281" s="885"/>
      <c r="OIC281" s="885"/>
      <c r="OID281" s="885"/>
      <c r="OIE281" s="885"/>
      <c r="OIF281" s="885"/>
      <c r="OIG281" s="885"/>
      <c r="OIH281" s="885"/>
      <c r="OII281" s="885"/>
      <c r="OIJ281" s="885"/>
      <c r="OIK281" s="885"/>
      <c r="OIL281" s="885"/>
      <c r="OIM281" s="885"/>
      <c r="OIN281" s="885"/>
      <c r="OIO281" s="885"/>
      <c r="OIP281" s="885"/>
      <c r="OIQ281" s="885"/>
      <c r="OIR281" s="885"/>
      <c r="OIS281" s="885"/>
      <c r="OIT281" s="885"/>
      <c r="OIU281" s="885"/>
      <c r="OIV281" s="885"/>
      <c r="OIW281" s="885"/>
      <c r="OIX281" s="885"/>
      <c r="OIY281" s="885"/>
      <c r="OIZ281" s="885"/>
      <c r="OJA281" s="885"/>
      <c r="OJB281" s="885"/>
      <c r="OJC281" s="885"/>
      <c r="OJD281" s="885"/>
      <c r="OJE281" s="885"/>
      <c r="OJF281" s="885"/>
      <c r="OJG281" s="885"/>
      <c r="OJH281" s="885"/>
      <c r="OJI281" s="885"/>
      <c r="OJJ281" s="885"/>
      <c r="OJK281" s="885"/>
      <c r="OJL281" s="885"/>
      <c r="OJM281" s="885"/>
      <c r="OJN281" s="885"/>
      <c r="OJO281" s="885"/>
      <c r="OJP281" s="885"/>
      <c r="OJQ281" s="885"/>
      <c r="OJR281" s="885"/>
      <c r="OJS281" s="885"/>
      <c r="OJT281" s="885"/>
      <c r="OJU281" s="885"/>
      <c r="OJV281" s="885"/>
      <c r="OJW281" s="885"/>
      <c r="OJX281" s="885"/>
      <c r="OJY281" s="885"/>
      <c r="OJZ281" s="885"/>
      <c r="OKA281" s="885"/>
      <c r="OKB281" s="885"/>
      <c r="OKC281" s="885"/>
      <c r="OKD281" s="885"/>
      <c r="OKE281" s="885"/>
      <c r="OKF281" s="885"/>
      <c r="OKG281" s="885"/>
      <c r="OKH281" s="885"/>
      <c r="OKI281" s="885"/>
      <c r="OKJ281" s="885"/>
      <c r="OKK281" s="885"/>
      <c r="OKL281" s="885"/>
      <c r="OKM281" s="885"/>
      <c r="OKN281" s="885"/>
      <c r="OKO281" s="885"/>
      <c r="OKP281" s="885"/>
      <c r="OKQ281" s="885"/>
      <c r="OKR281" s="885"/>
      <c r="OKS281" s="885"/>
      <c r="OKT281" s="885"/>
      <c r="OKU281" s="885"/>
      <c r="OKV281" s="885"/>
      <c r="OKW281" s="885"/>
      <c r="OKX281" s="885"/>
      <c r="OKY281" s="885"/>
      <c r="OKZ281" s="885"/>
      <c r="OLA281" s="885"/>
      <c r="OLB281" s="885"/>
      <c r="OLC281" s="885"/>
      <c r="OLD281" s="885"/>
      <c r="OLE281" s="885"/>
      <c r="OLF281" s="885"/>
      <c r="OLG281" s="885"/>
      <c r="OLH281" s="885"/>
      <c r="OLI281" s="885"/>
      <c r="OLJ281" s="885"/>
      <c r="OLK281" s="885"/>
      <c r="OLL281" s="885"/>
      <c r="OLM281" s="885"/>
      <c r="OLN281" s="885"/>
      <c r="OLO281" s="885"/>
      <c r="OLP281" s="885"/>
      <c r="OLQ281" s="885"/>
      <c r="OLR281" s="885"/>
      <c r="OLS281" s="885"/>
      <c r="OLT281" s="885"/>
      <c r="OLU281" s="885"/>
      <c r="OLV281" s="885"/>
      <c r="OLW281" s="885"/>
      <c r="OLX281" s="885"/>
      <c r="OLY281" s="885"/>
      <c r="OLZ281" s="885"/>
      <c r="OMA281" s="885"/>
      <c r="OMB281" s="885"/>
      <c r="OMC281" s="885"/>
      <c r="OMD281" s="885"/>
      <c r="OME281" s="885"/>
      <c r="OMF281" s="885"/>
      <c r="OMG281" s="885"/>
      <c r="OMH281" s="885"/>
      <c r="OMI281" s="885"/>
      <c r="OMJ281" s="885"/>
      <c r="OMK281" s="885"/>
      <c r="OML281" s="885"/>
      <c r="OMM281" s="885"/>
      <c r="OMN281" s="885"/>
      <c r="OMO281" s="885"/>
      <c r="OMP281" s="885"/>
      <c r="OMQ281" s="885"/>
      <c r="OMR281" s="885"/>
      <c r="OMS281" s="885"/>
      <c r="OMT281" s="885"/>
      <c r="OMU281" s="885"/>
      <c r="OMV281" s="885"/>
      <c r="OMW281" s="885"/>
      <c r="OMX281" s="885"/>
      <c r="OMY281" s="885"/>
      <c r="OMZ281" s="885"/>
      <c r="ONA281" s="885"/>
      <c r="ONB281" s="885"/>
      <c r="ONC281" s="885"/>
      <c r="OND281" s="885"/>
      <c r="ONE281" s="885"/>
      <c r="ONF281" s="885"/>
      <c r="ONG281" s="885"/>
      <c r="ONH281" s="885"/>
      <c r="ONI281" s="885"/>
      <c r="ONJ281" s="885"/>
      <c r="ONK281" s="885"/>
      <c r="ONL281" s="885"/>
      <c r="ONM281" s="885"/>
      <c r="ONN281" s="885"/>
      <c r="ONO281" s="885"/>
      <c r="ONP281" s="885"/>
      <c r="ONQ281" s="885"/>
      <c r="ONR281" s="885"/>
      <c r="ONS281" s="885"/>
      <c r="ONT281" s="885"/>
      <c r="ONU281" s="885"/>
      <c r="ONV281" s="885"/>
      <c r="ONW281" s="885"/>
      <c r="ONX281" s="885"/>
      <c r="ONY281" s="885"/>
      <c r="ONZ281" s="885"/>
      <c r="OOA281" s="885"/>
      <c r="OOB281" s="885"/>
      <c r="OOC281" s="885"/>
      <c r="OOD281" s="885"/>
      <c r="OOE281" s="885"/>
      <c r="OOF281" s="885"/>
      <c r="OOG281" s="885"/>
      <c r="OOH281" s="885"/>
      <c r="OOI281" s="885"/>
      <c r="OOJ281" s="885"/>
      <c r="OOK281" s="885"/>
      <c r="OOL281" s="885"/>
      <c r="OOM281" s="885"/>
      <c r="OON281" s="885"/>
      <c r="OOO281" s="885"/>
      <c r="OOP281" s="885"/>
      <c r="OOQ281" s="885"/>
      <c r="OOR281" s="885"/>
      <c r="OOS281" s="885"/>
      <c r="OOT281" s="885"/>
      <c r="OOU281" s="885"/>
      <c r="OOV281" s="885"/>
      <c r="OOW281" s="885"/>
      <c r="OOX281" s="885"/>
      <c r="OOY281" s="885"/>
      <c r="OOZ281" s="885"/>
      <c r="OPA281" s="885"/>
      <c r="OPB281" s="885"/>
      <c r="OPC281" s="885"/>
      <c r="OPD281" s="885"/>
      <c r="OPE281" s="885"/>
      <c r="OPF281" s="885"/>
      <c r="OPG281" s="885"/>
      <c r="OPH281" s="885"/>
      <c r="OPI281" s="885"/>
      <c r="OPJ281" s="885"/>
      <c r="OPK281" s="885"/>
      <c r="OPL281" s="885"/>
      <c r="OPM281" s="885"/>
      <c r="OPN281" s="885"/>
      <c r="OPO281" s="885"/>
      <c r="OPP281" s="885"/>
      <c r="OPQ281" s="885"/>
      <c r="OPR281" s="885"/>
      <c r="OPS281" s="885"/>
      <c r="OPT281" s="885"/>
      <c r="OPU281" s="885"/>
      <c r="OPV281" s="885"/>
      <c r="OPW281" s="885"/>
      <c r="OPX281" s="885"/>
      <c r="OPY281" s="885"/>
      <c r="OPZ281" s="885"/>
      <c r="OQA281" s="885"/>
      <c r="OQB281" s="885"/>
      <c r="OQC281" s="885"/>
      <c r="OQD281" s="885"/>
      <c r="OQE281" s="885"/>
      <c r="OQF281" s="885"/>
      <c r="OQG281" s="885"/>
      <c r="OQH281" s="885"/>
      <c r="OQI281" s="885"/>
      <c r="OQJ281" s="885"/>
      <c r="OQK281" s="885"/>
      <c r="OQL281" s="885"/>
      <c r="OQM281" s="885"/>
      <c r="OQN281" s="885"/>
      <c r="OQO281" s="885"/>
      <c r="OQP281" s="885"/>
      <c r="OQQ281" s="885"/>
      <c r="OQR281" s="885"/>
      <c r="OQS281" s="885"/>
      <c r="OQT281" s="885"/>
      <c r="OQU281" s="885"/>
      <c r="OQV281" s="885"/>
      <c r="OQW281" s="885"/>
      <c r="OQX281" s="885"/>
      <c r="OQY281" s="885"/>
      <c r="OQZ281" s="885"/>
      <c r="ORA281" s="885"/>
      <c r="ORB281" s="885"/>
      <c r="ORC281" s="885"/>
      <c r="ORD281" s="885"/>
      <c r="ORE281" s="885"/>
      <c r="ORF281" s="885"/>
      <c r="ORG281" s="885"/>
      <c r="ORH281" s="885"/>
      <c r="ORI281" s="885"/>
      <c r="ORJ281" s="885"/>
      <c r="ORK281" s="885"/>
      <c r="ORL281" s="885"/>
      <c r="ORM281" s="885"/>
      <c r="ORN281" s="885"/>
      <c r="ORO281" s="885"/>
      <c r="ORP281" s="885"/>
      <c r="ORQ281" s="885"/>
      <c r="ORR281" s="885"/>
      <c r="ORS281" s="885"/>
      <c r="ORT281" s="885"/>
      <c r="ORU281" s="885"/>
      <c r="ORV281" s="885"/>
      <c r="ORW281" s="885"/>
      <c r="ORX281" s="885"/>
      <c r="ORY281" s="885"/>
      <c r="ORZ281" s="885"/>
      <c r="OSA281" s="885"/>
      <c r="OSB281" s="885"/>
      <c r="OSC281" s="885"/>
      <c r="OSD281" s="885"/>
      <c r="OSE281" s="885"/>
      <c r="OSF281" s="885"/>
      <c r="OSG281" s="885"/>
      <c r="OSH281" s="885"/>
      <c r="OSI281" s="885"/>
      <c r="OSJ281" s="885"/>
      <c r="OSK281" s="885"/>
      <c r="OSL281" s="885"/>
      <c r="OSM281" s="885"/>
      <c r="OSN281" s="885"/>
      <c r="OSO281" s="885"/>
      <c r="OSP281" s="885"/>
      <c r="OSQ281" s="885"/>
      <c r="OSR281" s="885"/>
      <c r="OSS281" s="885"/>
      <c r="OST281" s="885"/>
      <c r="OSU281" s="885"/>
      <c r="OSV281" s="885"/>
      <c r="OSW281" s="885"/>
      <c r="OSX281" s="885"/>
      <c r="OSY281" s="885"/>
      <c r="OSZ281" s="885"/>
      <c r="OTA281" s="885"/>
      <c r="OTB281" s="885"/>
      <c r="OTC281" s="885"/>
      <c r="OTD281" s="885"/>
      <c r="OTE281" s="885"/>
      <c r="OTF281" s="885"/>
      <c r="OTG281" s="885"/>
      <c r="OTH281" s="885"/>
      <c r="OTI281" s="885"/>
      <c r="OTJ281" s="885"/>
      <c r="OTK281" s="885"/>
      <c r="OTL281" s="885"/>
      <c r="OTM281" s="885"/>
      <c r="OTN281" s="885"/>
      <c r="OTO281" s="885"/>
      <c r="OTP281" s="885"/>
      <c r="OTQ281" s="885"/>
      <c r="OTR281" s="885"/>
      <c r="OTS281" s="885"/>
      <c r="OTT281" s="885"/>
      <c r="OTU281" s="885"/>
      <c r="OTV281" s="885"/>
      <c r="OTW281" s="885"/>
      <c r="OTX281" s="885"/>
      <c r="OTY281" s="885"/>
      <c r="OTZ281" s="885"/>
      <c r="OUA281" s="885"/>
      <c r="OUB281" s="885"/>
      <c r="OUC281" s="885"/>
      <c r="OUD281" s="885"/>
      <c r="OUE281" s="885"/>
      <c r="OUF281" s="885"/>
      <c r="OUG281" s="885"/>
      <c r="OUH281" s="885"/>
      <c r="OUI281" s="885"/>
      <c r="OUJ281" s="885"/>
      <c r="OUK281" s="885"/>
      <c r="OUL281" s="885"/>
      <c r="OUM281" s="885"/>
      <c r="OUN281" s="885"/>
      <c r="OUO281" s="885"/>
      <c r="OUP281" s="885"/>
      <c r="OUQ281" s="885"/>
      <c r="OUR281" s="885"/>
      <c r="OUS281" s="885"/>
      <c r="OUT281" s="885"/>
      <c r="OUU281" s="885"/>
      <c r="OUV281" s="885"/>
      <c r="OUW281" s="885"/>
      <c r="OUX281" s="885"/>
      <c r="OUY281" s="885"/>
      <c r="OUZ281" s="885"/>
      <c r="OVA281" s="885"/>
      <c r="OVB281" s="885"/>
      <c r="OVC281" s="885"/>
      <c r="OVD281" s="885"/>
      <c r="OVE281" s="885"/>
      <c r="OVF281" s="885"/>
      <c r="OVG281" s="885"/>
      <c r="OVH281" s="885"/>
      <c r="OVI281" s="885"/>
      <c r="OVJ281" s="885"/>
      <c r="OVK281" s="885"/>
      <c r="OVL281" s="885"/>
      <c r="OVM281" s="885"/>
      <c r="OVN281" s="885"/>
      <c r="OVO281" s="885"/>
      <c r="OVP281" s="885"/>
      <c r="OVQ281" s="885"/>
      <c r="OVR281" s="885"/>
      <c r="OVS281" s="885"/>
      <c r="OVT281" s="885"/>
      <c r="OVU281" s="885"/>
      <c r="OVV281" s="885"/>
      <c r="OVW281" s="885"/>
      <c r="OVX281" s="885"/>
      <c r="OVY281" s="885"/>
      <c r="OVZ281" s="885"/>
      <c r="OWA281" s="885"/>
      <c r="OWB281" s="885"/>
      <c r="OWC281" s="885"/>
      <c r="OWD281" s="885"/>
      <c r="OWE281" s="885"/>
      <c r="OWF281" s="885"/>
      <c r="OWG281" s="885"/>
      <c r="OWH281" s="885"/>
      <c r="OWI281" s="885"/>
      <c r="OWJ281" s="885"/>
      <c r="OWK281" s="885"/>
      <c r="OWL281" s="885"/>
      <c r="OWM281" s="885"/>
      <c r="OWN281" s="885"/>
      <c r="OWO281" s="885"/>
      <c r="OWP281" s="885"/>
      <c r="OWQ281" s="885"/>
      <c r="OWR281" s="885"/>
      <c r="OWS281" s="885"/>
      <c r="OWT281" s="885"/>
      <c r="OWU281" s="885"/>
      <c r="OWV281" s="885"/>
      <c r="OWW281" s="885"/>
      <c r="OWX281" s="885"/>
      <c r="OWY281" s="885"/>
      <c r="OWZ281" s="885"/>
      <c r="OXA281" s="885"/>
      <c r="OXB281" s="885"/>
      <c r="OXC281" s="885"/>
      <c r="OXD281" s="885"/>
      <c r="OXE281" s="885"/>
      <c r="OXF281" s="885"/>
      <c r="OXG281" s="885"/>
      <c r="OXH281" s="885"/>
      <c r="OXI281" s="885"/>
      <c r="OXJ281" s="885"/>
      <c r="OXK281" s="885"/>
      <c r="OXL281" s="885"/>
      <c r="OXM281" s="885"/>
      <c r="OXN281" s="885"/>
      <c r="OXO281" s="885"/>
      <c r="OXP281" s="885"/>
      <c r="OXQ281" s="885"/>
      <c r="OXR281" s="885"/>
      <c r="OXS281" s="885"/>
      <c r="OXT281" s="885"/>
      <c r="OXU281" s="885"/>
      <c r="OXV281" s="885"/>
      <c r="OXW281" s="885"/>
      <c r="OXX281" s="885"/>
      <c r="OXY281" s="885"/>
      <c r="OXZ281" s="885"/>
      <c r="OYA281" s="885"/>
      <c r="OYB281" s="885"/>
      <c r="OYC281" s="885"/>
      <c r="OYD281" s="885"/>
      <c r="OYE281" s="885"/>
      <c r="OYF281" s="885"/>
      <c r="OYG281" s="885"/>
      <c r="OYH281" s="885"/>
      <c r="OYI281" s="885"/>
      <c r="OYJ281" s="885"/>
      <c r="OYK281" s="885"/>
      <c r="OYL281" s="885"/>
      <c r="OYM281" s="885"/>
      <c r="OYN281" s="885"/>
      <c r="OYO281" s="885"/>
      <c r="OYP281" s="885"/>
      <c r="OYQ281" s="885"/>
      <c r="OYR281" s="885"/>
      <c r="OYS281" s="885"/>
      <c r="OYT281" s="885"/>
      <c r="OYU281" s="885"/>
      <c r="OYV281" s="885"/>
      <c r="OYW281" s="885"/>
      <c r="OYX281" s="885"/>
      <c r="OYY281" s="885"/>
      <c r="OYZ281" s="885"/>
      <c r="OZA281" s="885"/>
      <c r="OZB281" s="885"/>
      <c r="OZC281" s="885"/>
      <c r="OZD281" s="885"/>
      <c r="OZE281" s="885"/>
      <c r="OZF281" s="885"/>
      <c r="OZG281" s="885"/>
      <c r="OZH281" s="885"/>
      <c r="OZI281" s="885"/>
      <c r="OZJ281" s="885"/>
      <c r="OZK281" s="885"/>
      <c r="OZL281" s="885"/>
      <c r="OZM281" s="885"/>
      <c r="OZN281" s="885"/>
      <c r="OZO281" s="885"/>
      <c r="OZP281" s="885"/>
      <c r="OZQ281" s="885"/>
      <c r="OZR281" s="885"/>
      <c r="OZS281" s="885"/>
      <c r="OZT281" s="885"/>
      <c r="OZU281" s="885"/>
      <c r="OZV281" s="885"/>
      <c r="OZW281" s="885"/>
      <c r="OZX281" s="885"/>
      <c r="OZY281" s="885"/>
      <c r="OZZ281" s="885"/>
      <c r="PAA281" s="885"/>
      <c r="PAB281" s="885"/>
      <c r="PAC281" s="885"/>
      <c r="PAD281" s="885"/>
      <c r="PAE281" s="885"/>
      <c r="PAF281" s="885"/>
      <c r="PAG281" s="885"/>
      <c r="PAH281" s="885"/>
      <c r="PAI281" s="885"/>
      <c r="PAJ281" s="885"/>
      <c r="PAK281" s="885"/>
      <c r="PAL281" s="885"/>
      <c r="PAM281" s="885"/>
      <c r="PAN281" s="885"/>
      <c r="PAO281" s="885"/>
      <c r="PAP281" s="885"/>
      <c r="PAQ281" s="885"/>
      <c r="PAR281" s="885"/>
      <c r="PAS281" s="885"/>
      <c r="PAT281" s="885"/>
      <c r="PAU281" s="885"/>
      <c r="PAV281" s="885"/>
      <c r="PAW281" s="885"/>
      <c r="PAX281" s="885"/>
      <c r="PAY281" s="885"/>
      <c r="PAZ281" s="885"/>
      <c r="PBA281" s="885"/>
      <c r="PBB281" s="885"/>
      <c r="PBC281" s="885"/>
      <c r="PBD281" s="885"/>
      <c r="PBE281" s="885"/>
      <c r="PBF281" s="885"/>
      <c r="PBG281" s="885"/>
      <c r="PBH281" s="885"/>
      <c r="PBI281" s="885"/>
      <c r="PBJ281" s="885"/>
      <c r="PBK281" s="885"/>
      <c r="PBL281" s="885"/>
      <c r="PBM281" s="885"/>
      <c r="PBN281" s="885"/>
      <c r="PBO281" s="885"/>
      <c r="PBP281" s="885"/>
      <c r="PBQ281" s="885"/>
      <c r="PBR281" s="885"/>
      <c r="PBS281" s="885"/>
      <c r="PBT281" s="885"/>
      <c r="PBU281" s="885"/>
      <c r="PBV281" s="885"/>
      <c r="PBW281" s="885"/>
      <c r="PBX281" s="885"/>
      <c r="PBY281" s="885"/>
      <c r="PBZ281" s="885"/>
      <c r="PCA281" s="885"/>
      <c r="PCB281" s="885"/>
      <c r="PCC281" s="885"/>
      <c r="PCD281" s="885"/>
      <c r="PCE281" s="885"/>
      <c r="PCF281" s="885"/>
      <c r="PCG281" s="885"/>
      <c r="PCH281" s="885"/>
      <c r="PCI281" s="885"/>
      <c r="PCJ281" s="885"/>
      <c r="PCK281" s="885"/>
      <c r="PCL281" s="885"/>
      <c r="PCM281" s="885"/>
      <c r="PCN281" s="885"/>
      <c r="PCO281" s="885"/>
      <c r="PCP281" s="885"/>
      <c r="PCQ281" s="885"/>
      <c r="PCR281" s="885"/>
      <c r="PCS281" s="885"/>
      <c r="PCT281" s="885"/>
      <c r="PCU281" s="885"/>
      <c r="PCV281" s="885"/>
      <c r="PCW281" s="885"/>
      <c r="PCX281" s="885"/>
      <c r="PCY281" s="885"/>
      <c r="PCZ281" s="885"/>
      <c r="PDA281" s="885"/>
      <c r="PDB281" s="885"/>
      <c r="PDC281" s="885"/>
      <c r="PDD281" s="885"/>
      <c r="PDE281" s="885"/>
      <c r="PDF281" s="885"/>
      <c r="PDG281" s="885"/>
      <c r="PDH281" s="885"/>
      <c r="PDI281" s="885"/>
      <c r="PDJ281" s="885"/>
      <c r="PDK281" s="885"/>
      <c r="PDL281" s="885"/>
      <c r="PDM281" s="885"/>
      <c r="PDN281" s="885"/>
      <c r="PDO281" s="885"/>
      <c r="PDP281" s="885"/>
      <c r="PDQ281" s="885"/>
      <c r="PDR281" s="885"/>
      <c r="PDS281" s="885"/>
      <c r="PDT281" s="885"/>
      <c r="PDU281" s="885"/>
      <c r="PDV281" s="885"/>
      <c r="PDW281" s="885"/>
      <c r="PDX281" s="885"/>
      <c r="PDY281" s="885"/>
      <c r="PDZ281" s="885"/>
      <c r="PEA281" s="885"/>
      <c r="PEB281" s="885"/>
      <c r="PEC281" s="885"/>
      <c r="PED281" s="885"/>
      <c r="PEE281" s="885"/>
      <c r="PEF281" s="885"/>
      <c r="PEG281" s="885"/>
      <c r="PEH281" s="885"/>
      <c r="PEI281" s="885"/>
      <c r="PEJ281" s="885"/>
      <c r="PEK281" s="885"/>
      <c r="PEL281" s="885"/>
      <c r="PEM281" s="885"/>
      <c r="PEN281" s="885"/>
      <c r="PEO281" s="885"/>
      <c r="PEP281" s="885"/>
      <c r="PEQ281" s="885"/>
      <c r="PER281" s="885"/>
      <c r="PES281" s="885"/>
      <c r="PET281" s="885"/>
      <c r="PEU281" s="885"/>
      <c r="PEV281" s="885"/>
      <c r="PEW281" s="885"/>
      <c r="PEX281" s="885"/>
      <c r="PEY281" s="885"/>
      <c r="PEZ281" s="885"/>
      <c r="PFA281" s="885"/>
      <c r="PFB281" s="885"/>
      <c r="PFC281" s="885"/>
      <c r="PFD281" s="885"/>
      <c r="PFE281" s="885"/>
      <c r="PFF281" s="885"/>
      <c r="PFG281" s="885"/>
      <c r="PFH281" s="885"/>
      <c r="PFI281" s="885"/>
      <c r="PFJ281" s="885"/>
      <c r="PFK281" s="885"/>
      <c r="PFL281" s="885"/>
      <c r="PFM281" s="885"/>
      <c r="PFN281" s="885"/>
      <c r="PFO281" s="885"/>
      <c r="PFP281" s="885"/>
      <c r="PFQ281" s="885"/>
      <c r="PFR281" s="885"/>
      <c r="PFS281" s="885"/>
      <c r="PFT281" s="885"/>
      <c r="PFU281" s="885"/>
      <c r="PFV281" s="885"/>
      <c r="PFW281" s="885"/>
      <c r="PFX281" s="885"/>
      <c r="PFY281" s="885"/>
      <c r="PFZ281" s="885"/>
      <c r="PGA281" s="885"/>
      <c r="PGB281" s="885"/>
      <c r="PGC281" s="885"/>
      <c r="PGD281" s="885"/>
      <c r="PGE281" s="885"/>
      <c r="PGF281" s="885"/>
      <c r="PGG281" s="885"/>
      <c r="PGH281" s="885"/>
      <c r="PGI281" s="885"/>
      <c r="PGJ281" s="885"/>
      <c r="PGK281" s="885"/>
      <c r="PGL281" s="885"/>
      <c r="PGM281" s="885"/>
      <c r="PGN281" s="885"/>
      <c r="PGO281" s="885"/>
      <c r="PGP281" s="885"/>
      <c r="PGQ281" s="885"/>
      <c r="PGR281" s="885"/>
      <c r="PGS281" s="885"/>
      <c r="PGT281" s="885"/>
      <c r="PGU281" s="885"/>
      <c r="PGV281" s="885"/>
      <c r="PGW281" s="885"/>
      <c r="PGX281" s="885"/>
      <c r="PGY281" s="885"/>
      <c r="PGZ281" s="885"/>
      <c r="PHA281" s="885"/>
      <c r="PHB281" s="885"/>
      <c r="PHC281" s="885"/>
      <c r="PHD281" s="885"/>
      <c r="PHE281" s="885"/>
      <c r="PHF281" s="885"/>
      <c r="PHG281" s="885"/>
      <c r="PHH281" s="885"/>
      <c r="PHI281" s="885"/>
      <c r="PHJ281" s="885"/>
      <c r="PHK281" s="885"/>
      <c r="PHL281" s="885"/>
      <c r="PHM281" s="885"/>
      <c r="PHN281" s="885"/>
      <c r="PHO281" s="885"/>
      <c r="PHP281" s="885"/>
      <c r="PHQ281" s="885"/>
      <c r="PHR281" s="885"/>
      <c r="PHS281" s="885"/>
      <c r="PHT281" s="885"/>
      <c r="PHU281" s="885"/>
      <c r="PHV281" s="885"/>
      <c r="PHW281" s="885"/>
      <c r="PHX281" s="885"/>
      <c r="PHY281" s="885"/>
      <c r="PHZ281" s="885"/>
      <c r="PIA281" s="885"/>
      <c r="PIB281" s="885"/>
      <c r="PIC281" s="885"/>
      <c r="PID281" s="885"/>
      <c r="PIE281" s="885"/>
      <c r="PIF281" s="885"/>
      <c r="PIG281" s="885"/>
      <c r="PIH281" s="885"/>
      <c r="PII281" s="885"/>
      <c r="PIJ281" s="885"/>
      <c r="PIK281" s="885"/>
      <c r="PIL281" s="885"/>
      <c r="PIM281" s="885"/>
      <c r="PIN281" s="885"/>
      <c r="PIO281" s="885"/>
      <c r="PIP281" s="885"/>
      <c r="PIQ281" s="885"/>
      <c r="PIR281" s="885"/>
      <c r="PIS281" s="885"/>
      <c r="PIT281" s="885"/>
      <c r="PIU281" s="885"/>
      <c r="PIV281" s="885"/>
      <c r="PIW281" s="885"/>
      <c r="PIX281" s="885"/>
      <c r="PIY281" s="885"/>
      <c r="PIZ281" s="885"/>
      <c r="PJA281" s="885"/>
      <c r="PJB281" s="885"/>
      <c r="PJC281" s="885"/>
      <c r="PJD281" s="885"/>
      <c r="PJE281" s="885"/>
      <c r="PJF281" s="885"/>
      <c r="PJG281" s="885"/>
      <c r="PJH281" s="885"/>
      <c r="PJI281" s="885"/>
      <c r="PJJ281" s="885"/>
      <c r="PJK281" s="885"/>
      <c r="PJL281" s="885"/>
      <c r="PJM281" s="885"/>
      <c r="PJN281" s="885"/>
      <c r="PJO281" s="885"/>
      <c r="PJP281" s="885"/>
      <c r="PJQ281" s="885"/>
      <c r="PJR281" s="885"/>
      <c r="PJS281" s="885"/>
      <c r="PJT281" s="885"/>
      <c r="PJU281" s="885"/>
      <c r="PJV281" s="885"/>
      <c r="PJW281" s="885"/>
      <c r="PJX281" s="885"/>
      <c r="PJY281" s="885"/>
      <c r="PJZ281" s="885"/>
      <c r="PKA281" s="885"/>
      <c r="PKB281" s="885"/>
      <c r="PKC281" s="885"/>
      <c r="PKD281" s="885"/>
      <c r="PKE281" s="885"/>
      <c r="PKF281" s="885"/>
      <c r="PKG281" s="885"/>
      <c r="PKH281" s="885"/>
      <c r="PKI281" s="885"/>
      <c r="PKJ281" s="885"/>
      <c r="PKK281" s="885"/>
      <c r="PKL281" s="885"/>
      <c r="PKM281" s="885"/>
      <c r="PKN281" s="885"/>
      <c r="PKO281" s="885"/>
      <c r="PKP281" s="885"/>
      <c r="PKQ281" s="885"/>
      <c r="PKR281" s="885"/>
      <c r="PKS281" s="885"/>
      <c r="PKT281" s="885"/>
      <c r="PKU281" s="885"/>
      <c r="PKV281" s="885"/>
      <c r="PKW281" s="885"/>
      <c r="PKX281" s="885"/>
      <c r="PKY281" s="885"/>
      <c r="PKZ281" s="885"/>
      <c r="PLA281" s="885"/>
      <c r="PLB281" s="885"/>
      <c r="PLC281" s="885"/>
      <c r="PLD281" s="885"/>
      <c r="PLE281" s="885"/>
      <c r="PLF281" s="885"/>
      <c r="PLG281" s="885"/>
      <c r="PLH281" s="885"/>
      <c r="PLI281" s="885"/>
      <c r="PLJ281" s="885"/>
      <c r="PLK281" s="885"/>
      <c r="PLL281" s="885"/>
      <c r="PLM281" s="885"/>
      <c r="PLN281" s="885"/>
      <c r="PLO281" s="885"/>
      <c r="PLP281" s="885"/>
      <c r="PLQ281" s="885"/>
      <c r="PLR281" s="885"/>
      <c r="PLS281" s="885"/>
      <c r="PLT281" s="885"/>
      <c r="PLU281" s="885"/>
      <c r="PLV281" s="885"/>
      <c r="PLW281" s="885"/>
      <c r="PLX281" s="885"/>
      <c r="PLY281" s="885"/>
      <c r="PLZ281" s="885"/>
      <c r="PMA281" s="885"/>
      <c r="PMB281" s="885"/>
      <c r="PMC281" s="885"/>
      <c r="PMD281" s="885"/>
      <c r="PME281" s="885"/>
      <c r="PMF281" s="885"/>
      <c r="PMG281" s="885"/>
      <c r="PMH281" s="885"/>
      <c r="PMI281" s="885"/>
      <c r="PMJ281" s="885"/>
      <c r="PMK281" s="885"/>
      <c r="PML281" s="885"/>
      <c r="PMM281" s="885"/>
      <c r="PMN281" s="885"/>
      <c r="PMO281" s="885"/>
      <c r="PMP281" s="885"/>
      <c r="PMQ281" s="885"/>
      <c r="PMR281" s="885"/>
      <c r="PMS281" s="885"/>
      <c r="PMT281" s="885"/>
      <c r="PMU281" s="885"/>
      <c r="PMV281" s="885"/>
      <c r="PMW281" s="885"/>
      <c r="PMX281" s="885"/>
      <c r="PMY281" s="885"/>
      <c r="PMZ281" s="885"/>
      <c r="PNA281" s="885"/>
      <c r="PNB281" s="885"/>
      <c r="PNC281" s="885"/>
      <c r="PND281" s="885"/>
      <c r="PNE281" s="885"/>
      <c r="PNF281" s="885"/>
      <c r="PNG281" s="885"/>
      <c r="PNH281" s="885"/>
      <c r="PNI281" s="885"/>
      <c r="PNJ281" s="885"/>
      <c r="PNK281" s="885"/>
      <c r="PNL281" s="885"/>
      <c r="PNM281" s="885"/>
      <c r="PNN281" s="885"/>
      <c r="PNO281" s="885"/>
      <c r="PNP281" s="885"/>
      <c r="PNQ281" s="885"/>
      <c r="PNR281" s="885"/>
      <c r="PNS281" s="885"/>
      <c r="PNT281" s="885"/>
      <c r="PNU281" s="885"/>
      <c r="PNV281" s="885"/>
      <c r="PNW281" s="885"/>
      <c r="PNX281" s="885"/>
      <c r="PNY281" s="885"/>
      <c r="PNZ281" s="885"/>
      <c r="POA281" s="885"/>
      <c r="POB281" s="885"/>
      <c r="POC281" s="885"/>
      <c r="POD281" s="885"/>
      <c r="POE281" s="885"/>
      <c r="POF281" s="885"/>
      <c r="POG281" s="885"/>
      <c r="POH281" s="885"/>
      <c r="POI281" s="885"/>
      <c r="POJ281" s="885"/>
      <c r="POK281" s="885"/>
      <c r="POL281" s="885"/>
      <c r="POM281" s="885"/>
      <c r="PON281" s="885"/>
      <c r="POO281" s="885"/>
      <c r="POP281" s="885"/>
      <c r="POQ281" s="885"/>
      <c r="POR281" s="885"/>
      <c r="POS281" s="885"/>
      <c r="POT281" s="885"/>
      <c r="POU281" s="885"/>
      <c r="POV281" s="885"/>
      <c r="POW281" s="885"/>
      <c r="POX281" s="885"/>
      <c r="POY281" s="885"/>
      <c r="POZ281" s="885"/>
      <c r="PPA281" s="885"/>
      <c r="PPB281" s="885"/>
      <c r="PPC281" s="885"/>
      <c r="PPD281" s="885"/>
      <c r="PPE281" s="885"/>
      <c r="PPF281" s="885"/>
      <c r="PPG281" s="885"/>
      <c r="PPH281" s="885"/>
      <c r="PPI281" s="885"/>
      <c r="PPJ281" s="885"/>
      <c r="PPK281" s="885"/>
      <c r="PPL281" s="885"/>
      <c r="PPM281" s="885"/>
      <c r="PPN281" s="885"/>
      <c r="PPO281" s="885"/>
      <c r="PPP281" s="885"/>
      <c r="PPQ281" s="885"/>
      <c r="PPR281" s="885"/>
      <c r="PPS281" s="885"/>
      <c r="PPT281" s="885"/>
      <c r="PPU281" s="885"/>
      <c r="PPV281" s="885"/>
      <c r="PPW281" s="885"/>
      <c r="PPX281" s="885"/>
      <c r="PPY281" s="885"/>
      <c r="PPZ281" s="885"/>
      <c r="PQA281" s="885"/>
      <c r="PQB281" s="885"/>
      <c r="PQC281" s="885"/>
      <c r="PQD281" s="885"/>
      <c r="PQE281" s="885"/>
      <c r="PQF281" s="885"/>
      <c r="PQG281" s="885"/>
      <c r="PQH281" s="885"/>
      <c r="PQI281" s="885"/>
      <c r="PQJ281" s="885"/>
      <c r="PQK281" s="885"/>
      <c r="PQL281" s="885"/>
      <c r="PQM281" s="885"/>
      <c r="PQN281" s="885"/>
      <c r="PQO281" s="885"/>
      <c r="PQP281" s="885"/>
      <c r="PQQ281" s="885"/>
      <c r="PQR281" s="885"/>
      <c r="PQS281" s="885"/>
      <c r="PQT281" s="885"/>
      <c r="PQU281" s="885"/>
      <c r="PQV281" s="885"/>
      <c r="PQW281" s="885"/>
      <c r="PQX281" s="885"/>
      <c r="PQY281" s="885"/>
      <c r="PQZ281" s="885"/>
      <c r="PRA281" s="885"/>
      <c r="PRB281" s="885"/>
      <c r="PRC281" s="885"/>
      <c r="PRD281" s="885"/>
      <c r="PRE281" s="885"/>
      <c r="PRF281" s="885"/>
      <c r="PRG281" s="885"/>
      <c r="PRH281" s="885"/>
      <c r="PRI281" s="885"/>
      <c r="PRJ281" s="885"/>
      <c r="PRK281" s="885"/>
      <c r="PRL281" s="885"/>
      <c r="PRM281" s="885"/>
      <c r="PRN281" s="885"/>
      <c r="PRO281" s="885"/>
      <c r="PRP281" s="885"/>
      <c r="PRQ281" s="885"/>
      <c r="PRR281" s="885"/>
      <c r="PRS281" s="885"/>
      <c r="PRT281" s="885"/>
      <c r="PRU281" s="885"/>
      <c r="PRV281" s="885"/>
      <c r="PRW281" s="885"/>
      <c r="PRX281" s="885"/>
      <c r="PRY281" s="885"/>
      <c r="PRZ281" s="885"/>
      <c r="PSA281" s="885"/>
      <c r="PSB281" s="885"/>
      <c r="PSC281" s="885"/>
      <c r="PSD281" s="885"/>
      <c r="PSE281" s="885"/>
      <c r="PSF281" s="885"/>
      <c r="PSG281" s="885"/>
      <c r="PSH281" s="885"/>
      <c r="PSI281" s="885"/>
      <c r="PSJ281" s="885"/>
      <c r="PSK281" s="885"/>
      <c r="PSL281" s="885"/>
      <c r="PSM281" s="885"/>
      <c r="PSN281" s="885"/>
      <c r="PSO281" s="885"/>
      <c r="PSP281" s="885"/>
      <c r="PSQ281" s="885"/>
      <c r="PSR281" s="885"/>
      <c r="PSS281" s="885"/>
      <c r="PST281" s="885"/>
      <c r="PSU281" s="885"/>
      <c r="PSV281" s="885"/>
      <c r="PSW281" s="885"/>
      <c r="PSX281" s="885"/>
      <c r="PSY281" s="885"/>
      <c r="PSZ281" s="885"/>
      <c r="PTA281" s="885"/>
      <c r="PTB281" s="885"/>
      <c r="PTC281" s="885"/>
      <c r="PTD281" s="885"/>
      <c r="PTE281" s="885"/>
      <c r="PTF281" s="885"/>
      <c r="PTG281" s="885"/>
      <c r="PTH281" s="885"/>
      <c r="PTI281" s="885"/>
      <c r="PTJ281" s="885"/>
      <c r="PTK281" s="885"/>
      <c r="PTL281" s="885"/>
      <c r="PTM281" s="885"/>
      <c r="PTN281" s="885"/>
      <c r="PTO281" s="885"/>
      <c r="PTP281" s="885"/>
      <c r="PTQ281" s="885"/>
      <c r="PTR281" s="885"/>
      <c r="PTS281" s="885"/>
      <c r="PTT281" s="885"/>
      <c r="PTU281" s="885"/>
      <c r="PTV281" s="885"/>
      <c r="PTW281" s="885"/>
      <c r="PTX281" s="885"/>
      <c r="PTY281" s="885"/>
      <c r="PTZ281" s="885"/>
      <c r="PUA281" s="885"/>
      <c r="PUB281" s="885"/>
      <c r="PUC281" s="885"/>
      <c r="PUD281" s="885"/>
      <c r="PUE281" s="885"/>
      <c r="PUF281" s="885"/>
      <c r="PUG281" s="885"/>
      <c r="PUH281" s="885"/>
      <c r="PUI281" s="885"/>
      <c r="PUJ281" s="885"/>
      <c r="PUK281" s="885"/>
      <c r="PUL281" s="885"/>
      <c r="PUM281" s="885"/>
      <c r="PUN281" s="885"/>
      <c r="PUO281" s="885"/>
      <c r="PUP281" s="885"/>
      <c r="PUQ281" s="885"/>
      <c r="PUR281" s="885"/>
      <c r="PUS281" s="885"/>
      <c r="PUT281" s="885"/>
      <c r="PUU281" s="885"/>
      <c r="PUV281" s="885"/>
      <c r="PUW281" s="885"/>
      <c r="PUX281" s="885"/>
      <c r="PUY281" s="885"/>
      <c r="PUZ281" s="885"/>
      <c r="PVA281" s="885"/>
      <c r="PVB281" s="885"/>
      <c r="PVC281" s="885"/>
      <c r="PVD281" s="885"/>
      <c r="PVE281" s="885"/>
      <c r="PVF281" s="885"/>
      <c r="PVG281" s="885"/>
      <c r="PVH281" s="885"/>
      <c r="PVI281" s="885"/>
      <c r="PVJ281" s="885"/>
      <c r="PVK281" s="885"/>
      <c r="PVL281" s="885"/>
      <c r="PVM281" s="885"/>
      <c r="PVN281" s="885"/>
      <c r="PVO281" s="885"/>
      <c r="PVP281" s="885"/>
      <c r="PVQ281" s="885"/>
      <c r="PVR281" s="885"/>
      <c r="PVS281" s="885"/>
      <c r="PVT281" s="885"/>
      <c r="PVU281" s="885"/>
      <c r="PVV281" s="885"/>
      <c r="PVW281" s="885"/>
      <c r="PVX281" s="885"/>
      <c r="PVY281" s="885"/>
      <c r="PVZ281" s="885"/>
      <c r="PWA281" s="885"/>
      <c r="PWB281" s="885"/>
      <c r="PWC281" s="885"/>
      <c r="PWD281" s="885"/>
      <c r="PWE281" s="885"/>
      <c r="PWF281" s="885"/>
      <c r="PWG281" s="885"/>
      <c r="PWH281" s="885"/>
      <c r="PWI281" s="885"/>
      <c r="PWJ281" s="885"/>
      <c r="PWK281" s="885"/>
      <c r="PWL281" s="885"/>
      <c r="PWM281" s="885"/>
      <c r="PWN281" s="885"/>
      <c r="PWO281" s="885"/>
      <c r="PWP281" s="885"/>
      <c r="PWQ281" s="885"/>
      <c r="PWR281" s="885"/>
      <c r="PWS281" s="885"/>
      <c r="PWT281" s="885"/>
      <c r="PWU281" s="885"/>
      <c r="PWV281" s="885"/>
      <c r="PWW281" s="885"/>
      <c r="PWX281" s="885"/>
      <c r="PWY281" s="885"/>
      <c r="PWZ281" s="885"/>
      <c r="PXA281" s="885"/>
      <c r="PXB281" s="885"/>
      <c r="PXC281" s="885"/>
      <c r="PXD281" s="885"/>
      <c r="PXE281" s="885"/>
      <c r="PXF281" s="885"/>
      <c r="PXG281" s="885"/>
      <c r="PXH281" s="885"/>
      <c r="PXI281" s="885"/>
      <c r="PXJ281" s="885"/>
      <c r="PXK281" s="885"/>
      <c r="PXL281" s="885"/>
      <c r="PXM281" s="885"/>
      <c r="PXN281" s="885"/>
      <c r="PXO281" s="885"/>
      <c r="PXP281" s="885"/>
      <c r="PXQ281" s="885"/>
      <c r="PXR281" s="885"/>
      <c r="PXS281" s="885"/>
      <c r="PXT281" s="885"/>
      <c r="PXU281" s="885"/>
      <c r="PXV281" s="885"/>
      <c r="PXW281" s="885"/>
      <c r="PXX281" s="885"/>
      <c r="PXY281" s="885"/>
      <c r="PXZ281" s="885"/>
      <c r="PYA281" s="885"/>
      <c r="PYB281" s="885"/>
      <c r="PYC281" s="885"/>
      <c r="PYD281" s="885"/>
      <c r="PYE281" s="885"/>
      <c r="PYF281" s="885"/>
      <c r="PYG281" s="885"/>
      <c r="PYH281" s="885"/>
      <c r="PYI281" s="885"/>
      <c r="PYJ281" s="885"/>
      <c r="PYK281" s="885"/>
      <c r="PYL281" s="885"/>
      <c r="PYM281" s="885"/>
      <c r="PYN281" s="885"/>
      <c r="PYO281" s="885"/>
      <c r="PYP281" s="885"/>
      <c r="PYQ281" s="885"/>
      <c r="PYR281" s="885"/>
      <c r="PYS281" s="885"/>
      <c r="PYT281" s="885"/>
      <c r="PYU281" s="885"/>
      <c r="PYV281" s="885"/>
      <c r="PYW281" s="885"/>
      <c r="PYX281" s="885"/>
      <c r="PYY281" s="885"/>
      <c r="PYZ281" s="885"/>
      <c r="PZA281" s="885"/>
      <c r="PZB281" s="885"/>
      <c r="PZC281" s="885"/>
      <c r="PZD281" s="885"/>
      <c r="PZE281" s="885"/>
      <c r="PZF281" s="885"/>
      <c r="PZG281" s="885"/>
      <c r="PZH281" s="885"/>
      <c r="PZI281" s="885"/>
      <c r="PZJ281" s="885"/>
      <c r="PZK281" s="885"/>
      <c r="PZL281" s="885"/>
      <c r="PZM281" s="885"/>
      <c r="PZN281" s="885"/>
      <c r="PZO281" s="885"/>
      <c r="PZP281" s="885"/>
      <c r="PZQ281" s="885"/>
      <c r="PZR281" s="885"/>
      <c r="PZS281" s="885"/>
      <c r="PZT281" s="885"/>
      <c r="PZU281" s="885"/>
      <c r="PZV281" s="885"/>
      <c r="PZW281" s="885"/>
      <c r="PZX281" s="885"/>
      <c r="PZY281" s="885"/>
      <c r="PZZ281" s="885"/>
      <c r="QAA281" s="885"/>
      <c r="QAB281" s="885"/>
      <c r="QAC281" s="885"/>
      <c r="QAD281" s="885"/>
      <c r="QAE281" s="885"/>
      <c r="QAF281" s="885"/>
      <c r="QAG281" s="885"/>
      <c r="QAH281" s="885"/>
      <c r="QAI281" s="885"/>
      <c r="QAJ281" s="885"/>
      <c r="QAK281" s="885"/>
      <c r="QAL281" s="885"/>
      <c r="QAM281" s="885"/>
      <c r="QAN281" s="885"/>
      <c r="QAO281" s="885"/>
      <c r="QAP281" s="885"/>
      <c r="QAQ281" s="885"/>
      <c r="QAR281" s="885"/>
      <c r="QAS281" s="885"/>
      <c r="QAT281" s="885"/>
      <c r="QAU281" s="885"/>
      <c r="QAV281" s="885"/>
      <c r="QAW281" s="885"/>
      <c r="QAX281" s="885"/>
      <c r="QAY281" s="885"/>
      <c r="QAZ281" s="885"/>
      <c r="QBA281" s="885"/>
      <c r="QBB281" s="885"/>
      <c r="QBC281" s="885"/>
      <c r="QBD281" s="885"/>
      <c r="QBE281" s="885"/>
      <c r="QBF281" s="885"/>
      <c r="QBG281" s="885"/>
      <c r="QBH281" s="885"/>
      <c r="QBI281" s="885"/>
      <c r="QBJ281" s="885"/>
      <c r="QBK281" s="885"/>
      <c r="QBL281" s="885"/>
      <c r="QBM281" s="885"/>
      <c r="QBN281" s="885"/>
      <c r="QBO281" s="885"/>
      <c r="QBP281" s="885"/>
      <c r="QBQ281" s="885"/>
      <c r="QBR281" s="885"/>
      <c r="QBS281" s="885"/>
      <c r="QBT281" s="885"/>
      <c r="QBU281" s="885"/>
      <c r="QBV281" s="885"/>
      <c r="QBW281" s="885"/>
      <c r="QBX281" s="885"/>
      <c r="QBY281" s="885"/>
      <c r="QBZ281" s="885"/>
      <c r="QCA281" s="885"/>
      <c r="QCB281" s="885"/>
      <c r="QCC281" s="885"/>
      <c r="QCD281" s="885"/>
      <c r="QCE281" s="885"/>
      <c r="QCF281" s="885"/>
      <c r="QCG281" s="885"/>
      <c r="QCH281" s="885"/>
      <c r="QCI281" s="885"/>
      <c r="QCJ281" s="885"/>
      <c r="QCK281" s="885"/>
      <c r="QCL281" s="885"/>
      <c r="QCM281" s="885"/>
      <c r="QCN281" s="885"/>
      <c r="QCO281" s="885"/>
      <c r="QCP281" s="885"/>
      <c r="QCQ281" s="885"/>
      <c r="QCR281" s="885"/>
      <c r="QCS281" s="885"/>
      <c r="QCT281" s="885"/>
      <c r="QCU281" s="885"/>
      <c r="QCV281" s="885"/>
      <c r="QCW281" s="885"/>
      <c r="QCX281" s="885"/>
      <c r="QCY281" s="885"/>
      <c r="QCZ281" s="885"/>
      <c r="QDA281" s="885"/>
      <c r="QDB281" s="885"/>
      <c r="QDC281" s="885"/>
      <c r="QDD281" s="885"/>
      <c r="QDE281" s="885"/>
      <c r="QDF281" s="885"/>
      <c r="QDG281" s="885"/>
      <c r="QDH281" s="885"/>
      <c r="QDI281" s="885"/>
      <c r="QDJ281" s="885"/>
      <c r="QDK281" s="885"/>
      <c r="QDL281" s="885"/>
      <c r="QDM281" s="885"/>
      <c r="QDN281" s="885"/>
      <c r="QDO281" s="885"/>
      <c r="QDP281" s="885"/>
      <c r="QDQ281" s="885"/>
      <c r="QDR281" s="885"/>
      <c r="QDS281" s="885"/>
      <c r="QDT281" s="885"/>
      <c r="QDU281" s="885"/>
      <c r="QDV281" s="885"/>
      <c r="QDW281" s="885"/>
      <c r="QDX281" s="885"/>
      <c r="QDY281" s="885"/>
      <c r="QDZ281" s="885"/>
      <c r="QEA281" s="885"/>
      <c r="QEB281" s="885"/>
      <c r="QEC281" s="885"/>
      <c r="QED281" s="885"/>
      <c r="QEE281" s="885"/>
      <c r="QEF281" s="885"/>
      <c r="QEG281" s="885"/>
      <c r="QEH281" s="885"/>
      <c r="QEI281" s="885"/>
      <c r="QEJ281" s="885"/>
      <c r="QEK281" s="885"/>
      <c r="QEL281" s="885"/>
      <c r="QEM281" s="885"/>
      <c r="QEN281" s="885"/>
      <c r="QEO281" s="885"/>
      <c r="QEP281" s="885"/>
      <c r="QEQ281" s="885"/>
      <c r="QER281" s="885"/>
      <c r="QES281" s="885"/>
      <c r="QET281" s="885"/>
      <c r="QEU281" s="885"/>
      <c r="QEV281" s="885"/>
      <c r="QEW281" s="885"/>
      <c r="QEX281" s="885"/>
      <c r="QEY281" s="885"/>
      <c r="QEZ281" s="885"/>
      <c r="QFA281" s="885"/>
      <c r="QFB281" s="885"/>
      <c r="QFC281" s="885"/>
      <c r="QFD281" s="885"/>
      <c r="QFE281" s="885"/>
      <c r="QFF281" s="885"/>
      <c r="QFG281" s="885"/>
      <c r="QFH281" s="885"/>
      <c r="QFI281" s="885"/>
      <c r="QFJ281" s="885"/>
      <c r="QFK281" s="885"/>
      <c r="QFL281" s="885"/>
      <c r="QFM281" s="885"/>
      <c r="QFN281" s="885"/>
      <c r="QFO281" s="885"/>
      <c r="QFP281" s="885"/>
      <c r="QFQ281" s="885"/>
      <c r="QFR281" s="885"/>
      <c r="QFS281" s="885"/>
      <c r="QFT281" s="885"/>
      <c r="QFU281" s="885"/>
      <c r="QFV281" s="885"/>
      <c r="QFW281" s="885"/>
      <c r="QFX281" s="885"/>
      <c r="QFY281" s="885"/>
      <c r="QFZ281" s="885"/>
      <c r="QGA281" s="885"/>
      <c r="QGB281" s="885"/>
      <c r="QGC281" s="885"/>
      <c r="QGD281" s="885"/>
      <c r="QGE281" s="885"/>
      <c r="QGF281" s="885"/>
      <c r="QGG281" s="885"/>
      <c r="QGH281" s="885"/>
      <c r="QGI281" s="885"/>
      <c r="QGJ281" s="885"/>
      <c r="QGK281" s="885"/>
      <c r="QGL281" s="885"/>
      <c r="QGM281" s="885"/>
      <c r="QGN281" s="885"/>
      <c r="QGO281" s="885"/>
      <c r="QGP281" s="885"/>
      <c r="QGQ281" s="885"/>
      <c r="QGR281" s="885"/>
      <c r="QGS281" s="885"/>
      <c r="QGT281" s="885"/>
      <c r="QGU281" s="885"/>
      <c r="QGV281" s="885"/>
      <c r="QGW281" s="885"/>
      <c r="QGX281" s="885"/>
      <c r="QGY281" s="885"/>
      <c r="QGZ281" s="885"/>
      <c r="QHA281" s="885"/>
      <c r="QHB281" s="885"/>
      <c r="QHC281" s="885"/>
      <c r="QHD281" s="885"/>
      <c r="QHE281" s="885"/>
      <c r="QHF281" s="885"/>
      <c r="QHG281" s="885"/>
      <c r="QHH281" s="885"/>
      <c r="QHI281" s="885"/>
      <c r="QHJ281" s="885"/>
      <c r="QHK281" s="885"/>
      <c r="QHL281" s="885"/>
      <c r="QHM281" s="885"/>
      <c r="QHN281" s="885"/>
      <c r="QHO281" s="885"/>
      <c r="QHP281" s="885"/>
      <c r="QHQ281" s="885"/>
      <c r="QHR281" s="885"/>
      <c r="QHS281" s="885"/>
      <c r="QHT281" s="885"/>
      <c r="QHU281" s="885"/>
      <c r="QHV281" s="885"/>
      <c r="QHW281" s="885"/>
      <c r="QHX281" s="885"/>
      <c r="QHY281" s="885"/>
      <c r="QHZ281" s="885"/>
      <c r="QIA281" s="885"/>
      <c r="QIB281" s="885"/>
      <c r="QIC281" s="885"/>
      <c r="QID281" s="885"/>
      <c r="QIE281" s="885"/>
      <c r="QIF281" s="885"/>
      <c r="QIG281" s="885"/>
      <c r="QIH281" s="885"/>
      <c r="QII281" s="885"/>
      <c r="QIJ281" s="885"/>
      <c r="QIK281" s="885"/>
      <c r="QIL281" s="885"/>
      <c r="QIM281" s="885"/>
      <c r="QIN281" s="885"/>
      <c r="QIO281" s="885"/>
      <c r="QIP281" s="885"/>
      <c r="QIQ281" s="885"/>
      <c r="QIR281" s="885"/>
      <c r="QIS281" s="885"/>
      <c r="QIT281" s="885"/>
      <c r="QIU281" s="885"/>
      <c r="QIV281" s="885"/>
      <c r="QIW281" s="885"/>
      <c r="QIX281" s="885"/>
      <c r="QIY281" s="885"/>
      <c r="QIZ281" s="885"/>
      <c r="QJA281" s="885"/>
      <c r="QJB281" s="885"/>
      <c r="QJC281" s="885"/>
      <c r="QJD281" s="885"/>
      <c r="QJE281" s="885"/>
      <c r="QJF281" s="885"/>
      <c r="QJG281" s="885"/>
      <c r="QJH281" s="885"/>
      <c r="QJI281" s="885"/>
      <c r="QJJ281" s="885"/>
      <c r="QJK281" s="885"/>
      <c r="QJL281" s="885"/>
      <c r="QJM281" s="885"/>
      <c r="QJN281" s="885"/>
      <c r="QJO281" s="885"/>
      <c r="QJP281" s="885"/>
      <c r="QJQ281" s="885"/>
      <c r="QJR281" s="885"/>
      <c r="QJS281" s="885"/>
      <c r="QJT281" s="885"/>
      <c r="QJU281" s="885"/>
      <c r="QJV281" s="885"/>
      <c r="QJW281" s="885"/>
      <c r="QJX281" s="885"/>
      <c r="QJY281" s="885"/>
      <c r="QJZ281" s="885"/>
      <c r="QKA281" s="885"/>
      <c r="QKB281" s="885"/>
      <c r="QKC281" s="885"/>
      <c r="QKD281" s="885"/>
      <c r="QKE281" s="885"/>
      <c r="QKF281" s="885"/>
      <c r="QKG281" s="885"/>
      <c r="QKH281" s="885"/>
      <c r="QKI281" s="885"/>
      <c r="QKJ281" s="885"/>
      <c r="QKK281" s="885"/>
      <c r="QKL281" s="885"/>
      <c r="QKM281" s="885"/>
      <c r="QKN281" s="885"/>
      <c r="QKO281" s="885"/>
      <c r="QKP281" s="885"/>
      <c r="QKQ281" s="885"/>
      <c r="QKR281" s="885"/>
      <c r="QKS281" s="885"/>
      <c r="QKT281" s="885"/>
      <c r="QKU281" s="885"/>
      <c r="QKV281" s="885"/>
      <c r="QKW281" s="885"/>
      <c r="QKX281" s="885"/>
      <c r="QKY281" s="885"/>
      <c r="QKZ281" s="885"/>
      <c r="QLA281" s="885"/>
      <c r="QLB281" s="885"/>
      <c r="QLC281" s="885"/>
      <c r="QLD281" s="885"/>
      <c r="QLE281" s="885"/>
      <c r="QLF281" s="885"/>
      <c r="QLG281" s="885"/>
      <c r="QLH281" s="885"/>
      <c r="QLI281" s="885"/>
      <c r="QLJ281" s="885"/>
      <c r="QLK281" s="885"/>
      <c r="QLL281" s="885"/>
      <c r="QLM281" s="885"/>
      <c r="QLN281" s="885"/>
      <c r="QLO281" s="885"/>
      <c r="QLP281" s="885"/>
      <c r="QLQ281" s="885"/>
      <c r="QLR281" s="885"/>
      <c r="QLS281" s="885"/>
      <c r="QLT281" s="885"/>
      <c r="QLU281" s="885"/>
      <c r="QLV281" s="885"/>
      <c r="QLW281" s="885"/>
      <c r="QLX281" s="885"/>
      <c r="QLY281" s="885"/>
      <c r="QLZ281" s="885"/>
      <c r="QMA281" s="885"/>
      <c r="QMB281" s="885"/>
      <c r="QMC281" s="885"/>
      <c r="QMD281" s="885"/>
      <c r="QME281" s="885"/>
      <c r="QMF281" s="885"/>
      <c r="QMG281" s="885"/>
      <c r="QMH281" s="885"/>
      <c r="QMI281" s="885"/>
      <c r="QMJ281" s="885"/>
      <c r="QMK281" s="885"/>
      <c r="QML281" s="885"/>
      <c r="QMM281" s="885"/>
      <c r="QMN281" s="885"/>
      <c r="QMO281" s="885"/>
      <c r="QMP281" s="885"/>
      <c r="QMQ281" s="885"/>
      <c r="QMR281" s="885"/>
      <c r="QMS281" s="885"/>
      <c r="QMT281" s="885"/>
      <c r="QMU281" s="885"/>
      <c r="QMV281" s="885"/>
      <c r="QMW281" s="885"/>
      <c r="QMX281" s="885"/>
      <c r="QMY281" s="885"/>
      <c r="QMZ281" s="885"/>
      <c r="QNA281" s="885"/>
      <c r="QNB281" s="885"/>
      <c r="QNC281" s="885"/>
      <c r="QND281" s="885"/>
      <c r="QNE281" s="885"/>
      <c r="QNF281" s="885"/>
      <c r="QNG281" s="885"/>
      <c r="QNH281" s="885"/>
      <c r="QNI281" s="885"/>
      <c r="QNJ281" s="885"/>
      <c r="QNK281" s="885"/>
      <c r="QNL281" s="885"/>
      <c r="QNM281" s="885"/>
      <c r="QNN281" s="885"/>
      <c r="QNO281" s="885"/>
      <c r="QNP281" s="885"/>
      <c r="QNQ281" s="885"/>
      <c r="QNR281" s="885"/>
      <c r="QNS281" s="885"/>
      <c r="QNT281" s="885"/>
      <c r="QNU281" s="885"/>
      <c r="QNV281" s="885"/>
      <c r="QNW281" s="885"/>
      <c r="QNX281" s="885"/>
      <c r="QNY281" s="885"/>
      <c r="QNZ281" s="885"/>
      <c r="QOA281" s="885"/>
      <c r="QOB281" s="885"/>
      <c r="QOC281" s="885"/>
      <c r="QOD281" s="885"/>
      <c r="QOE281" s="885"/>
      <c r="QOF281" s="885"/>
      <c r="QOG281" s="885"/>
      <c r="QOH281" s="885"/>
      <c r="QOI281" s="885"/>
      <c r="QOJ281" s="885"/>
      <c r="QOK281" s="885"/>
      <c r="QOL281" s="885"/>
      <c r="QOM281" s="885"/>
      <c r="QON281" s="885"/>
      <c r="QOO281" s="885"/>
      <c r="QOP281" s="885"/>
      <c r="QOQ281" s="885"/>
      <c r="QOR281" s="885"/>
      <c r="QOS281" s="885"/>
      <c r="QOT281" s="885"/>
      <c r="QOU281" s="885"/>
      <c r="QOV281" s="885"/>
      <c r="QOW281" s="885"/>
      <c r="QOX281" s="885"/>
      <c r="QOY281" s="885"/>
      <c r="QOZ281" s="885"/>
      <c r="QPA281" s="885"/>
      <c r="QPB281" s="885"/>
      <c r="QPC281" s="885"/>
      <c r="QPD281" s="885"/>
      <c r="QPE281" s="885"/>
      <c r="QPF281" s="885"/>
      <c r="QPG281" s="885"/>
      <c r="QPH281" s="885"/>
      <c r="QPI281" s="885"/>
      <c r="QPJ281" s="885"/>
      <c r="QPK281" s="885"/>
      <c r="QPL281" s="885"/>
      <c r="QPM281" s="885"/>
      <c r="QPN281" s="885"/>
      <c r="QPO281" s="885"/>
      <c r="QPP281" s="885"/>
      <c r="QPQ281" s="885"/>
      <c r="QPR281" s="885"/>
      <c r="QPS281" s="885"/>
      <c r="QPT281" s="885"/>
      <c r="QPU281" s="885"/>
      <c r="QPV281" s="885"/>
      <c r="QPW281" s="885"/>
      <c r="QPX281" s="885"/>
      <c r="QPY281" s="885"/>
      <c r="QPZ281" s="885"/>
      <c r="QQA281" s="885"/>
      <c r="QQB281" s="885"/>
      <c r="QQC281" s="885"/>
      <c r="QQD281" s="885"/>
      <c r="QQE281" s="885"/>
      <c r="QQF281" s="885"/>
      <c r="QQG281" s="885"/>
      <c r="QQH281" s="885"/>
      <c r="QQI281" s="885"/>
      <c r="QQJ281" s="885"/>
      <c r="QQK281" s="885"/>
      <c r="QQL281" s="885"/>
      <c r="QQM281" s="885"/>
      <c r="QQN281" s="885"/>
      <c r="QQO281" s="885"/>
      <c r="QQP281" s="885"/>
      <c r="QQQ281" s="885"/>
      <c r="QQR281" s="885"/>
      <c r="QQS281" s="885"/>
      <c r="QQT281" s="885"/>
      <c r="QQU281" s="885"/>
      <c r="QQV281" s="885"/>
      <c r="QQW281" s="885"/>
      <c r="QQX281" s="885"/>
      <c r="QQY281" s="885"/>
      <c r="QQZ281" s="885"/>
      <c r="QRA281" s="885"/>
      <c r="QRB281" s="885"/>
      <c r="QRC281" s="885"/>
      <c r="QRD281" s="885"/>
      <c r="QRE281" s="885"/>
      <c r="QRF281" s="885"/>
      <c r="QRG281" s="885"/>
      <c r="QRH281" s="885"/>
      <c r="QRI281" s="885"/>
      <c r="QRJ281" s="885"/>
      <c r="QRK281" s="885"/>
      <c r="QRL281" s="885"/>
      <c r="QRM281" s="885"/>
      <c r="QRN281" s="885"/>
      <c r="QRO281" s="885"/>
      <c r="QRP281" s="885"/>
      <c r="QRQ281" s="885"/>
      <c r="QRR281" s="885"/>
      <c r="QRS281" s="885"/>
      <c r="QRT281" s="885"/>
      <c r="QRU281" s="885"/>
      <c r="QRV281" s="885"/>
      <c r="QRW281" s="885"/>
      <c r="QRX281" s="885"/>
      <c r="QRY281" s="885"/>
      <c r="QRZ281" s="885"/>
      <c r="QSA281" s="885"/>
      <c r="QSB281" s="885"/>
      <c r="QSC281" s="885"/>
      <c r="QSD281" s="885"/>
      <c r="QSE281" s="885"/>
      <c r="QSF281" s="885"/>
      <c r="QSG281" s="885"/>
      <c r="QSH281" s="885"/>
      <c r="QSI281" s="885"/>
      <c r="QSJ281" s="885"/>
      <c r="QSK281" s="885"/>
      <c r="QSL281" s="885"/>
      <c r="QSM281" s="885"/>
      <c r="QSN281" s="885"/>
      <c r="QSO281" s="885"/>
      <c r="QSP281" s="885"/>
      <c r="QSQ281" s="885"/>
      <c r="QSR281" s="885"/>
      <c r="QSS281" s="885"/>
      <c r="QST281" s="885"/>
      <c r="QSU281" s="885"/>
      <c r="QSV281" s="885"/>
      <c r="QSW281" s="885"/>
      <c r="QSX281" s="885"/>
      <c r="QSY281" s="885"/>
      <c r="QSZ281" s="885"/>
      <c r="QTA281" s="885"/>
      <c r="QTB281" s="885"/>
      <c r="QTC281" s="885"/>
      <c r="QTD281" s="885"/>
      <c r="QTE281" s="885"/>
      <c r="QTF281" s="885"/>
      <c r="QTG281" s="885"/>
      <c r="QTH281" s="885"/>
      <c r="QTI281" s="885"/>
      <c r="QTJ281" s="885"/>
      <c r="QTK281" s="885"/>
      <c r="QTL281" s="885"/>
      <c r="QTM281" s="885"/>
      <c r="QTN281" s="885"/>
      <c r="QTO281" s="885"/>
      <c r="QTP281" s="885"/>
      <c r="QTQ281" s="885"/>
      <c r="QTR281" s="885"/>
      <c r="QTS281" s="885"/>
      <c r="QTT281" s="885"/>
      <c r="QTU281" s="885"/>
      <c r="QTV281" s="885"/>
      <c r="QTW281" s="885"/>
      <c r="QTX281" s="885"/>
      <c r="QTY281" s="885"/>
      <c r="QTZ281" s="885"/>
      <c r="QUA281" s="885"/>
      <c r="QUB281" s="885"/>
      <c r="QUC281" s="885"/>
      <c r="QUD281" s="885"/>
      <c r="QUE281" s="885"/>
      <c r="QUF281" s="885"/>
      <c r="QUG281" s="885"/>
      <c r="QUH281" s="885"/>
      <c r="QUI281" s="885"/>
      <c r="QUJ281" s="885"/>
      <c r="QUK281" s="885"/>
      <c r="QUL281" s="885"/>
      <c r="QUM281" s="885"/>
      <c r="QUN281" s="885"/>
      <c r="QUO281" s="885"/>
      <c r="QUP281" s="885"/>
      <c r="QUQ281" s="885"/>
      <c r="QUR281" s="885"/>
      <c r="QUS281" s="885"/>
      <c r="QUT281" s="885"/>
      <c r="QUU281" s="885"/>
      <c r="QUV281" s="885"/>
      <c r="QUW281" s="885"/>
      <c r="QUX281" s="885"/>
      <c r="QUY281" s="885"/>
      <c r="QUZ281" s="885"/>
      <c r="QVA281" s="885"/>
      <c r="QVB281" s="885"/>
      <c r="QVC281" s="885"/>
      <c r="QVD281" s="885"/>
      <c r="QVE281" s="885"/>
      <c r="QVF281" s="885"/>
      <c r="QVG281" s="885"/>
      <c r="QVH281" s="885"/>
      <c r="QVI281" s="885"/>
      <c r="QVJ281" s="885"/>
      <c r="QVK281" s="885"/>
      <c r="QVL281" s="885"/>
      <c r="QVM281" s="885"/>
      <c r="QVN281" s="885"/>
      <c r="QVO281" s="885"/>
      <c r="QVP281" s="885"/>
      <c r="QVQ281" s="885"/>
      <c r="QVR281" s="885"/>
      <c r="QVS281" s="885"/>
      <c r="QVT281" s="885"/>
      <c r="QVU281" s="885"/>
      <c r="QVV281" s="885"/>
      <c r="QVW281" s="885"/>
      <c r="QVX281" s="885"/>
      <c r="QVY281" s="885"/>
      <c r="QVZ281" s="885"/>
      <c r="QWA281" s="885"/>
      <c r="QWB281" s="885"/>
      <c r="QWC281" s="885"/>
      <c r="QWD281" s="885"/>
      <c r="QWE281" s="885"/>
      <c r="QWF281" s="885"/>
      <c r="QWG281" s="885"/>
      <c r="QWH281" s="885"/>
      <c r="QWI281" s="885"/>
      <c r="QWJ281" s="885"/>
      <c r="QWK281" s="885"/>
      <c r="QWL281" s="885"/>
      <c r="QWM281" s="885"/>
      <c r="QWN281" s="885"/>
      <c r="QWO281" s="885"/>
      <c r="QWP281" s="885"/>
      <c r="QWQ281" s="885"/>
      <c r="QWR281" s="885"/>
      <c r="QWS281" s="885"/>
      <c r="QWT281" s="885"/>
      <c r="QWU281" s="885"/>
      <c r="QWV281" s="885"/>
      <c r="QWW281" s="885"/>
      <c r="QWX281" s="885"/>
      <c r="QWY281" s="885"/>
      <c r="QWZ281" s="885"/>
      <c r="QXA281" s="885"/>
      <c r="QXB281" s="885"/>
      <c r="QXC281" s="885"/>
      <c r="QXD281" s="885"/>
      <c r="QXE281" s="885"/>
      <c r="QXF281" s="885"/>
      <c r="QXG281" s="885"/>
      <c r="QXH281" s="885"/>
      <c r="QXI281" s="885"/>
      <c r="QXJ281" s="885"/>
      <c r="QXK281" s="885"/>
      <c r="QXL281" s="885"/>
      <c r="QXM281" s="885"/>
      <c r="QXN281" s="885"/>
      <c r="QXO281" s="885"/>
      <c r="QXP281" s="885"/>
      <c r="QXQ281" s="885"/>
      <c r="QXR281" s="885"/>
      <c r="QXS281" s="885"/>
      <c r="QXT281" s="885"/>
      <c r="QXU281" s="885"/>
      <c r="QXV281" s="885"/>
      <c r="QXW281" s="885"/>
      <c r="QXX281" s="885"/>
      <c r="QXY281" s="885"/>
      <c r="QXZ281" s="885"/>
      <c r="QYA281" s="885"/>
      <c r="QYB281" s="885"/>
      <c r="QYC281" s="885"/>
      <c r="QYD281" s="885"/>
      <c r="QYE281" s="885"/>
      <c r="QYF281" s="885"/>
      <c r="QYG281" s="885"/>
      <c r="QYH281" s="885"/>
      <c r="QYI281" s="885"/>
      <c r="QYJ281" s="885"/>
      <c r="QYK281" s="885"/>
      <c r="QYL281" s="885"/>
      <c r="QYM281" s="885"/>
      <c r="QYN281" s="885"/>
      <c r="QYO281" s="885"/>
      <c r="QYP281" s="885"/>
      <c r="QYQ281" s="885"/>
      <c r="QYR281" s="885"/>
      <c r="QYS281" s="885"/>
      <c r="QYT281" s="885"/>
      <c r="QYU281" s="885"/>
      <c r="QYV281" s="885"/>
      <c r="QYW281" s="885"/>
      <c r="QYX281" s="885"/>
      <c r="QYY281" s="885"/>
      <c r="QYZ281" s="885"/>
      <c r="QZA281" s="885"/>
      <c r="QZB281" s="885"/>
      <c r="QZC281" s="885"/>
      <c r="QZD281" s="885"/>
      <c r="QZE281" s="885"/>
      <c r="QZF281" s="885"/>
      <c r="QZG281" s="885"/>
      <c r="QZH281" s="885"/>
      <c r="QZI281" s="885"/>
      <c r="QZJ281" s="885"/>
      <c r="QZK281" s="885"/>
      <c r="QZL281" s="885"/>
      <c r="QZM281" s="885"/>
      <c r="QZN281" s="885"/>
      <c r="QZO281" s="885"/>
      <c r="QZP281" s="885"/>
      <c r="QZQ281" s="885"/>
      <c r="QZR281" s="885"/>
      <c r="QZS281" s="885"/>
      <c r="QZT281" s="885"/>
      <c r="QZU281" s="885"/>
      <c r="QZV281" s="885"/>
      <c r="QZW281" s="885"/>
      <c r="QZX281" s="885"/>
      <c r="QZY281" s="885"/>
      <c r="QZZ281" s="885"/>
      <c r="RAA281" s="885"/>
      <c r="RAB281" s="885"/>
      <c r="RAC281" s="885"/>
      <c r="RAD281" s="885"/>
      <c r="RAE281" s="885"/>
      <c r="RAF281" s="885"/>
      <c r="RAG281" s="885"/>
      <c r="RAH281" s="885"/>
      <c r="RAI281" s="885"/>
      <c r="RAJ281" s="885"/>
      <c r="RAK281" s="885"/>
      <c r="RAL281" s="885"/>
      <c r="RAM281" s="885"/>
      <c r="RAN281" s="885"/>
      <c r="RAO281" s="885"/>
      <c r="RAP281" s="885"/>
      <c r="RAQ281" s="885"/>
      <c r="RAR281" s="885"/>
      <c r="RAS281" s="885"/>
      <c r="RAT281" s="885"/>
      <c r="RAU281" s="885"/>
      <c r="RAV281" s="885"/>
      <c r="RAW281" s="885"/>
      <c r="RAX281" s="885"/>
      <c r="RAY281" s="885"/>
      <c r="RAZ281" s="885"/>
      <c r="RBA281" s="885"/>
      <c r="RBB281" s="885"/>
      <c r="RBC281" s="885"/>
      <c r="RBD281" s="885"/>
      <c r="RBE281" s="885"/>
      <c r="RBF281" s="885"/>
      <c r="RBG281" s="885"/>
      <c r="RBH281" s="885"/>
      <c r="RBI281" s="885"/>
      <c r="RBJ281" s="885"/>
      <c r="RBK281" s="885"/>
      <c r="RBL281" s="885"/>
      <c r="RBM281" s="885"/>
      <c r="RBN281" s="885"/>
      <c r="RBO281" s="885"/>
      <c r="RBP281" s="885"/>
      <c r="RBQ281" s="885"/>
      <c r="RBR281" s="885"/>
      <c r="RBS281" s="885"/>
      <c r="RBT281" s="885"/>
      <c r="RBU281" s="885"/>
      <c r="RBV281" s="885"/>
      <c r="RBW281" s="885"/>
      <c r="RBX281" s="885"/>
      <c r="RBY281" s="885"/>
      <c r="RBZ281" s="885"/>
      <c r="RCA281" s="885"/>
      <c r="RCB281" s="885"/>
      <c r="RCC281" s="885"/>
      <c r="RCD281" s="885"/>
      <c r="RCE281" s="885"/>
      <c r="RCF281" s="885"/>
      <c r="RCG281" s="885"/>
      <c r="RCH281" s="885"/>
      <c r="RCI281" s="885"/>
      <c r="RCJ281" s="885"/>
      <c r="RCK281" s="885"/>
      <c r="RCL281" s="885"/>
      <c r="RCM281" s="885"/>
      <c r="RCN281" s="885"/>
      <c r="RCO281" s="885"/>
      <c r="RCP281" s="885"/>
      <c r="RCQ281" s="885"/>
      <c r="RCR281" s="885"/>
      <c r="RCS281" s="885"/>
      <c r="RCT281" s="885"/>
      <c r="RCU281" s="885"/>
      <c r="RCV281" s="885"/>
      <c r="RCW281" s="885"/>
      <c r="RCX281" s="885"/>
      <c r="RCY281" s="885"/>
      <c r="RCZ281" s="885"/>
      <c r="RDA281" s="885"/>
      <c r="RDB281" s="885"/>
      <c r="RDC281" s="885"/>
      <c r="RDD281" s="885"/>
      <c r="RDE281" s="885"/>
      <c r="RDF281" s="885"/>
      <c r="RDG281" s="885"/>
      <c r="RDH281" s="885"/>
      <c r="RDI281" s="885"/>
      <c r="RDJ281" s="885"/>
      <c r="RDK281" s="885"/>
      <c r="RDL281" s="885"/>
      <c r="RDM281" s="885"/>
      <c r="RDN281" s="885"/>
      <c r="RDO281" s="885"/>
      <c r="RDP281" s="885"/>
      <c r="RDQ281" s="885"/>
      <c r="RDR281" s="885"/>
      <c r="RDS281" s="885"/>
      <c r="RDT281" s="885"/>
      <c r="RDU281" s="885"/>
      <c r="RDV281" s="885"/>
      <c r="RDW281" s="885"/>
      <c r="RDX281" s="885"/>
      <c r="RDY281" s="885"/>
      <c r="RDZ281" s="885"/>
      <c r="REA281" s="885"/>
      <c r="REB281" s="885"/>
      <c r="REC281" s="885"/>
      <c r="RED281" s="885"/>
      <c r="REE281" s="885"/>
      <c r="REF281" s="885"/>
      <c r="REG281" s="885"/>
      <c r="REH281" s="885"/>
      <c r="REI281" s="885"/>
      <c r="REJ281" s="885"/>
      <c r="REK281" s="885"/>
      <c r="REL281" s="885"/>
      <c r="REM281" s="885"/>
      <c r="REN281" s="885"/>
      <c r="REO281" s="885"/>
      <c r="REP281" s="885"/>
      <c r="REQ281" s="885"/>
      <c r="RER281" s="885"/>
      <c r="RES281" s="885"/>
      <c r="RET281" s="885"/>
      <c r="REU281" s="885"/>
      <c r="REV281" s="885"/>
      <c r="REW281" s="885"/>
      <c r="REX281" s="885"/>
      <c r="REY281" s="885"/>
      <c r="REZ281" s="885"/>
      <c r="RFA281" s="885"/>
      <c r="RFB281" s="885"/>
      <c r="RFC281" s="885"/>
      <c r="RFD281" s="885"/>
      <c r="RFE281" s="885"/>
      <c r="RFF281" s="885"/>
      <c r="RFG281" s="885"/>
      <c r="RFH281" s="885"/>
      <c r="RFI281" s="885"/>
      <c r="RFJ281" s="885"/>
      <c r="RFK281" s="885"/>
      <c r="RFL281" s="885"/>
      <c r="RFM281" s="885"/>
      <c r="RFN281" s="885"/>
      <c r="RFO281" s="885"/>
      <c r="RFP281" s="885"/>
      <c r="RFQ281" s="885"/>
      <c r="RFR281" s="885"/>
      <c r="RFS281" s="885"/>
      <c r="RFT281" s="885"/>
      <c r="RFU281" s="885"/>
      <c r="RFV281" s="885"/>
      <c r="RFW281" s="885"/>
      <c r="RFX281" s="885"/>
      <c r="RFY281" s="885"/>
      <c r="RFZ281" s="885"/>
      <c r="RGA281" s="885"/>
      <c r="RGB281" s="885"/>
      <c r="RGC281" s="885"/>
      <c r="RGD281" s="885"/>
      <c r="RGE281" s="885"/>
      <c r="RGF281" s="885"/>
      <c r="RGG281" s="885"/>
      <c r="RGH281" s="885"/>
      <c r="RGI281" s="885"/>
      <c r="RGJ281" s="885"/>
      <c r="RGK281" s="885"/>
      <c r="RGL281" s="885"/>
      <c r="RGM281" s="885"/>
      <c r="RGN281" s="885"/>
      <c r="RGO281" s="885"/>
      <c r="RGP281" s="885"/>
      <c r="RGQ281" s="885"/>
      <c r="RGR281" s="885"/>
      <c r="RGS281" s="885"/>
      <c r="RGT281" s="885"/>
      <c r="RGU281" s="885"/>
      <c r="RGV281" s="885"/>
      <c r="RGW281" s="885"/>
      <c r="RGX281" s="885"/>
      <c r="RGY281" s="885"/>
      <c r="RGZ281" s="885"/>
      <c r="RHA281" s="885"/>
      <c r="RHB281" s="885"/>
      <c r="RHC281" s="885"/>
      <c r="RHD281" s="885"/>
      <c r="RHE281" s="885"/>
      <c r="RHF281" s="885"/>
      <c r="RHG281" s="885"/>
      <c r="RHH281" s="885"/>
      <c r="RHI281" s="885"/>
      <c r="RHJ281" s="885"/>
      <c r="RHK281" s="885"/>
      <c r="RHL281" s="885"/>
      <c r="RHM281" s="885"/>
      <c r="RHN281" s="885"/>
      <c r="RHO281" s="885"/>
      <c r="RHP281" s="885"/>
      <c r="RHQ281" s="885"/>
      <c r="RHR281" s="885"/>
      <c r="RHS281" s="885"/>
      <c r="RHT281" s="885"/>
      <c r="RHU281" s="885"/>
      <c r="RHV281" s="885"/>
      <c r="RHW281" s="885"/>
      <c r="RHX281" s="885"/>
      <c r="RHY281" s="885"/>
      <c r="RHZ281" s="885"/>
      <c r="RIA281" s="885"/>
      <c r="RIB281" s="885"/>
      <c r="RIC281" s="885"/>
      <c r="RID281" s="885"/>
      <c r="RIE281" s="885"/>
      <c r="RIF281" s="885"/>
      <c r="RIG281" s="885"/>
      <c r="RIH281" s="885"/>
      <c r="RII281" s="885"/>
      <c r="RIJ281" s="885"/>
      <c r="RIK281" s="885"/>
      <c r="RIL281" s="885"/>
      <c r="RIM281" s="885"/>
      <c r="RIN281" s="885"/>
      <c r="RIO281" s="885"/>
      <c r="RIP281" s="885"/>
      <c r="RIQ281" s="885"/>
      <c r="RIR281" s="885"/>
      <c r="RIS281" s="885"/>
      <c r="RIT281" s="885"/>
      <c r="RIU281" s="885"/>
      <c r="RIV281" s="885"/>
      <c r="RIW281" s="885"/>
      <c r="RIX281" s="885"/>
      <c r="RIY281" s="885"/>
      <c r="RIZ281" s="885"/>
      <c r="RJA281" s="885"/>
      <c r="RJB281" s="885"/>
      <c r="RJC281" s="885"/>
      <c r="RJD281" s="885"/>
      <c r="RJE281" s="885"/>
      <c r="RJF281" s="885"/>
      <c r="RJG281" s="885"/>
      <c r="RJH281" s="885"/>
      <c r="RJI281" s="885"/>
      <c r="RJJ281" s="885"/>
      <c r="RJK281" s="885"/>
      <c r="RJL281" s="885"/>
      <c r="RJM281" s="885"/>
      <c r="RJN281" s="885"/>
      <c r="RJO281" s="885"/>
      <c r="RJP281" s="885"/>
      <c r="RJQ281" s="885"/>
      <c r="RJR281" s="885"/>
      <c r="RJS281" s="885"/>
      <c r="RJT281" s="885"/>
      <c r="RJU281" s="885"/>
      <c r="RJV281" s="885"/>
      <c r="RJW281" s="885"/>
      <c r="RJX281" s="885"/>
      <c r="RJY281" s="885"/>
      <c r="RJZ281" s="885"/>
      <c r="RKA281" s="885"/>
      <c r="RKB281" s="885"/>
      <c r="RKC281" s="885"/>
      <c r="RKD281" s="885"/>
      <c r="RKE281" s="885"/>
      <c r="RKF281" s="885"/>
      <c r="RKG281" s="885"/>
      <c r="RKH281" s="885"/>
      <c r="RKI281" s="885"/>
      <c r="RKJ281" s="885"/>
      <c r="RKK281" s="885"/>
      <c r="RKL281" s="885"/>
      <c r="RKM281" s="885"/>
      <c r="RKN281" s="885"/>
      <c r="RKO281" s="885"/>
      <c r="RKP281" s="885"/>
      <c r="RKQ281" s="885"/>
      <c r="RKR281" s="885"/>
      <c r="RKS281" s="885"/>
      <c r="RKT281" s="885"/>
      <c r="RKU281" s="885"/>
      <c r="RKV281" s="885"/>
      <c r="RKW281" s="885"/>
      <c r="RKX281" s="885"/>
      <c r="RKY281" s="885"/>
      <c r="RKZ281" s="885"/>
      <c r="RLA281" s="885"/>
      <c r="RLB281" s="885"/>
      <c r="RLC281" s="885"/>
      <c r="RLD281" s="885"/>
      <c r="RLE281" s="885"/>
      <c r="RLF281" s="885"/>
      <c r="RLG281" s="885"/>
      <c r="RLH281" s="885"/>
      <c r="RLI281" s="885"/>
      <c r="RLJ281" s="885"/>
      <c r="RLK281" s="885"/>
      <c r="RLL281" s="885"/>
      <c r="RLM281" s="885"/>
      <c r="RLN281" s="885"/>
      <c r="RLO281" s="885"/>
      <c r="RLP281" s="885"/>
      <c r="RLQ281" s="885"/>
      <c r="RLR281" s="885"/>
      <c r="RLS281" s="885"/>
      <c r="RLT281" s="885"/>
      <c r="RLU281" s="885"/>
      <c r="RLV281" s="885"/>
      <c r="RLW281" s="885"/>
      <c r="RLX281" s="885"/>
      <c r="RLY281" s="885"/>
      <c r="RLZ281" s="885"/>
      <c r="RMA281" s="885"/>
      <c r="RMB281" s="885"/>
      <c r="RMC281" s="885"/>
      <c r="RMD281" s="885"/>
      <c r="RME281" s="885"/>
      <c r="RMF281" s="885"/>
      <c r="RMG281" s="885"/>
      <c r="RMH281" s="885"/>
      <c r="RMI281" s="885"/>
      <c r="RMJ281" s="885"/>
      <c r="RMK281" s="885"/>
      <c r="RML281" s="885"/>
      <c r="RMM281" s="885"/>
      <c r="RMN281" s="885"/>
      <c r="RMO281" s="885"/>
      <c r="RMP281" s="885"/>
      <c r="RMQ281" s="885"/>
      <c r="RMR281" s="885"/>
      <c r="RMS281" s="885"/>
      <c r="RMT281" s="885"/>
      <c r="RMU281" s="885"/>
      <c r="RMV281" s="885"/>
      <c r="RMW281" s="885"/>
      <c r="RMX281" s="885"/>
      <c r="RMY281" s="885"/>
      <c r="RMZ281" s="885"/>
      <c r="RNA281" s="885"/>
      <c r="RNB281" s="885"/>
      <c r="RNC281" s="885"/>
      <c r="RND281" s="885"/>
      <c r="RNE281" s="885"/>
      <c r="RNF281" s="885"/>
      <c r="RNG281" s="885"/>
      <c r="RNH281" s="885"/>
      <c r="RNI281" s="885"/>
      <c r="RNJ281" s="885"/>
      <c r="RNK281" s="885"/>
      <c r="RNL281" s="885"/>
      <c r="RNM281" s="885"/>
      <c r="RNN281" s="885"/>
      <c r="RNO281" s="885"/>
      <c r="RNP281" s="885"/>
      <c r="RNQ281" s="885"/>
      <c r="RNR281" s="885"/>
      <c r="RNS281" s="885"/>
      <c r="RNT281" s="885"/>
      <c r="RNU281" s="885"/>
      <c r="RNV281" s="885"/>
      <c r="RNW281" s="885"/>
      <c r="RNX281" s="885"/>
      <c r="RNY281" s="885"/>
      <c r="RNZ281" s="885"/>
      <c r="ROA281" s="885"/>
      <c r="ROB281" s="885"/>
      <c r="ROC281" s="885"/>
      <c r="ROD281" s="885"/>
      <c r="ROE281" s="885"/>
      <c r="ROF281" s="885"/>
      <c r="ROG281" s="885"/>
      <c r="ROH281" s="885"/>
      <c r="ROI281" s="885"/>
      <c r="ROJ281" s="885"/>
      <c r="ROK281" s="885"/>
      <c r="ROL281" s="885"/>
      <c r="ROM281" s="885"/>
      <c r="RON281" s="885"/>
      <c r="ROO281" s="885"/>
      <c r="ROP281" s="885"/>
      <c r="ROQ281" s="885"/>
      <c r="ROR281" s="885"/>
      <c r="ROS281" s="885"/>
      <c r="ROT281" s="885"/>
      <c r="ROU281" s="885"/>
      <c r="ROV281" s="885"/>
      <c r="ROW281" s="885"/>
      <c r="ROX281" s="885"/>
      <c r="ROY281" s="885"/>
      <c r="ROZ281" s="885"/>
      <c r="RPA281" s="885"/>
      <c r="RPB281" s="885"/>
      <c r="RPC281" s="885"/>
      <c r="RPD281" s="885"/>
      <c r="RPE281" s="885"/>
      <c r="RPF281" s="885"/>
      <c r="RPG281" s="885"/>
      <c r="RPH281" s="885"/>
      <c r="RPI281" s="885"/>
      <c r="RPJ281" s="885"/>
      <c r="RPK281" s="885"/>
      <c r="RPL281" s="885"/>
      <c r="RPM281" s="885"/>
      <c r="RPN281" s="885"/>
      <c r="RPO281" s="885"/>
      <c r="RPP281" s="885"/>
      <c r="RPQ281" s="885"/>
      <c r="RPR281" s="885"/>
      <c r="RPS281" s="885"/>
      <c r="RPT281" s="885"/>
      <c r="RPU281" s="885"/>
      <c r="RPV281" s="885"/>
      <c r="RPW281" s="885"/>
      <c r="RPX281" s="885"/>
      <c r="RPY281" s="885"/>
      <c r="RPZ281" s="885"/>
      <c r="RQA281" s="885"/>
      <c r="RQB281" s="885"/>
      <c r="RQC281" s="885"/>
      <c r="RQD281" s="885"/>
      <c r="RQE281" s="885"/>
      <c r="RQF281" s="885"/>
      <c r="RQG281" s="885"/>
      <c r="RQH281" s="885"/>
      <c r="RQI281" s="885"/>
      <c r="RQJ281" s="885"/>
      <c r="RQK281" s="885"/>
      <c r="RQL281" s="885"/>
      <c r="RQM281" s="885"/>
      <c r="RQN281" s="885"/>
      <c r="RQO281" s="885"/>
      <c r="RQP281" s="885"/>
      <c r="RQQ281" s="885"/>
      <c r="RQR281" s="885"/>
      <c r="RQS281" s="885"/>
      <c r="RQT281" s="885"/>
      <c r="RQU281" s="885"/>
      <c r="RQV281" s="885"/>
      <c r="RQW281" s="885"/>
      <c r="RQX281" s="885"/>
      <c r="RQY281" s="885"/>
      <c r="RQZ281" s="885"/>
      <c r="RRA281" s="885"/>
      <c r="RRB281" s="885"/>
      <c r="RRC281" s="885"/>
      <c r="RRD281" s="885"/>
      <c r="RRE281" s="885"/>
      <c r="RRF281" s="885"/>
      <c r="RRG281" s="885"/>
      <c r="RRH281" s="885"/>
      <c r="RRI281" s="885"/>
      <c r="RRJ281" s="885"/>
      <c r="RRK281" s="885"/>
      <c r="RRL281" s="885"/>
      <c r="RRM281" s="885"/>
      <c r="RRN281" s="885"/>
      <c r="RRO281" s="885"/>
      <c r="RRP281" s="885"/>
      <c r="RRQ281" s="885"/>
      <c r="RRR281" s="885"/>
      <c r="RRS281" s="885"/>
      <c r="RRT281" s="885"/>
      <c r="RRU281" s="885"/>
      <c r="RRV281" s="885"/>
      <c r="RRW281" s="885"/>
      <c r="RRX281" s="885"/>
      <c r="RRY281" s="885"/>
      <c r="RRZ281" s="885"/>
      <c r="RSA281" s="885"/>
      <c r="RSB281" s="885"/>
      <c r="RSC281" s="885"/>
      <c r="RSD281" s="885"/>
      <c r="RSE281" s="885"/>
      <c r="RSF281" s="885"/>
      <c r="RSG281" s="885"/>
      <c r="RSH281" s="885"/>
      <c r="RSI281" s="885"/>
      <c r="RSJ281" s="885"/>
      <c r="RSK281" s="885"/>
      <c r="RSL281" s="885"/>
      <c r="RSM281" s="885"/>
      <c r="RSN281" s="885"/>
      <c r="RSO281" s="885"/>
      <c r="RSP281" s="885"/>
      <c r="RSQ281" s="885"/>
      <c r="RSR281" s="885"/>
      <c r="RSS281" s="885"/>
      <c r="RST281" s="885"/>
      <c r="RSU281" s="885"/>
      <c r="RSV281" s="885"/>
      <c r="RSW281" s="885"/>
      <c r="RSX281" s="885"/>
      <c r="RSY281" s="885"/>
      <c r="RSZ281" s="885"/>
      <c r="RTA281" s="885"/>
      <c r="RTB281" s="885"/>
      <c r="RTC281" s="885"/>
      <c r="RTD281" s="885"/>
      <c r="RTE281" s="885"/>
      <c r="RTF281" s="885"/>
      <c r="RTG281" s="885"/>
      <c r="RTH281" s="885"/>
      <c r="RTI281" s="885"/>
      <c r="RTJ281" s="885"/>
      <c r="RTK281" s="885"/>
      <c r="RTL281" s="885"/>
      <c r="RTM281" s="885"/>
      <c r="RTN281" s="885"/>
      <c r="RTO281" s="885"/>
      <c r="RTP281" s="885"/>
      <c r="RTQ281" s="885"/>
      <c r="RTR281" s="885"/>
      <c r="RTS281" s="885"/>
      <c r="RTT281" s="885"/>
      <c r="RTU281" s="885"/>
      <c r="RTV281" s="885"/>
      <c r="RTW281" s="885"/>
      <c r="RTX281" s="885"/>
      <c r="RTY281" s="885"/>
      <c r="RTZ281" s="885"/>
      <c r="RUA281" s="885"/>
      <c r="RUB281" s="885"/>
      <c r="RUC281" s="885"/>
      <c r="RUD281" s="885"/>
      <c r="RUE281" s="885"/>
      <c r="RUF281" s="885"/>
      <c r="RUG281" s="885"/>
      <c r="RUH281" s="885"/>
      <c r="RUI281" s="885"/>
      <c r="RUJ281" s="885"/>
      <c r="RUK281" s="885"/>
      <c r="RUL281" s="885"/>
      <c r="RUM281" s="885"/>
      <c r="RUN281" s="885"/>
      <c r="RUO281" s="885"/>
      <c r="RUP281" s="885"/>
      <c r="RUQ281" s="885"/>
      <c r="RUR281" s="885"/>
      <c r="RUS281" s="885"/>
      <c r="RUT281" s="885"/>
      <c r="RUU281" s="885"/>
      <c r="RUV281" s="885"/>
      <c r="RUW281" s="885"/>
      <c r="RUX281" s="885"/>
      <c r="RUY281" s="885"/>
      <c r="RUZ281" s="885"/>
      <c r="RVA281" s="885"/>
      <c r="RVB281" s="885"/>
      <c r="RVC281" s="885"/>
      <c r="RVD281" s="885"/>
      <c r="RVE281" s="885"/>
      <c r="RVF281" s="885"/>
      <c r="RVG281" s="885"/>
      <c r="RVH281" s="885"/>
      <c r="RVI281" s="885"/>
      <c r="RVJ281" s="885"/>
      <c r="RVK281" s="885"/>
      <c r="RVL281" s="885"/>
      <c r="RVM281" s="885"/>
      <c r="RVN281" s="885"/>
      <c r="RVO281" s="885"/>
      <c r="RVP281" s="885"/>
      <c r="RVQ281" s="885"/>
      <c r="RVR281" s="885"/>
      <c r="RVS281" s="885"/>
      <c r="RVT281" s="885"/>
      <c r="RVU281" s="885"/>
      <c r="RVV281" s="885"/>
      <c r="RVW281" s="885"/>
      <c r="RVX281" s="885"/>
      <c r="RVY281" s="885"/>
      <c r="RVZ281" s="885"/>
      <c r="RWA281" s="885"/>
      <c r="RWB281" s="885"/>
      <c r="RWC281" s="885"/>
      <c r="RWD281" s="885"/>
      <c r="RWE281" s="885"/>
      <c r="RWF281" s="885"/>
      <c r="RWG281" s="885"/>
      <c r="RWH281" s="885"/>
      <c r="RWI281" s="885"/>
      <c r="RWJ281" s="885"/>
      <c r="RWK281" s="885"/>
      <c r="RWL281" s="885"/>
      <c r="RWM281" s="885"/>
      <c r="RWN281" s="885"/>
      <c r="RWO281" s="885"/>
      <c r="RWP281" s="885"/>
      <c r="RWQ281" s="885"/>
      <c r="RWR281" s="885"/>
      <c r="RWS281" s="885"/>
      <c r="RWT281" s="885"/>
      <c r="RWU281" s="885"/>
      <c r="RWV281" s="885"/>
      <c r="RWW281" s="885"/>
      <c r="RWX281" s="885"/>
      <c r="RWY281" s="885"/>
      <c r="RWZ281" s="885"/>
      <c r="RXA281" s="885"/>
      <c r="RXB281" s="885"/>
      <c r="RXC281" s="885"/>
      <c r="RXD281" s="885"/>
      <c r="RXE281" s="885"/>
      <c r="RXF281" s="885"/>
      <c r="RXG281" s="885"/>
      <c r="RXH281" s="885"/>
      <c r="RXI281" s="885"/>
      <c r="RXJ281" s="885"/>
      <c r="RXK281" s="885"/>
      <c r="RXL281" s="885"/>
      <c r="RXM281" s="885"/>
      <c r="RXN281" s="885"/>
      <c r="RXO281" s="885"/>
      <c r="RXP281" s="885"/>
      <c r="RXQ281" s="885"/>
      <c r="RXR281" s="885"/>
      <c r="RXS281" s="885"/>
      <c r="RXT281" s="885"/>
      <c r="RXU281" s="885"/>
      <c r="RXV281" s="885"/>
      <c r="RXW281" s="885"/>
      <c r="RXX281" s="885"/>
      <c r="RXY281" s="885"/>
      <c r="RXZ281" s="885"/>
      <c r="RYA281" s="885"/>
      <c r="RYB281" s="885"/>
      <c r="RYC281" s="885"/>
      <c r="RYD281" s="885"/>
      <c r="RYE281" s="885"/>
      <c r="RYF281" s="885"/>
      <c r="RYG281" s="885"/>
      <c r="RYH281" s="885"/>
      <c r="RYI281" s="885"/>
      <c r="RYJ281" s="885"/>
      <c r="RYK281" s="885"/>
      <c r="RYL281" s="885"/>
      <c r="RYM281" s="885"/>
      <c r="RYN281" s="885"/>
      <c r="RYO281" s="885"/>
      <c r="RYP281" s="885"/>
      <c r="RYQ281" s="885"/>
      <c r="RYR281" s="885"/>
      <c r="RYS281" s="885"/>
      <c r="RYT281" s="885"/>
      <c r="RYU281" s="885"/>
      <c r="RYV281" s="885"/>
      <c r="RYW281" s="885"/>
      <c r="RYX281" s="885"/>
      <c r="RYY281" s="885"/>
      <c r="RYZ281" s="885"/>
      <c r="RZA281" s="885"/>
      <c r="RZB281" s="885"/>
      <c r="RZC281" s="885"/>
      <c r="RZD281" s="885"/>
      <c r="RZE281" s="885"/>
      <c r="RZF281" s="885"/>
      <c r="RZG281" s="885"/>
      <c r="RZH281" s="885"/>
      <c r="RZI281" s="885"/>
      <c r="RZJ281" s="885"/>
      <c r="RZK281" s="885"/>
      <c r="RZL281" s="885"/>
      <c r="RZM281" s="885"/>
      <c r="RZN281" s="885"/>
      <c r="RZO281" s="885"/>
      <c r="RZP281" s="885"/>
      <c r="RZQ281" s="885"/>
      <c r="RZR281" s="885"/>
      <c r="RZS281" s="885"/>
      <c r="RZT281" s="885"/>
      <c r="RZU281" s="885"/>
      <c r="RZV281" s="885"/>
      <c r="RZW281" s="885"/>
      <c r="RZX281" s="885"/>
      <c r="RZY281" s="885"/>
      <c r="RZZ281" s="885"/>
      <c r="SAA281" s="885"/>
      <c r="SAB281" s="885"/>
      <c r="SAC281" s="885"/>
      <c r="SAD281" s="885"/>
      <c r="SAE281" s="885"/>
      <c r="SAF281" s="885"/>
      <c r="SAG281" s="885"/>
      <c r="SAH281" s="885"/>
      <c r="SAI281" s="885"/>
      <c r="SAJ281" s="885"/>
      <c r="SAK281" s="885"/>
      <c r="SAL281" s="885"/>
      <c r="SAM281" s="885"/>
      <c r="SAN281" s="885"/>
      <c r="SAO281" s="885"/>
      <c r="SAP281" s="885"/>
      <c r="SAQ281" s="885"/>
      <c r="SAR281" s="885"/>
      <c r="SAS281" s="885"/>
      <c r="SAT281" s="885"/>
      <c r="SAU281" s="885"/>
      <c r="SAV281" s="885"/>
      <c r="SAW281" s="885"/>
      <c r="SAX281" s="885"/>
      <c r="SAY281" s="885"/>
      <c r="SAZ281" s="885"/>
      <c r="SBA281" s="885"/>
      <c r="SBB281" s="885"/>
      <c r="SBC281" s="885"/>
      <c r="SBD281" s="885"/>
      <c r="SBE281" s="885"/>
      <c r="SBF281" s="885"/>
      <c r="SBG281" s="885"/>
      <c r="SBH281" s="885"/>
      <c r="SBI281" s="885"/>
      <c r="SBJ281" s="885"/>
      <c r="SBK281" s="885"/>
      <c r="SBL281" s="885"/>
      <c r="SBM281" s="885"/>
      <c r="SBN281" s="885"/>
      <c r="SBO281" s="885"/>
      <c r="SBP281" s="885"/>
      <c r="SBQ281" s="885"/>
      <c r="SBR281" s="885"/>
      <c r="SBS281" s="885"/>
      <c r="SBT281" s="885"/>
      <c r="SBU281" s="885"/>
      <c r="SBV281" s="885"/>
      <c r="SBW281" s="885"/>
      <c r="SBX281" s="885"/>
      <c r="SBY281" s="885"/>
      <c r="SBZ281" s="885"/>
      <c r="SCA281" s="885"/>
      <c r="SCB281" s="885"/>
      <c r="SCC281" s="885"/>
      <c r="SCD281" s="885"/>
      <c r="SCE281" s="885"/>
      <c r="SCF281" s="885"/>
      <c r="SCG281" s="885"/>
      <c r="SCH281" s="885"/>
      <c r="SCI281" s="885"/>
      <c r="SCJ281" s="885"/>
      <c r="SCK281" s="885"/>
      <c r="SCL281" s="885"/>
      <c r="SCM281" s="885"/>
      <c r="SCN281" s="885"/>
      <c r="SCO281" s="885"/>
      <c r="SCP281" s="885"/>
      <c r="SCQ281" s="885"/>
      <c r="SCR281" s="885"/>
      <c r="SCS281" s="885"/>
      <c r="SCT281" s="885"/>
      <c r="SCU281" s="885"/>
      <c r="SCV281" s="885"/>
      <c r="SCW281" s="885"/>
      <c r="SCX281" s="885"/>
      <c r="SCY281" s="885"/>
      <c r="SCZ281" s="885"/>
      <c r="SDA281" s="885"/>
      <c r="SDB281" s="885"/>
      <c r="SDC281" s="885"/>
      <c r="SDD281" s="885"/>
      <c r="SDE281" s="885"/>
      <c r="SDF281" s="885"/>
      <c r="SDG281" s="885"/>
      <c r="SDH281" s="885"/>
      <c r="SDI281" s="885"/>
      <c r="SDJ281" s="885"/>
      <c r="SDK281" s="885"/>
      <c r="SDL281" s="885"/>
      <c r="SDM281" s="885"/>
      <c r="SDN281" s="885"/>
      <c r="SDO281" s="885"/>
      <c r="SDP281" s="885"/>
      <c r="SDQ281" s="885"/>
      <c r="SDR281" s="885"/>
      <c r="SDS281" s="885"/>
      <c r="SDT281" s="885"/>
      <c r="SDU281" s="885"/>
      <c r="SDV281" s="885"/>
      <c r="SDW281" s="885"/>
      <c r="SDX281" s="885"/>
      <c r="SDY281" s="885"/>
      <c r="SDZ281" s="885"/>
      <c r="SEA281" s="885"/>
      <c r="SEB281" s="885"/>
      <c r="SEC281" s="885"/>
      <c r="SED281" s="885"/>
      <c r="SEE281" s="885"/>
      <c r="SEF281" s="885"/>
      <c r="SEG281" s="885"/>
      <c r="SEH281" s="885"/>
      <c r="SEI281" s="885"/>
      <c r="SEJ281" s="885"/>
      <c r="SEK281" s="885"/>
      <c r="SEL281" s="885"/>
      <c r="SEM281" s="885"/>
      <c r="SEN281" s="885"/>
      <c r="SEO281" s="885"/>
      <c r="SEP281" s="885"/>
      <c r="SEQ281" s="885"/>
      <c r="SER281" s="885"/>
      <c r="SES281" s="885"/>
      <c r="SET281" s="885"/>
      <c r="SEU281" s="885"/>
      <c r="SEV281" s="885"/>
      <c r="SEW281" s="885"/>
      <c r="SEX281" s="885"/>
      <c r="SEY281" s="885"/>
      <c r="SEZ281" s="885"/>
      <c r="SFA281" s="885"/>
      <c r="SFB281" s="885"/>
      <c r="SFC281" s="885"/>
      <c r="SFD281" s="885"/>
      <c r="SFE281" s="885"/>
      <c r="SFF281" s="885"/>
      <c r="SFG281" s="885"/>
      <c r="SFH281" s="885"/>
      <c r="SFI281" s="885"/>
      <c r="SFJ281" s="885"/>
      <c r="SFK281" s="885"/>
      <c r="SFL281" s="885"/>
      <c r="SFM281" s="885"/>
      <c r="SFN281" s="885"/>
      <c r="SFO281" s="885"/>
      <c r="SFP281" s="885"/>
      <c r="SFQ281" s="885"/>
      <c r="SFR281" s="885"/>
      <c r="SFS281" s="885"/>
      <c r="SFT281" s="885"/>
      <c r="SFU281" s="885"/>
      <c r="SFV281" s="885"/>
      <c r="SFW281" s="885"/>
      <c r="SFX281" s="885"/>
      <c r="SFY281" s="885"/>
      <c r="SFZ281" s="885"/>
      <c r="SGA281" s="885"/>
      <c r="SGB281" s="885"/>
      <c r="SGC281" s="885"/>
      <c r="SGD281" s="885"/>
      <c r="SGE281" s="885"/>
      <c r="SGF281" s="885"/>
      <c r="SGG281" s="885"/>
      <c r="SGH281" s="885"/>
      <c r="SGI281" s="885"/>
      <c r="SGJ281" s="885"/>
      <c r="SGK281" s="885"/>
      <c r="SGL281" s="885"/>
      <c r="SGM281" s="885"/>
      <c r="SGN281" s="885"/>
      <c r="SGO281" s="885"/>
      <c r="SGP281" s="885"/>
      <c r="SGQ281" s="885"/>
      <c r="SGR281" s="885"/>
      <c r="SGS281" s="885"/>
      <c r="SGT281" s="885"/>
      <c r="SGU281" s="885"/>
      <c r="SGV281" s="885"/>
      <c r="SGW281" s="885"/>
      <c r="SGX281" s="885"/>
      <c r="SGY281" s="885"/>
      <c r="SGZ281" s="885"/>
      <c r="SHA281" s="885"/>
      <c r="SHB281" s="885"/>
      <c r="SHC281" s="885"/>
      <c r="SHD281" s="885"/>
      <c r="SHE281" s="885"/>
      <c r="SHF281" s="885"/>
      <c r="SHG281" s="885"/>
      <c r="SHH281" s="885"/>
      <c r="SHI281" s="885"/>
      <c r="SHJ281" s="885"/>
      <c r="SHK281" s="885"/>
      <c r="SHL281" s="885"/>
      <c r="SHM281" s="885"/>
      <c r="SHN281" s="885"/>
      <c r="SHO281" s="885"/>
      <c r="SHP281" s="885"/>
      <c r="SHQ281" s="885"/>
      <c r="SHR281" s="885"/>
      <c r="SHS281" s="885"/>
      <c r="SHT281" s="885"/>
      <c r="SHU281" s="885"/>
      <c r="SHV281" s="885"/>
      <c r="SHW281" s="885"/>
      <c r="SHX281" s="885"/>
      <c r="SHY281" s="885"/>
      <c r="SHZ281" s="885"/>
      <c r="SIA281" s="885"/>
      <c r="SIB281" s="885"/>
      <c r="SIC281" s="885"/>
      <c r="SID281" s="885"/>
      <c r="SIE281" s="885"/>
      <c r="SIF281" s="885"/>
      <c r="SIG281" s="885"/>
      <c r="SIH281" s="885"/>
      <c r="SII281" s="885"/>
      <c r="SIJ281" s="885"/>
      <c r="SIK281" s="885"/>
      <c r="SIL281" s="885"/>
      <c r="SIM281" s="885"/>
      <c r="SIN281" s="885"/>
      <c r="SIO281" s="885"/>
      <c r="SIP281" s="885"/>
      <c r="SIQ281" s="885"/>
      <c r="SIR281" s="885"/>
      <c r="SIS281" s="885"/>
      <c r="SIT281" s="885"/>
      <c r="SIU281" s="885"/>
      <c r="SIV281" s="885"/>
      <c r="SIW281" s="885"/>
      <c r="SIX281" s="885"/>
      <c r="SIY281" s="885"/>
      <c r="SIZ281" s="885"/>
      <c r="SJA281" s="885"/>
      <c r="SJB281" s="885"/>
      <c r="SJC281" s="885"/>
      <c r="SJD281" s="885"/>
      <c r="SJE281" s="885"/>
      <c r="SJF281" s="885"/>
      <c r="SJG281" s="885"/>
      <c r="SJH281" s="885"/>
      <c r="SJI281" s="885"/>
      <c r="SJJ281" s="885"/>
      <c r="SJK281" s="885"/>
      <c r="SJL281" s="885"/>
      <c r="SJM281" s="885"/>
      <c r="SJN281" s="885"/>
      <c r="SJO281" s="885"/>
      <c r="SJP281" s="885"/>
      <c r="SJQ281" s="885"/>
      <c r="SJR281" s="885"/>
      <c r="SJS281" s="885"/>
      <c r="SJT281" s="885"/>
      <c r="SJU281" s="885"/>
      <c r="SJV281" s="885"/>
      <c r="SJW281" s="885"/>
      <c r="SJX281" s="885"/>
      <c r="SJY281" s="885"/>
      <c r="SJZ281" s="885"/>
      <c r="SKA281" s="885"/>
      <c r="SKB281" s="885"/>
      <c r="SKC281" s="885"/>
      <c r="SKD281" s="885"/>
      <c r="SKE281" s="885"/>
      <c r="SKF281" s="885"/>
      <c r="SKG281" s="885"/>
      <c r="SKH281" s="885"/>
      <c r="SKI281" s="885"/>
      <c r="SKJ281" s="885"/>
      <c r="SKK281" s="885"/>
      <c r="SKL281" s="885"/>
      <c r="SKM281" s="885"/>
      <c r="SKN281" s="885"/>
      <c r="SKO281" s="885"/>
      <c r="SKP281" s="885"/>
      <c r="SKQ281" s="885"/>
      <c r="SKR281" s="885"/>
      <c r="SKS281" s="885"/>
      <c r="SKT281" s="885"/>
      <c r="SKU281" s="885"/>
      <c r="SKV281" s="885"/>
      <c r="SKW281" s="885"/>
      <c r="SKX281" s="885"/>
      <c r="SKY281" s="885"/>
      <c r="SKZ281" s="885"/>
      <c r="SLA281" s="885"/>
      <c r="SLB281" s="885"/>
      <c r="SLC281" s="885"/>
      <c r="SLD281" s="885"/>
      <c r="SLE281" s="885"/>
      <c r="SLF281" s="885"/>
      <c r="SLG281" s="885"/>
      <c r="SLH281" s="885"/>
      <c r="SLI281" s="885"/>
      <c r="SLJ281" s="885"/>
      <c r="SLK281" s="885"/>
      <c r="SLL281" s="885"/>
      <c r="SLM281" s="885"/>
      <c r="SLN281" s="885"/>
      <c r="SLO281" s="885"/>
      <c r="SLP281" s="885"/>
      <c r="SLQ281" s="885"/>
      <c r="SLR281" s="885"/>
      <c r="SLS281" s="885"/>
      <c r="SLT281" s="885"/>
      <c r="SLU281" s="885"/>
      <c r="SLV281" s="885"/>
      <c r="SLW281" s="885"/>
      <c r="SLX281" s="885"/>
      <c r="SLY281" s="885"/>
      <c r="SLZ281" s="885"/>
      <c r="SMA281" s="885"/>
      <c r="SMB281" s="885"/>
      <c r="SMC281" s="885"/>
      <c r="SMD281" s="885"/>
      <c r="SME281" s="885"/>
      <c r="SMF281" s="885"/>
      <c r="SMG281" s="885"/>
      <c r="SMH281" s="885"/>
      <c r="SMI281" s="885"/>
      <c r="SMJ281" s="885"/>
      <c r="SMK281" s="885"/>
      <c r="SML281" s="885"/>
      <c r="SMM281" s="885"/>
      <c r="SMN281" s="885"/>
      <c r="SMO281" s="885"/>
      <c r="SMP281" s="885"/>
      <c r="SMQ281" s="885"/>
      <c r="SMR281" s="885"/>
      <c r="SMS281" s="885"/>
      <c r="SMT281" s="885"/>
      <c r="SMU281" s="885"/>
      <c r="SMV281" s="885"/>
      <c r="SMW281" s="885"/>
      <c r="SMX281" s="885"/>
      <c r="SMY281" s="885"/>
      <c r="SMZ281" s="885"/>
      <c r="SNA281" s="885"/>
      <c r="SNB281" s="885"/>
      <c r="SNC281" s="885"/>
      <c r="SND281" s="885"/>
      <c r="SNE281" s="885"/>
      <c r="SNF281" s="885"/>
      <c r="SNG281" s="885"/>
      <c r="SNH281" s="885"/>
      <c r="SNI281" s="885"/>
      <c r="SNJ281" s="885"/>
      <c r="SNK281" s="885"/>
      <c r="SNL281" s="885"/>
      <c r="SNM281" s="885"/>
      <c r="SNN281" s="885"/>
      <c r="SNO281" s="885"/>
      <c r="SNP281" s="885"/>
      <c r="SNQ281" s="885"/>
      <c r="SNR281" s="885"/>
      <c r="SNS281" s="885"/>
      <c r="SNT281" s="885"/>
      <c r="SNU281" s="885"/>
      <c r="SNV281" s="885"/>
      <c r="SNW281" s="885"/>
      <c r="SNX281" s="885"/>
      <c r="SNY281" s="885"/>
      <c r="SNZ281" s="885"/>
      <c r="SOA281" s="885"/>
      <c r="SOB281" s="885"/>
      <c r="SOC281" s="885"/>
      <c r="SOD281" s="885"/>
      <c r="SOE281" s="885"/>
      <c r="SOF281" s="885"/>
      <c r="SOG281" s="885"/>
      <c r="SOH281" s="885"/>
      <c r="SOI281" s="885"/>
      <c r="SOJ281" s="885"/>
      <c r="SOK281" s="885"/>
      <c r="SOL281" s="885"/>
      <c r="SOM281" s="885"/>
      <c r="SON281" s="885"/>
      <c r="SOO281" s="885"/>
      <c r="SOP281" s="885"/>
      <c r="SOQ281" s="885"/>
      <c r="SOR281" s="885"/>
      <c r="SOS281" s="885"/>
      <c r="SOT281" s="885"/>
      <c r="SOU281" s="885"/>
      <c r="SOV281" s="885"/>
      <c r="SOW281" s="885"/>
      <c r="SOX281" s="885"/>
      <c r="SOY281" s="885"/>
      <c r="SOZ281" s="885"/>
      <c r="SPA281" s="885"/>
      <c r="SPB281" s="885"/>
      <c r="SPC281" s="885"/>
      <c r="SPD281" s="885"/>
      <c r="SPE281" s="885"/>
      <c r="SPF281" s="885"/>
      <c r="SPG281" s="885"/>
      <c r="SPH281" s="885"/>
      <c r="SPI281" s="885"/>
      <c r="SPJ281" s="885"/>
      <c r="SPK281" s="885"/>
      <c r="SPL281" s="885"/>
      <c r="SPM281" s="885"/>
      <c r="SPN281" s="885"/>
      <c r="SPO281" s="885"/>
      <c r="SPP281" s="885"/>
      <c r="SPQ281" s="885"/>
      <c r="SPR281" s="885"/>
      <c r="SPS281" s="885"/>
      <c r="SPT281" s="885"/>
      <c r="SPU281" s="885"/>
      <c r="SPV281" s="885"/>
      <c r="SPW281" s="885"/>
      <c r="SPX281" s="885"/>
      <c r="SPY281" s="885"/>
      <c r="SPZ281" s="885"/>
      <c r="SQA281" s="885"/>
      <c r="SQB281" s="885"/>
      <c r="SQC281" s="885"/>
      <c r="SQD281" s="885"/>
      <c r="SQE281" s="885"/>
      <c r="SQF281" s="885"/>
      <c r="SQG281" s="885"/>
      <c r="SQH281" s="885"/>
      <c r="SQI281" s="885"/>
      <c r="SQJ281" s="885"/>
      <c r="SQK281" s="885"/>
      <c r="SQL281" s="885"/>
      <c r="SQM281" s="885"/>
      <c r="SQN281" s="885"/>
      <c r="SQO281" s="885"/>
      <c r="SQP281" s="885"/>
      <c r="SQQ281" s="885"/>
      <c r="SQR281" s="885"/>
      <c r="SQS281" s="885"/>
      <c r="SQT281" s="885"/>
      <c r="SQU281" s="885"/>
      <c r="SQV281" s="885"/>
      <c r="SQW281" s="885"/>
      <c r="SQX281" s="885"/>
      <c r="SQY281" s="885"/>
      <c r="SQZ281" s="885"/>
      <c r="SRA281" s="885"/>
      <c r="SRB281" s="885"/>
      <c r="SRC281" s="885"/>
      <c r="SRD281" s="885"/>
      <c r="SRE281" s="885"/>
      <c r="SRF281" s="885"/>
      <c r="SRG281" s="885"/>
      <c r="SRH281" s="885"/>
      <c r="SRI281" s="885"/>
      <c r="SRJ281" s="885"/>
      <c r="SRK281" s="885"/>
      <c r="SRL281" s="885"/>
      <c r="SRM281" s="885"/>
      <c r="SRN281" s="885"/>
      <c r="SRO281" s="885"/>
      <c r="SRP281" s="885"/>
      <c r="SRQ281" s="885"/>
      <c r="SRR281" s="885"/>
      <c r="SRS281" s="885"/>
      <c r="SRT281" s="885"/>
      <c r="SRU281" s="885"/>
      <c r="SRV281" s="885"/>
      <c r="SRW281" s="885"/>
      <c r="SRX281" s="885"/>
      <c r="SRY281" s="885"/>
      <c r="SRZ281" s="885"/>
      <c r="SSA281" s="885"/>
      <c r="SSB281" s="885"/>
      <c r="SSC281" s="885"/>
      <c r="SSD281" s="885"/>
      <c r="SSE281" s="885"/>
      <c r="SSF281" s="885"/>
      <c r="SSG281" s="885"/>
      <c r="SSH281" s="885"/>
      <c r="SSI281" s="885"/>
      <c r="SSJ281" s="885"/>
      <c r="SSK281" s="885"/>
      <c r="SSL281" s="885"/>
      <c r="SSM281" s="885"/>
      <c r="SSN281" s="885"/>
      <c r="SSO281" s="885"/>
      <c r="SSP281" s="885"/>
      <c r="SSQ281" s="885"/>
      <c r="SSR281" s="885"/>
      <c r="SSS281" s="885"/>
      <c r="SST281" s="885"/>
      <c r="SSU281" s="885"/>
      <c r="SSV281" s="885"/>
      <c r="SSW281" s="885"/>
      <c r="SSX281" s="885"/>
      <c r="SSY281" s="885"/>
      <c r="SSZ281" s="885"/>
      <c r="STA281" s="885"/>
      <c r="STB281" s="885"/>
      <c r="STC281" s="885"/>
      <c r="STD281" s="885"/>
      <c r="STE281" s="885"/>
      <c r="STF281" s="885"/>
      <c r="STG281" s="885"/>
      <c r="STH281" s="885"/>
      <c r="STI281" s="885"/>
      <c r="STJ281" s="885"/>
      <c r="STK281" s="885"/>
      <c r="STL281" s="885"/>
      <c r="STM281" s="885"/>
      <c r="STN281" s="885"/>
      <c r="STO281" s="885"/>
      <c r="STP281" s="885"/>
      <c r="STQ281" s="885"/>
      <c r="STR281" s="885"/>
      <c r="STS281" s="885"/>
      <c r="STT281" s="885"/>
      <c r="STU281" s="885"/>
      <c r="STV281" s="885"/>
      <c r="STW281" s="885"/>
      <c r="STX281" s="885"/>
      <c r="STY281" s="885"/>
      <c r="STZ281" s="885"/>
      <c r="SUA281" s="885"/>
      <c r="SUB281" s="885"/>
      <c r="SUC281" s="885"/>
      <c r="SUD281" s="885"/>
      <c r="SUE281" s="885"/>
      <c r="SUF281" s="885"/>
      <c r="SUG281" s="885"/>
      <c r="SUH281" s="885"/>
      <c r="SUI281" s="885"/>
      <c r="SUJ281" s="885"/>
      <c r="SUK281" s="885"/>
      <c r="SUL281" s="885"/>
      <c r="SUM281" s="885"/>
      <c r="SUN281" s="885"/>
      <c r="SUO281" s="885"/>
      <c r="SUP281" s="885"/>
      <c r="SUQ281" s="885"/>
      <c r="SUR281" s="885"/>
      <c r="SUS281" s="885"/>
      <c r="SUT281" s="885"/>
      <c r="SUU281" s="885"/>
      <c r="SUV281" s="885"/>
      <c r="SUW281" s="885"/>
      <c r="SUX281" s="885"/>
      <c r="SUY281" s="885"/>
      <c r="SUZ281" s="885"/>
      <c r="SVA281" s="885"/>
      <c r="SVB281" s="885"/>
      <c r="SVC281" s="885"/>
      <c r="SVD281" s="885"/>
      <c r="SVE281" s="885"/>
      <c r="SVF281" s="885"/>
      <c r="SVG281" s="885"/>
      <c r="SVH281" s="885"/>
      <c r="SVI281" s="885"/>
      <c r="SVJ281" s="885"/>
      <c r="SVK281" s="885"/>
      <c r="SVL281" s="885"/>
      <c r="SVM281" s="885"/>
      <c r="SVN281" s="885"/>
      <c r="SVO281" s="885"/>
      <c r="SVP281" s="885"/>
      <c r="SVQ281" s="885"/>
      <c r="SVR281" s="885"/>
      <c r="SVS281" s="885"/>
      <c r="SVT281" s="885"/>
      <c r="SVU281" s="885"/>
      <c r="SVV281" s="885"/>
      <c r="SVW281" s="885"/>
      <c r="SVX281" s="885"/>
      <c r="SVY281" s="885"/>
      <c r="SVZ281" s="885"/>
      <c r="SWA281" s="885"/>
      <c r="SWB281" s="885"/>
      <c r="SWC281" s="885"/>
      <c r="SWD281" s="885"/>
      <c r="SWE281" s="885"/>
      <c r="SWF281" s="885"/>
      <c r="SWG281" s="885"/>
      <c r="SWH281" s="885"/>
      <c r="SWI281" s="885"/>
      <c r="SWJ281" s="885"/>
      <c r="SWK281" s="885"/>
      <c r="SWL281" s="885"/>
      <c r="SWM281" s="885"/>
      <c r="SWN281" s="885"/>
      <c r="SWO281" s="885"/>
      <c r="SWP281" s="885"/>
      <c r="SWQ281" s="885"/>
      <c r="SWR281" s="885"/>
      <c r="SWS281" s="885"/>
      <c r="SWT281" s="885"/>
      <c r="SWU281" s="885"/>
      <c r="SWV281" s="885"/>
      <c r="SWW281" s="885"/>
      <c r="SWX281" s="885"/>
      <c r="SWY281" s="885"/>
      <c r="SWZ281" s="885"/>
      <c r="SXA281" s="885"/>
      <c r="SXB281" s="885"/>
      <c r="SXC281" s="885"/>
      <c r="SXD281" s="885"/>
      <c r="SXE281" s="885"/>
      <c r="SXF281" s="885"/>
      <c r="SXG281" s="885"/>
      <c r="SXH281" s="885"/>
      <c r="SXI281" s="885"/>
      <c r="SXJ281" s="885"/>
      <c r="SXK281" s="885"/>
      <c r="SXL281" s="885"/>
      <c r="SXM281" s="885"/>
      <c r="SXN281" s="885"/>
      <c r="SXO281" s="885"/>
      <c r="SXP281" s="885"/>
      <c r="SXQ281" s="885"/>
      <c r="SXR281" s="885"/>
      <c r="SXS281" s="885"/>
      <c r="SXT281" s="885"/>
      <c r="SXU281" s="885"/>
      <c r="SXV281" s="885"/>
      <c r="SXW281" s="885"/>
      <c r="SXX281" s="885"/>
      <c r="SXY281" s="885"/>
      <c r="SXZ281" s="885"/>
      <c r="SYA281" s="885"/>
      <c r="SYB281" s="885"/>
      <c r="SYC281" s="885"/>
      <c r="SYD281" s="885"/>
      <c r="SYE281" s="885"/>
      <c r="SYF281" s="885"/>
      <c r="SYG281" s="885"/>
      <c r="SYH281" s="885"/>
      <c r="SYI281" s="885"/>
      <c r="SYJ281" s="885"/>
      <c r="SYK281" s="885"/>
      <c r="SYL281" s="885"/>
      <c r="SYM281" s="885"/>
      <c r="SYN281" s="885"/>
      <c r="SYO281" s="885"/>
      <c r="SYP281" s="885"/>
      <c r="SYQ281" s="885"/>
      <c r="SYR281" s="885"/>
      <c r="SYS281" s="885"/>
      <c r="SYT281" s="885"/>
      <c r="SYU281" s="885"/>
      <c r="SYV281" s="885"/>
      <c r="SYW281" s="885"/>
      <c r="SYX281" s="885"/>
      <c r="SYY281" s="885"/>
      <c r="SYZ281" s="885"/>
      <c r="SZA281" s="885"/>
      <c r="SZB281" s="885"/>
      <c r="SZC281" s="885"/>
      <c r="SZD281" s="885"/>
      <c r="SZE281" s="885"/>
      <c r="SZF281" s="885"/>
      <c r="SZG281" s="885"/>
      <c r="SZH281" s="885"/>
      <c r="SZI281" s="885"/>
      <c r="SZJ281" s="885"/>
      <c r="SZK281" s="885"/>
      <c r="SZL281" s="885"/>
      <c r="SZM281" s="885"/>
      <c r="SZN281" s="885"/>
      <c r="SZO281" s="885"/>
      <c r="SZP281" s="885"/>
      <c r="SZQ281" s="885"/>
      <c r="SZR281" s="885"/>
      <c r="SZS281" s="885"/>
      <c r="SZT281" s="885"/>
      <c r="SZU281" s="885"/>
      <c r="SZV281" s="885"/>
      <c r="SZW281" s="885"/>
      <c r="SZX281" s="885"/>
      <c r="SZY281" s="885"/>
      <c r="SZZ281" s="885"/>
      <c r="TAA281" s="885"/>
      <c r="TAB281" s="885"/>
      <c r="TAC281" s="885"/>
      <c r="TAD281" s="885"/>
      <c r="TAE281" s="885"/>
      <c r="TAF281" s="885"/>
      <c r="TAG281" s="885"/>
      <c r="TAH281" s="885"/>
      <c r="TAI281" s="885"/>
      <c r="TAJ281" s="885"/>
      <c r="TAK281" s="885"/>
      <c r="TAL281" s="885"/>
      <c r="TAM281" s="885"/>
      <c r="TAN281" s="885"/>
      <c r="TAO281" s="885"/>
      <c r="TAP281" s="885"/>
      <c r="TAQ281" s="885"/>
      <c r="TAR281" s="885"/>
      <c r="TAS281" s="885"/>
      <c r="TAT281" s="885"/>
      <c r="TAU281" s="885"/>
      <c r="TAV281" s="885"/>
      <c r="TAW281" s="885"/>
      <c r="TAX281" s="885"/>
      <c r="TAY281" s="885"/>
      <c r="TAZ281" s="885"/>
      <c r="TBA281" s="885"/>
      <c r="TBB281" s="885"/>
      <c r="TBC281" s="885"/>
      <c r="TBD281" s="885"/>
      <c r="TBE281" s="885"/>
      <c r="TBF281" s="885"/>
      <c r="TBG281" s="885"/>
      <c r="TBH281" s="885"/>
      <c r="TBI281" s="885"/>
      <c r="TBJ281" s="885"/>
      <c r="TBK281" s="885"/>
      <c r="TBL281" s="885"/>
      <c r="TBM281" s="885"/>
      <c r="TBN281" s="885"/>
      <c r="TBO281" s="885"/>
      <c r="TBP281" s="885"/>
      <c r="TBQ281" s="885"/>
      <c r="TBR281" s="885"/>
      <c r="TBS281" s="885"/>
      <c r="TBT281" s="885"/>
      <c r="TBU281" s="885"/>
      <c r="TBV281" s="885"/>
      <c r="TBW281" s="885"/>
      <c r="TBX281" s="885"/>
      <c r="TBY281" s="885"/>
      <c r="TBZ281" s="885"/>
      <c r="TCA281" s="885"/>
      <c r="TCB281" s="885"/>
      <c r="TCC281" s="885"/>
      <c r="TCD281" s="885"/>
      <c r="TCE281" s="885"/>
      <c r="TCF281" s="885"/>
      <c r="TCG281" s="885"/>
      <c r="TCH281" s="885"/>
      <c r="TCI281" s="885"/>
      <c r="TCJ281" s="885"/>
      <c r="TCK281" s="885"/>
      <c r="TCL281" s="885"/>
      <c r="TCM281" s="885"/>
      <c r="TCN281" s="885"/>
      <c r="TCO281" s="885"/>
      <c r="TCP281" s="885"/>
      <c r="TCQ281" s="885"/>
      <c r="TCR281" s="885"/>
      <c r="TCS281" s="885"/>
      <c r="TCT281" s="885"/>
      <c r="TCU281" s="885"/>
      <c r="TCV281" s="885"/>
      <c r="TCW281" s="885"/>
      <c r="TCX281" s="885"/>
      <c r="TCY281" s="885"/>
      <c r="TCZ281" s="885"/>
      <c r="TDA281" s="885"/>
      <c r="TDB281" s="885"/>
      <c r="TDC281" s="885"/>
      <c r="TDD281" s="885"/>
      <c r="TDE281" s="885"/>
      <c r="TDF281" s="885"/>
      <c r="TDG281" s="885"/>
      <c r="TDH281" s="885"/>
      <c r="TDI281" s="885"/>
      <c r="TDJ281" s="885"/>
      <c r="TDK281" s="885"/>
      <c r="TDL281" s="885"/>
      <c r="TDM281" s="885"/>
      <c r="TDN281" s="885"/>
      <c r="TDO281" s="885"/>
      <c r="TDP281" s="885"/>
      <c r="TDQ281" s="885"/>
      <c r="TDR281" s="885"/>
      <c r="TDS281" s="885"/>
      <c r="TDT281" s="885"/>
      <c r="TDU281" s="885"/>
      <c r="TDV281" s="885"/>
      <c r="TDW281" s="885"/>
      <c r="TDX281" s="885"/>
      <c r="TDY281" s="885"/>
      <c r="TDZ281" s="885"/>
      <c r="TEA281" s="885"/>
      <c r="TEB281" s="885"/>
      <c r="TEC281" s="885"/>
      <c r="TED281" s="885"/>
      <c r="TEE281" s="885"/>
      <c r="TEF281" s="885"/>
      <c r="TEG281" s="885"/>
      <c r="TEH281" s="885"/>
      <c r="TEI281" s="885"/>
      <c r="TEJ281" s="885"/>
      <c r="TEK281" s="885"/>
      <c r="TEL281" s="885"/>
      <c r="TEM281" s="885"/>
      <c r="TEN281" s="885"/>
      <c r="TEO281" s="885"/>
      <c r="TEP281" s="885"/>
      <c r="TEQ281" s="885"/>
      <c r="TER281" s="885"/>
      <c r="TES281" s="885"/>
      <c r="TET281" s="885"/>
      <c r="TEU281" s="885"/>
      <c r="TEV281" s="885"/>
      <c r="TEW281" s="885"/>
      <c r="TEX281" s="885"/>
      <c r="TEY281" s="885"/>
      <c r="TEZ281" s="885"/>
      <c r="TFA281" s="885"/>
      <c r="TFB281" s="885"/>
      <c r="TFC281" s="885"/>
      <c r="TFD281" s="885"/>
      <c r="TFE281" s="885"/>
      <c r="TFF281" s="885"/>
      <c r="TFG281" s="885"/>
      <c r="TFH281" s="885"/>
      <c r="TFI281" s="885"/>
      <c r="TFJ281" s="885"/>
      <c r="TFK281" s="885"/>
      <c r="TFL281" s="885"/>
      <c r="TFM281" s="885"/>
      <c r="TFN281" s="885"/>
      <c r="TFO281" s="885"/>
      <c r="TFP281" s="885"/>
      <c r="TFQ281" s="885"/>
      <c r="TFR281" s="885"/>
      <c r="TFS281" s="885"/>
      <c r="TFT281" s="885"/>
      <c r="TFU281" s="885"/>
      <c r="TFV281" s="885"/>
      <c r="TFW281" s="885"/>
      <c r="TFX281" s="885"/>
      <c r="TFY281" s="885"/>
      <c r="TFZ281" s="885"/>
      <c r="TGA281" s="885"/>
      <c r="TGB281" s="885"/>
      <c r="TGC281" s="885"/>
      <c r="TGD281" s="885"/>
      <c r="TGE281" s="885"/>
      <c r="TGF281" s="885"/>
      <c r="TGG281" s="885"/>
      <c r="TGH281" s="885"/>
      <c r="TGI281" s="885"/>
      <c r="TGJ281" s="885"/>
      <c r="TGK281" s="885"/>
      <c r="TGL281" s="885"/>
      <c r="TGM281" s="885"/>
      <c r="TGN281" s="885"/>
      <c r="TGO281" s="885"/>
      <c r="TGP281" s="885"/>
      <c r="TGQ281" s="885"/>
      <c r="TGR281" s="885"/>
      <c r="TGS281" s="885"/>
      <c r="TGT281" s="885"/>
      <c r="TGU281" s="885"/>
      <c r="TGV281" s="885"/>
      <c r="TGW281" s="885"/>
      <c r="TGX281" s="885"/>
      <c r="TGY281" s="885"/>
      <c r="TGZ281" s="885"/>
      <c r="THA281" s="885"/>
      <c r="THB281" s="885"/>
      <c r="THC281" s="885"/>
      <c r="THD281" s="885"/>
      <c r="THE281" s="885"/>
      <c r="THF281" s="885"/>
      <c r="THG281" s="885"/>
      <c r="THH281" s="885"/>
      <c r="THI281" s="885"/>
      <c r="THJ281" s="885"/>
      <c r="THK281" s="885"/>
      <c r="THL281" s="885"/>
      <c r="THM281" s="885"/>
      <c r="THN281" s="885"/>
      <c r="THO281" s="885"/>
      <c r="THP281" s="885"/>
      <c r="THQ281" s="885"/>
      <c r="THR281" s="885"/>
      <c r="THS281" s="885"/>
      <c r="THT281" s="885"/>
      <c r="THU281" s="885"/>
      <c r="THV281" s="885"/>
      <c r="THW281" s="885"/>
      <c r="THX281" s="885"/>
      <c r="THY281" s="885"/>
      <c r="THZ281" s="885"/>
      <c r="TIA281" s="885"/>
      <c r="TIB281" s="885"/>
      <c r="TIC281" s="885"/>
      <c r="TID281" s="885"/>
      <c r="TIE281" s="885"/>
      <c r="TIF281" s="885"/>
      <c r="TIG281" s="885"/>
      <c r="TIH281" s="885"/>
      <c r="TII281" s="885"/>
      <c r="TIJ281" s="885"/>
      <c r="TIK281" s="885"/>
      <c r="TIL281" s="885"/>
      <c r="TIM281" s="885"/>
      <c r="TIN281" s="885"/>
      <c r="TIO281" s="885"/>
      <c r="TIP281" s="885"/>
      <c r="TIQ281" s="885"/>
      <c r="TIR281" s="885"/>
      <c r="TIS281" s="885"/>
      <c r="TIT281" s="885"/>
      <c r="TIU281" s="885"/>
      <c r="TIV281" s="885"/>
      <c r="TIW281" s="885"/>
      <c r="TIX281" s="885"/>
      <c r="TIY281" s="885"/>
      <c r="TIZ281" s="885"/>
      <c r="TJA281" s="885"/>
      <c r="TJB281" s="885"/>
      <c r="TJC281" s="885"/>
      <c r="TJD281" s="885"/>
      <c r="TJE281" s="885"/>
      <c r="TJF281" s="885"/>
      <c r="TJG281" s="885"/>
      <c r="TJH281" s="885"/>
      <c r="TJI281" s="885"/>
      <c r="TJJ281" s="885"/>
      <c r="TJK281" s="885"/>
      <c r="TJL281" s="885"/>
      <c r="TJM281" s="885"/>
      <c r="TJN281" s="885"/>
      <c r="TJO281" s="885"/>
      <c r="TJP281" s="885"/>
      <c r="TJQ281" s="885"/>
      <c r="TJR281" s="885"/>
      <c r="TJS281" s="885"/>
      <c r="TJT281" s="885"/>
      <c r="TJU281" s="885"/>
      <c r="TJV281" s="885"/>
      <c r="TJW281" s="885"/>
      <c r="TJX281" s="885"/>
      <c r="TJY281" s="885"/>
      <c r="TJZ281" s="885"/>
      <c r="TKA281" s="885"/>
      <c r="TKB281" s="885"/>
      <c r="TKC281" s="885"/>
      <c r="TKD281" s="885"/>
      <c r="TKE281" s="885"/>
      <c r="TKF281" s="885"/>
      <c r="TKG281" s="885"/>
      <c r="TKH281" s="885"/>
      <c r="TKI281" s="885"/>
      <c r="TKJ281" s="885"/>
      <c r="TKK281" s="885"/>
      <c r="TKL281" s="885"/>
      <c r="TKM281" s="885"/>
      <c r="TKN281" s="885"/>
      <c r="TKO281" s="885"/>
      <c r="TKP281" s="885"/>
      <c r="TKQ281" s="885"/>
      <c r="TKR281" s="885"/>
      <c r="TKS281" s="885"/>
      <c r="TKT281" s="885"/>
      <c r="TKU281" s="885"/>
      <c r="TKV281" s="885"/>
      <c r="TKW281" s="885"/>
      <c r="TKX281" s="885"/>
      <c r="TKY281" s="885"/>
      <c r="TKZ281" s="885"/>
      <c r="TLA281" s="885"/>
      <c r="TLB281" s="885"/>
      <c r="TLC281" s="885"/>
      <c r="TLD281" s="885"/>
      <c r="TLE281" s="885"/>
      <c r="TLF281" s="885"/>
      <c r="TLG281" s="885"/>
      <c r="TLH281" s="885"/>
      <c r="TLI281" s="885"/>
      <c r="TLJ281" s="885"/>
      <c r="TLK281" s="885"/>
      <c r="TLL281" s="885"/>
      <c r="TLM281" s="885"/>
      <c r="TLN281" s="885"/>
      <c r="TLO281" s="885"/>
      <c r="TLP281" s="885"/>
      <c r="TLQ281" s="885"/>
      <c r="TLR281" s="885"/>
      <c r="TLS281" s="885"/>
      <c r="TLT281" s="885"/>
      <c r="TLU281" s="885"/>
      <c r="TLV281" s="885"/>
      <c r="TLW281" s="885"/>
      <c r="TLX281" s="885"/>
      <c r="TLY281" s="885"/>
      <c r="TLZ281" s="885"/>
      <c r="TMA281" s="885"/>
      <c r="TMB281" s="885"/>
      <c r="TMC281" s="885"/>
      <c r="TMD281" s="885"/>
      <c r="TME281" s="885"/>
      <c r="TMF281" s="885"/>
      <c r="TMG281" s="885"/>
      <c r="TMH281" s="885"/>
      <c r="TMI281" s="885"/>
      <c r="TMJ281" s="885"/>
      <c r="TMK281" s="885"/>
      <c r="TML281" s="885"/>
      <c r="TMM281" s="885"/>
      <c r="TMN281" s="885"/>
      <c r="TMO281" s="885"/>
      <c r="TMP281" s="885"/>
      <c r="TMQ281" s="885"/>
      <c r="TMR281" s="885"/>
      <c r="TMS281" s="885"/>
      <c r="TMT281" s="885"/>
      <c r="TMU281" s="885"/>
      <c r="TMV281" s="885"/>
      <c r="TMW281" s="885"/>
      <c r="TMX281" s="885"/>
      <c r="TMY281" s="885"/>
      <c r="TMZ281" s="885"/>
      <c r="TNA281" s="885"/>
      <c r="TNB281" s="885"/>
      <c r="TNC281" s="885"/>
      <c r="TND281" s="885"/>
      <c r="TNE281" s="885"/>
      <c r="TNF281" s="885"/>
      <c r="TNG281" s="885"/>
      <c r="TNH281" s="885"/>
      <c r="TNI281" s="885"/>
      <c r="TNJ281" s="885"/>
      <c r="TNK281" s="885"/>
      <c r="TNL281" s="885"/>
      <c r="TNM281" s="885"/>
      <c r="TNN281" s="885"/>
      <c r="TNO281" s="885"/>
      <c r="TNP281" s="885"/>
      <c r="TNQ281" s="885"/>
      <c r="TNR281" s="885"/>
      <c r="TNS281" s="885"/>
      <c r="TNT281" s="885"/>
      <c r="TNU281" s="885"/>
      <c r="TNV281" s="885"/>
      <c r="TNW281" s="885"/>
      <c r="TNX281" s="885"/>
      <c r="TNY281" s="885"/>
      <c r="TNZ281" s="885"/>
      <c r="TOA281" s="885"/>
      <c r="TOB281" s="885"/>
      <c r="TOC281" s="885"/>
      <c r="TOD281" s="885"/>
      <c r="TOE281" s="885"/>
      <c r="TOF281" s="885"/>
      <c r="TOG281" s="885"/>
      <c r="TOH281" s="885"/>
      <c r="TOI281" s="885"/>
      <c r="TOJ281" s="885"/>
      <c r="TOK281" s="885"/>
      <c r="TOL281" s="885"/>
      <c r="TOM281" s="885"/>
      <c r="TON281" s="885"/>
      <c r="TOO281" s="885"/>
      <c r="TOP281" s="885"/>
      <c r="TOQ281" s="885"/>
      <c r="TOR281" s="885"/>
      <c r="TOS281" s="885"/>
      <c r="TOT281" s="885"/>
      <c r="TOU281" s="885"/>
      <c r="TOV281" s="885"/>
      <c r="TOW281" s="885"/>
      <c r="TOX281" s="885"/>
      <c r="TOY281" s="885"/>
      <c r="TOZ281" s="885"/>
      <c r="TPA281" s="885"/>
      <c r="TPB281" s="885"/>
      <c r="TPC281" s="885"/>
      <c r="TPD281" s="885"/>
      <c r="TPE281" s="885"/>
      <c r="TPF281" s="885"/>
      <c r="TPG281" s="885"/>
      <c r="TPH281" s="885"/>
      <c r="TPI281" s="885"/>
      <c r="TPJ281" s="885"/>
      <c r="TPK281" s="885"/>
      <c r="TPL281" s="885"/>
      <c r="TPM281" s="885"/>
      <c r="TPN281" s="885"/>
      <c r="TPO281" s="885"/>
      <c r="TPP281" s="885"/>
      <c r="TPQ281" s="885"/>
      <c r="TPR281" s="885"/>
      <c r="TPS281" s="885"/>
      <c r="TPT281" s="885"/>
      <c r="TPU281" s="885"/>
      <c r="TPV281" s="885"/>
      <c r="TPW281" s="885"/>
      <c r="TPX281" s="885"/>
      <c r="TPY281" s="885"/>
      <c r="TPZ281" s="885"/>
      <c r="TQA281" s="885"/>
      <c r="TQB281" s="885"/>
      <c r="TQC281" s="885"/>
      <c r="TQD281" s="885"/>
      <c r="TQE281" s="885"/>
      <c r="TQF281" s="885"/>
      <c r="TQG281" s="885"/>
      <c r="TQH281" s="885"/>
      <c r="TQI281" s="885"/>
      <c r="TQJ281" s="885"/>
      <c r="TQK281" s="885"/>
      <c r="TQL281" s="885"/>
      <c r="TQM281" s="885"/>
      <c r="TQN281" s="885"/>
      <c r="TQO281" s="885"/>
      <c r="TQP281" s="885"/>
      <c r="TQQ281" s="885"/>
      <c r="TQR281" s="885"/>
      <c r="TQS281" s="885"/>
      <c r="TQT281" s="885"/>
      <c r="TQU281" s="885"/>
      <c r="TQV281" s="885"/>
      <c r="TQW281" s="885"/>
      <c r="TQX281" s="885"/>
      <c r="TQY281" s="885"/>
      <c r="TQZ281" s="885"/>
      <c r="TRA281" s="885"/>
      <c r="TRB281" s="885"/>
      <c r="TRC281" s="885"/>
      <c r="TRD281" s="885"/>
      <c r="TRE281" s="885"/>
      <c r="TRF281" s="885"/>
      <c r="TRG281" s="885"/>
      <c r="TRH281" s="885"/>
      <c r="TRI281" s="885"/>
      <c r="TRJ281" s="885"/>
      <c r="TRK281" s="885"/>
      <c r="TRL281" s="885"/>
      <c r="TRM281" s="885"/>
      <c r="TRN281" s="885"/>
      <c r="TRO281" s="885"/>
      <c r="TRP281" s="885"/>
      <c r="TRQ281" s="885"/>
      <c r="TRR281" s="885"/>
      <c r="TRS281" s="885"/>
      <c r="TRT281" s="885"/>
      <c r="TRU281" s="885"/>
      <c r="TRV281" s="885"/>
      <c r="TRW281" s="885"/>
      <c r="TRX281" s="885"/>
      <c r="TRY281" s="885"/>
      <c r="TRZ281" s="885"/>
      <c r="TSA281" s="885"/>
      <c r="TSB281" s="885"/>
      <c r="TSC281" s="885"/>
      <c r="TSD281" s="885"/>
      <c r="TSE281" s="885"/>
      <c r="TSF281" s="885"/>
      <c r="TSG281" s="885"/>
      <c r="TSH281" s="885"/>
      <c r="TSI281" s="885"/>
      <c r="TSJ281" s="885"/>
      <c r="TSK281" s="885"/>
      <c r="TSL281" s="885"/>
      <c r="TSM281" s="885"/>
      <c r="TSN281" s="885"/>
      <c r="TSO281" s="885"/>
      <c r="TSP281" s="885"/>
      <c r="TSQ281" s="885"/>
      <c r="TSR281" s="885"/>
      <c r="TSS281" s="885"/>
      <c r="TST281" s="885"/>
      <c r="TSU281" s="885"/>
      <c r="TSV281" s="885"/>
      <c r="TSW281" s="885"/>
      <c r="TSX281" s="885"/>
      <c r="TSY281" s="885"/>
      <c r="TSZ281" s="885"/>
      <c r="TTA281" s="885"/>
      <c r="TTB281" s="885"/>
      <c r="TTC281" s="885"/>
      <c r="TTD281" s="885"/>
      <c r="TTE281" s="885"/>
      <c r="TTF281" s="885"/>
      <c r="TTG281" s="885"/>
      <c r="TTH281" s="885"/>
      <c r="TTI281" s="885"/>
      <c r="TTJ281" s="885"/>
      <c r="TTK281" s="885"/>
      <c r="TTL281" s="885"/>
      <c r="TTM281" s="885"/>
      <c r="TTN281" s="885"/>
      <c r="TTO281" s="885"/>
      <c r="TTP281" s="885"/>
      <c r="TTQ281" s="885"/>
      <c r="TTR281" s="885"/>
      <c r="TTS281" s="885"/>
      <c r="TTT281" s="885"/>
      <c r="TTU281" s="885"/>
      <c r="TTV281" s="885"/>
      <c r="TTW281" s="885"/>
      <c r="TTX281" s="885"/>
      <c r="TTY281" s="885"/>
      <c r="TTZ281" s="885"/>
      <c r="TUA281" s="885"/>
      <c r="TUB281" s="885"/>
      <c r="TUC281" s="885"/>
      <c r="TUD281" s="885"/>
      <c r="TUE281" s="885"/>
      <c r="TUF281" s="885"/>
      <c r="TUG281" s="885"/>
      <c r="TUH281" s="885"/>
      <c r="TUI281" s="885"/>
      <c r="TUJ281" s="885"/>
      <c r="TUK281" s="885"/>
      <c r="TUL281" s="885"/>
      <c r="TUM281" s="885"/>
      <c r="TUN281" s="885"/>
      <c r="TUO281" s="885"/>
      <c r="TUP281" s="885"/>
      <c r="TUQ281" s="885"/>
      <c r="TUR281" s="885"/>
      <c r="TUS281" s="885"/>
      <c r="TUT281" s="885"/>
      <c r="TUU281" s="885"/>
      <c r="TUV281" s="885"/>
      <c r="TUW281" s="885"/>
      <c r="TUX281" s="885"/>
      <c r="TUY281" s="885"/>
      <c r="TUZ281" s="885"/>
      <c r="TVA281" s="885"/>
      <c r="TVB281" s="885"/>
      <c r="TVC281" s="885"/>
      <c r="TVD281" s="885"/>
      <c r="TVE281" s="885"/>
      <c r="TVF281" s="885"/>
      <c r="TVG281" s="885"/>
      <c r="TVH281" s="885"/>
      <c r="TVI281" s="885"/>
      <c r="TVJ281" s="885"/>
      <c r="TVK281" s="885"/>
      <c r="TVL281" s="885"/>
      <c r="TVM281" s="885"/>
      <c r="TVN281" s="885"/>
      <c r="TVO281" s="885"/>
      <c r="TVP281" s="885"/>
      <c r="TVQ281" s="885"/>
      <c r="TVR281" s="885"/>
      <c r="TVS281" s="885"/>
      <c r="TVT281" s="885"/>
      <c r="TVU281" s="885"/>
      <c r="TVV281" s="885"/>
      <c r="TVW281" s="885"/>
      <c r="TVX281" s="885"/>
      <c r="TVY281" s="885"/>
      <c r="TVZ281" s="885"/>
      <c r="TWA281" s="885"/>
      <c r="TWB281" s="885"/>
      <c r="TWC281" s="885"/>
      <c r="TWD281" s="885"/>
      <c r="TWE281" s="885"/>
      <c r="TWF281" s="885"/>
      <c r="TWG281" s="885"/>
      <c r="TWH281" s="885"/>
      <c r="TWI281" s="885"/>
      <c r="TWJ281" s="885"/>
      <c r="TWK281" s="885"/>
      <c r="TWL281" s="885"/>
      <c r="TWM281" s="885"/>
      <c r="TWN281" s="885"/>
      <c r="TWO281" s="885"/>
      <c r="TWP281" s="885"/>
      <c r="TWQ281" s="885"/>
      <c r="TWR281" s="885"/>
      <c r="TWS281" s="885"/>
      <c r="TWT281" s="885"/>
      <c r="TWU281" s="885"/>
      <c r="TWV281" s="885"/>
      <c r="TWW281" s="885"/>
      <c r="TWX281" s="885"/>
      <c r="TWY281" s="885"/>
      <c r="TWZ281" s="885"/>
      <c r="TXA281" s="885"/>
      <c r="TXB281" s="885"/>
      <c r="TXC281" s="885"/>
      <c r="TXD281" s="885"/>
      <c r="TXE281" s="885"/>
      <c r="TXF281" s="885"/>
      <c r="TXG281" s="885"/>
      <c r="TXH281" s="885"/>
      <c r="TXI281" s="885"/>
      <c r="TXJ281" s="885"/>
      <c r="TXK281" s="885"/>
      <c r="TXL281" s="885"/>
      <c r="TXM281" s="885"/>
      <c r="TXN281" s="885"/>
      <c r="TXO281" s="885"/>
      <c r="TXP281" s="885"/>
      <c r="TXQ281" s="885"/>
      <c r="TXR281" s="885"/>
      <c r="TXS281" s="885"/>
      <c r="TXT281" s="885"/>
      <c r="TXU281" s="885"/>
      <c r="TXV281" s="885"/>
      <c r="TXW281" s="885"/>
      <c r="TXX281" s="885"/>
      <c r="TXY281" s="885"/>
      <c r="TXZ281" s="885"/>
      <c r="TYA281" s="885"/>
      <c r="TYB281" s="885"/>
      <c r="TYC281" s="885"/>
      <c r="TYD281" s="885"/>
      <c r="TYE281" s="885"/>
      <c r="TYF281" s="885"/>
      <c r="TYG281" s="885"/>
      <c r="TYH281" s="885"/>
      <c r="TYI281" s="885"/>
      <c r="TYJ281" s="885"/>
      <c r="TYK281" s="885"/>
      <c r="TYL281" s="885"/>
      <c r="TYM281" s="885"/>
      <c r="TYN281" s="885"/>
      <c r="TYO281" s="885"/>
      <c r="TYP281" s="885"/>
      <c r="TYQ281" s="885"/>
      <c r="TYR281" s="885"/>
      <c r="TYS281" s="885"/>
      <c r="TYT281" s="885"/>
      <c r="TYU281" s="885"/>
      <c r="TYV281" s="885"/>
      <c r="TYW281" s="885"/>
      <c r="TYX281" s="885"/>
      <c r="TYY281" s="885"/>
      <c r="TYZ281" s="885"/>
      <c r="TZA281" s="885"/>
      <c r="TZB281" s="885"/>
      <c r="TZC281" s="885"/>
      <c r="TZD281" s="885"/>
      <c r="TZE281" s="885"/>
      <c r="TZF281" s="885"/>
      <c r="TZG281" s="885"/>
      <c r="TZH281" s="885"/>
      <c r="TZI281" s="885"/>
      <c r="TZJ281" s="885"/>
      <c r="TZK281" s="885"/>
      <c r="TZL281" s="885"/>
      <c r="TZM281" s="885"/>
      <c r="TZN281" s="885"/>
      <c r="TZO281" s="885"/>
      <c r="TZP281" s="885"/>
      <c r="TZQ281" s="885"/>
      <c r="TZR281" s="885"/>
      <c r="TZS281" s="885"/>
      <c r="TZT281" s="885"/>
      <c r="TZU281" s="885"/>
      <c r="TZV281" s="885"/>
      <c r="TZW281" s="885"/>
      <c r="TZX281" s="885"/>
      <c r="TZY281" s="885"/>
      <c r="TZZ281" s="885"/>
      <c r="UAA281" s="885"/>
      <c r="UAB281" s="885"/>
      <c r="UAC281" s="885"/>
      <c r="UAD281" s="885"/>
      <c r="UAE281" s="885"/>
      <c r="UAF281" s="885"/>
      <c r="UAG281" s="885"/>
      <c r="UAH281" s="885"/>
      <c r="UAI281" s="885"/>
      <c r="UAJ281" s="885"/>
      <c r="UAK281" s="885"/>
      <c r="UAL281" s="885"/>
      <c r="UAM281" s="885"/>
      <c r="UAN281" s="885"/>
      <c r="UAO281" s="885"/>
      <c r="UAP281" s="885"/>
      <c r="UAQ281" s="885"/>
      <c r="UAR281" s="885"/>
      <c r="UAS281" s="885"/>
      <c r="UAT281" s="885"/>
      <c r="UAU281" s="885"/>
      <c r="UAV281" s="885"/>
      <c r="UAW281" s="885"/>
      <c r="UAX281" s="885"/>
      <c r="UAY281" s="885"/>
      <c r="UAZ281" s="885"/>
      <c r="UBA281" s="885"/>
      <c r="UBB281" s="885"/>
      <c r="UBC281" s="885"/>
      <c r="UBD281" s="885"/>
      <c r="UBE281" s="885"/>
      <c r="UBF281" s="885"/>
      <c r="UBG281" s="885"/>
      <c r="UBH281" s="885"/>
      <c r="UBI281" s="885"/>
      <c r="UBJ281" s="885"/>
      <c r="UBK281" s="885"/>
      <c r="UBL281" s="885"/>
      <c r="UBM281" s="885"/>
      <c r="UBN281" s="885"/>
      <c r="UBO281" s="885"/>
      <c r="UBP281" s="885"/>
      <c r="UBQ281" s="885"/>
      <c r="UBR281" s="885"/>
      <c r="UBS281" s="885"/>
      <c r="UBT281" s="885"/>
      <c r="UBU281" s="885"/>
      <c r="UBV281" s="885"/>
      <c r="UBW281" s="885"/>
      <c r="UBX281" s="885"/>
      <c r="UBY281" s="885"/>
      <c r="UBZ281" s="885"/>
      <c r="UCA281" s="885"/>
      <c r="UCB281" s="885"/>
      <c r="UCC281" s="885"/>
      <c r="UCD281" s="885"/>
      <c r="UCE281" s="885"/>
      <c r="UCF281" s="885"/>
      <c r="UCG281" s="885"/>
      <c r="UCH281" s="885"/>
      <c r="UCI281" s="885"/>
      <c r="UCJ281" s="885"/>
      <c r="UCK281" s="885"/>
      <c r="UCL281" s="885"/>
      <c r="UCM281" s="885"/>
      <c r="UCN281" s="885"/>
      <c r="UCO281" s="885"/>
      <c r="UCP281" s="885"/>
      <c r="UCQ281" s="885"/>
      <c r="UCR281" s="885"/>
      <c r="UCS281" s="885"/>
      <c r="UCT281" s="885"/>
      <c r="UCU281" s="885"/>
      <c r="UCV281" s="885"/>
      <c r="UCW281" s="885"/>
      <c r="UCX281" s="885"/>
      <c r="UCY281" s="885"/>
      <c r="UCZ281" s="885"/>
      <c r="UDA281" s="885"/>
      <c r="UDB281" s="885"/>
      <c r="UDC281" s="885"/>
      <c r="UDD281" s="885"/>
      <c r="UDE281" s="885"/>
      <c r="UDF281" s="885"/>
      <c r="UDG281" s="885"/>
      <c r="UDH281" s="885"/>
      <c r="UDI281" s="885"/>
      <c r="UDJ281" s="885"/>
      <c r="UDK281" s="885"/>
      <c r="UDL281" s="885"/>
      <c r="UDM281" s="885"/>
      <c r="UDN281" s="885"/>
      <c r="UDO281" s="885"/>
      <c r="UDP281" s="885"/>
      <c r="UDQ281" s="885"/>
      <c r="UDR281" s="885"/>
      <c r="UDS281" s="885"/>
      <c r="UDT281" s="885"/>
      <c r="UDU281" s="885"/>
      <c r="UDV281" s="885"/>
      <c r="UDW281" s="885"/>
      <c r="UDX281" s="885"/>
      <c r="UDY281" s="885"/>
      <c r="UDZ281" s="885"/>
      <c r="UEA281" s="885"/>
      <c r="UEB281" s="885"/>
      <c r="UEC281" s="885"/>
      <c r="UED281" s="885"/>
      <c r="UEE281" s="885"/>
      <c r="UEF281" s="885"/>
      <c r="UEG281" s="885"/>
      <c r="UEH281" s="885"/>
      <c r="UEI281" s="885"/>
      <c r="UEJ281" s="885"/>
      <c r="UEK281" s="885"/>
      <c r="UEL281" s="885"/>
      <c r="UEM281" s="885"/>
      <c r="UEN281" s="885"/>
      <c r="UEO281" s="885"/>
      <c r="UEP281" s="885"/>
      <c r="UEQ281" s="885"/>
      <c r="UER281" s="885"/>
      <c r="UES281" s="885"/>
      <c r="UET281" s="885"/>
      <c r="UEU281" s="885"/>
      <c r="UEV281" s="885"/>
      <c r="UEW281" s="885"/>
      <c r="UEX281" s="885"/>
      <c r="UEY281" s="885"/>
      <c r="UEZ281" s="885"/>
      <c r="UFA281" s="885"/>
      <c r="UFB281" s="885"/>
      <c r="UFC281" s="885"/>
      <c r="UFD281" s="885"/>
      <c r="UFE281" s="885"/>
      <c r="UFF281" s="885"/>
      <c r="UFG281" s="885"/>
      <c r="UFH281" s="885"/>
      <c r="UFI281" s="885"/>
      <c r="UFJ281" s="885"/>
      <c r="UFK281" s="885"/>
      <c r="UFL281" s="885"/>
      <c r="UFM281" s="885"/>
      <c r="UFN281" s="885"/>
      <c r="UFO281" s="885"/>
      <c r="UFP281" s="885"/>
      <c r="UFQ281" s="885"/>
      <c r="UFR281" s="885"/>
      <c r="UFS281" s="885"/>
      <c r="UFT281" s="885"/>
      <c r="UFU281" s="885"/>
      <c r="UFV281" s="885"/>
      <c r="UFW281" s="885"/>
      <c r="UFX281" s="885"/>
      <c r="UFY281" s="885"/>
      <c r="UFZ281" s="885"/>
      <c r="UGA281" s="885"/>
      <c r="UGB281" s="885"/>
      <c r="UGC281" s="885"/>
      <c r="UGD281" s="885"/>
      <c r="UGE281" s="885"/>
      <c r="UGF281" s="885"/>
      <c r="UGG281" s="885"/>
      <c r="UGH281" s="885"/>
      <c r="UGI281" s="885"/>
      <c r="UGJ281" s="885"/>
      <c r="UGK281" s="885"/>
      <c r="UGL281" s="885"/>
      <c r="UGM281" s="885"/>
      <c r="UGN281" s="885"/>
      <c r="UGO281" s="885"/>
      <c r="UGP281" s="885"/>
      <c r="UGQ281" s="885"/>
      <c r="UGR281" s="885"/>
      <c r="UGS281" s="885"/>
      <c r="UGT281" s="885"/>
      <c r="UGU281" s="885"/>
      <c r="UGV281" s="885"/>
      <c r="UGW281" s="885"/>
      <c r="UGX281" s="885"/>
      <c r="UGY281" s="885"/>
      <c r="UGZ281" s="885"/>
      <c r="UHA281" s="885"/>
      <c r="UHB281" s="885"/>
      <c r="UHC281" s="885"/>
      <c r="UHD281" s="885"/>
      <c r="UHE281" s="885"/>
      <c r="UHF281" s="885"/>
      <c r="UHG281" s="885"/>
      <c r="UHH281" s="885"/>
      <c r="UHI281" s="885"/>
      <c r="UHJ281" s="885"/>
      <c r="UHK281" s="885"/>
      <c r="UHL281" s="885"/>
      <c r="UHM281" s="885"/>
      <c r="UHN281" s="885"/>
      <c r="UHO281" s="885"/>
      <c r="UHP281" s="885"/>
      <c r="UHQ281" s="885"/>
      <c r="UHR281" s="885"/>
      <c r="UHS281" s="885"/>
      <c r="UHT281" s="885"/>
      <c r="UHU281" s="885"/>
      <c r="UHV281" s="885"/>
      <c r="UHW281" s="885"/>
      <c r="UHX281" s="885"/>
      <c r="UHY281" s="885"/>
      <c r="UHZ281" s="885"/>
      <c r="UIA281" s="885"/>
      <c r="UIB281" s="885"/>
      <c r="UIC281" s="885"/>
      <c r="UID281" s="885"/>
      <c r="UIE281" s="885"/>
      <c r="UIF281" s="885"/>
      <c r="UIG281" s="885"/>
      <c r="UIH281" s="885"/>
      <c r="UII281" s="885"/>
      <c r="UIJ281" s="885"/>
      <c r="UIK281" s="885"/>
      <c r="UIL281" s="885"/>
      <c r="UIM281" s="885"/>
      <c r="UIN281" s="885"/>
      <c r="UIO281" s="885"/>
      <c r="UIP281" s="885"/>
      <c r="UIQ281" s="885"/>
      <c r="UIR281" s="885"/>
      <c r="UIS281" s="885"/>
      <c r="UIT281" s="885"/>
      <c r="UIU281" s="885"/>
      <c r="UIV281" s="885"/>
      <c r="UIW281" s="885"/>
      <c r="UIX281" s="885"/>
      <c r="UIY281" s="885"/>
      <c r="UIZ281" s="885"/>
      <c r="UJA281" s="885"/>
      <c r="UJB281" s="885"/>
      <c r="UJC281" s="885"/>
      <c r="UJD281" s="885"/>
      <c r="UJE281" s="885"/>
      <c r="UJF281" s="885"/>
      <c r="UJG281" s="885"/>
      <c r="UJH281" s="885"/>
      <c r="UJI281" s="885"/>
      <c r="UJJ281" s="885"/>
      <c r="UJK281" s="885"/>
      <c r="UJL281" s="885"/>
      <c r="UJM281" s="885"/>
      <c r="UJN281" s="885"/>
      <c r="UJO281" s="885"/>
      <c r="UJP281" s="885"/>
      <c r="UJQ281" s="885"/>
      <c r="UJR281" s="885"/>
      <c r="UJS281" s="885"/>
      <c r="UJT281" s="885"/>
      <c r="UJU281" s="885"/>
      <c r="UJV281" s="885"/>
      <c r="UJW281" s="885"/>
      <c r="UJX281" s="885"/>
      <c r="UJY281" s="885"/>
      <c r="UJZ281" s="885"/>
      <c r="UKA281" s="885"/>
      <c r="UKB281" s="885"/>
      <c r="UKC281" s="885"/>
      <c r="UKD281" s="885"/>
      <c r="UKE281" s="885"/>
      <c r="UKF281" s="885"/>
      <c r="UKG281" s="885"/>
      <c r="UKH281" s="885"/>
      <c r="UKI281" s="885"/>
      <c r="UKJ281" s="885"/>
      <c r="UKK281" s="885"/>
      <c r="UKL281" s="885"/>
      <c r="UKM281" s="885"/>
      <c r="UKN281" s="885"/>
      <c r="UKO281" s="885"/>
      <c r="UKP281" s="885"/>
      <c r="UKQ281" s="885"/>
      <c r="UKR281" s="885"/>
      <c r="UKS281" s="885"/>
      <c r="UKT281" s="885"/>
      <c r="UKU281" s="885"/>
      <c r="UKV281" s="885"/>
      <c r="UKW281" s="885"/>
      <c r="UKX281" s="885"/>
      <c r="UKY281" s="885"/>
      <c r="UKZ281" s="885"/>
      <c r="ULA281" s="885"/>
      <c r="ULB281" s="885"/>
      <c r="ULC281" s="885"/>
      <c r="ULD281" s="885"/>
      <c r="ULE281" s="885"/>
      <c r="ULF281" s="885"/>
      <c r="ULG281" s="885"/>
      <c r="ULH281" s="885"/>
      <c r="ULI281" s="885"/>
      <c r="ULJ281" s="885"/>
      <c r="ULK281" s="885"/>
      <c r="ULL281" s="885"/>
      <c r="ULM281" s="885"/>
      <c r="ULN281" s="885"/>
      <c r="ULO281" s="885"/>
      <c r="ULP281" s="885"/>
      <c r="ULQ281" s="885"/>
      <c r="ULR281" s="885"/>
      <c r="ULS281" s="885"/>
      <c r="ULT281" s="885"/>
      <c r="ULU281" s="885"/>
      <c r="ULV281" s="885"/>
      <c r="ULW281" s="885"/>
      <c r="ULX281" s="885"/>
      <c r="ULY281" s="885"/>
      <c r="ULZ281" s="885"/>
      <c r="UMA281" s="885"/>
      <c r="UMB281" s="885"/>
      <c r="UMC281" s="885"/>
      <c r="UMD281" s="885"/>
      <c r="UME281" s="885"/>
      <c r="UMF281" s="885"/>
      <c r="UMG281" s="885"/>
      <c r="UMH281" s="885"/>
      <c r="UMI281" s="885"/>
      <c r="UMJ281" s="885"/>
      <c r="UMK281" s="885"/>
      <c r="UML281" s="885"/>
      <c r="UMM281" s="885"/>
      <c r="UMN281" s="885"/>
      <c r="UMO281" s="885"/>
      <c r="UMP281" s="885"/>
      <c r="UMQ281" s="885"/>
      <c r="UMR281" s="885"/>
      <c r="UMS281" s="885"/>
      <c r="UMT281" s="885"/>
      <c r="UMU281" s="885"/>
      <c r="UMV281" s="885"/>
      <c r="UMW281" s="885"/>
      <c r="UMX281" s="885"/>
      <c r="UMY281" s="885"/>
      <c r="UMZ281" s="885"/>
      <c r="UNA281" s="885"/>
      <c r="UNB281" s="885"/>
      <c r="UNC281" s="885"/>
      <c r="UND281" s="885"/>
      <c r="UNE281" s="885"/>
      <c r="UNF281" s="885"/>
      <c r="UNG281" s="885"/>
      <c r="UNH281" s="885"/>
      <c r="UNI281" s="885"/>
      <c r="UNJ281" s="885"/>
      <c r="UNK281" s="885"/>
      <c r="UNL281" s="885"/>
      <c r="UNM281" s="885"/>
      <c r="UNN281" s="885"/>
      <c r="UNO281" s="885"/>
      <c r="UNP281" s="885"/>
      <c r="UNQ281" s="885"/>
      <c r="UNR281" s="885"/>
      <c r="UNS281" s="885"/>
      <c r="UNT281" s="885"/>
      <c r="UNU281" s="885"/>
      <c r="UNV281" s="885"/>
      <c r="UNW281" s="885"/>
      <c r="UNX281" s="885"/>
      <c r="UNY281" s="885"/>
      <c r="UNZ281" s="885"/>
      <c r="UOA281" s="885"/>
      <c r="UOB281" s="885"/>
      <c r="UOC281" s="885"/>
      <c r="UOD281" s="885"/>
      <c r="UOE281" s="885"/>
      <c r="UOF281" s="885"/>
      <c r="UOG281" s="885"/>
      <c r="UOH281" s="885"/>
      <c r="UOI281" s="885"/>
      <c r="UOJ281" s="885"/>
      <c r="UOK281" s="885"/>
      <c r="UOL281" s="885"/>
      <c r="UOM281" s="885"/>
      <c r="UON281" s="885"/>
      <c r="UOO281" s="885"/>
      <c r="UOP281" s="885"/>
      <c r="UOQ281" s="885"/>
      <c r="UOR281" s="885"/>
      <c r="UOS281" s="885"/>
      <c r="UOT281" s="885"/>
      <c r="UOU281" s="885"/>
      <c r="UOV281" s="885"/>
      <c r="UOW281" s="885"/>
      <c r="UOX281" s="885"/>
      <c r="UOY281" s="885"/>
      <c r="UOZ281" s="885"/>
      <c r="UPA281" s="885"/>
      <c r="UPB281" s="885"/>
      <c r="UPC281" s="885"/>
      <c r="UPD281" s="885"/>
      <c r="UPE281" s="885"/>
      <c r="UPF281" s="885"/>
      <c r="UPG281" s="885"/>
      <c r="UPH281" s="885"/>
      <c r="UPI281" s="885"/>
      <c r="UPJ281" s="885"/>
      <c r="UPK281" s="885"/>
      <c r="UPL281" s="885"/>
      <c r="UPM281" s="885"/>
      <c r="UPN281" s="885"/>
      <c r="UPO281" s="885"/>
      <c r="UPP281" s="885"/>
      <c r="UPQ281" s="885"/>
      <c r="UPR281" s="885"/>
      <c r="UPS281" s="885"/>
      <c r="UPT281" s="885"/>
      <c r="UPU281" s="885"/>
      <c r="UPV281" s="885"/>
      <c r="UPW281" s="885"/>
      <c r="UPX281" s="885"/>
      <c r="UPY281" s="885"/>
      <c r="UPZ281" s="885"/>
      <c r="UQA281" s="885"/>
      <c r="UQB281" s="885"/>
      <c r="UQC281" s="885"/>
      <c r="UQD281" s="885"/>
      <c r="UQE281" s="885"/>
      <c r="UQF281" s="885"/>
      <c r="UQG281" s="885"/>
      <c r="UQH281" s="885"/>
      <c r="UQI281" s="885"/>
      <c r="UQJ281" s="885"/>
      <c r="UQK281" s="885"/>
      <c r="UQL281" s="885"/>
      <c r="UQM281" s="885"/>
      <c r="UQN281" s="885"/>
      <c r="UQO281" s="885"/>
      <c r="UQP281" s="885"/>
      <c r="UQQ281" s="885"/>
      <c r="UQR281" s="885"/>
      <c r="UQS281" s="885"/>
      <c r="UQT281" s="885"/>
      <c r="UQU281" s="885"/>
      <c r="UQV281" s="885"/>
      <c r="UQW281" s="885"/>
      <c r="UQX281" s="885"/>
      <c r="UQY281" s="885"/>
      <c r="UQZ281" s="885"/>
      <c r="URA281" s="885"/>
      <c r="URB281" s="885"/>
      <c r="URC281" s="885"/>
      <c r="URD281" s="885"/>
      <c r="URE281" s="885"/>
      <c r="URF281" s="885"/>
      <c r="URG281" s="885"/>
      <c r="URH281" s="885"/>
      <c r="URI281" s="885"/>
      <c r="URJ281" s="885"/>
      <c r="URK281" s="885"/>
      <c r="URL281" s="885"/>
      <c r="URM281" s="885"/>
      <c r="URN281" s="885"/>
      <c r="URO281" s="885"/>
      <c r="URP281" s="885"/>
      <c r="URQ281" s="885"/>
      <c r="URR281" s="885"/>
      <c r="URS281" s="885"/>
      <c r="URT281" s="885"/>
      <c r="URU281" s="885"/>
      <c r="URV281" s="885"/>
      <c r="URW281" s="885"/>
      <c r="URX281" s="885"/>
      <c r="URY281" s="885"/>
      <c r="URZ281" s="885"/>
      <c r="USA281" s="885"/>
      <c r="USB281" s="885"/>
      <c r="USC281" s="885"/>
      <c r="USD281" s="885"/>
      <c r="USE281" s="885"/>
      <c r="USF281" s="885"/>
      <c r="USG281" s="885"/>
      <c r="USH281" s="885"/>
      <c r="USI281" s="885"/>
      <c r="USJ281" s="885"/>
      <c r="USK281" s="885"/>
      <c r="USL281" s="885"/>
      <c r="USM281" s="885"/>
      <c r="USN281" s="885"/>
      <c r="USO281" s="885"/>
      <c r="USP281" s="885"/>
      <c r="USQ281" s="885"/>
      <c r="USR281" s="885"/>
      <c r="USS281" s="885"/>
      <c r="UST281" s="885"/>
      <c r="USU281" s="885"/>
      <c r="USV281" s="885"/>
      <c r="USW281" s="885"/>
      <c r="USX281" s="885"/>
      <c r="USY281" s="885"/>
      <c r="USZ281" s="885"/>
      <c r="UTA281" s="885"/>
      <c r="UTB281" s="885"/>
      <c r="UTC281" s="885"/>
      <c r="UTD281" s="885"/>
      <c r="UTE281" s="885"/>
      <c r="UTF281" s="885"/>
      <c r="UTG281" s="885"/>
      <c r="UTH281" s="885"/>
      <c r="UTI281" s="885"/>
      <c r="UTJ281" s="885"/>
      <c r="UTK281" s="885"/>
      <c r="UTL281" s="885"/>
      <c r="UTM281" s="885"/>
      <c r="UTN281" s="885"/>
      <c r="UTO281" s="885"/>
      <c r="UTP281" s="885"/>
      <c r="UTQ281" s="885"/>
      <c r="UTR281" s="885"/>
      <c r="UTS281" s="885"/>
      <c r="UTT281" s="885"/>
      <c r="UTU281" s="885"/>
      <c r="UTV281" s="885"/>
      <c r="UTW281" s="885"/>
      <c r="UTX281" s="885"/>
      <c r="UTY281" s="885"/>
      <c r="UTZ281" s="885"/>
      <c r="UUA281" s="885"/>
      <c r="UUB281" s="885"/>
      <c r="UUC281" s="885"/>
      <c r="UUD281" s="885"/>
      <c r="UUE281" s="885"/>
      <c r="UUF281" s="885"/>
      <c r="UUG281" s="885"/>
      <c r="UUH281" s="885"/>
      <c r="UUI281" s="885"/>
      <c r="UUJ281" s="885"/>
      <c r="UUK281" s="885"/>
      <c r="UUL281" s="885"/>
      <c r="UUM281" s="885"/>
      <c r="UUN281" s="885"/>
      <c r="UUO281" s="885"/>
      <c r="UUP281" s="885"/>
      <c r="UUQ281" s="885"/>
      <c r="UUR281" s="885"/>
      <c r="UUS281" s="885"/>
      <c r="UUT281" s="885"/>
      <c r="UUU281" s="885"/>
      <c r="UUV281" s="885"/>
      <c r="UUW281" s="885"/>
      <c r="UUX281" s="885"/>
      <c r="UUY281" s="885"/>
      <c r="UUZ281" s="885"/>
      <c r="UVA281" s="885"/>
      <c r="UVB281" s="885"/>
      <c r="UVC281" s="885"/>
      <c r="UVD281" s="885"/>
      <c r="UVE281" s="885"/>
      <c r="UVF281" s="885"/>
      <c r="UVG281" s="885"/>
      <c r="UVH281" s="885"/>
      <c r="UVI281" s="885"/>
      <c r="UVJ281" s="885"/>
      <c r="UVK281" s="885"/>
      <c r="UVL281" s="885"/>
      <c r="UVM281" s="885"/>
      <c r="UVN281" s="885"/>
      <c r="UVO281" s="885"/>
      <c r="UVP281" s="885"/>
      <c r="UVQ281" s="885"/>
      <c r="UVR281" s="885"/>
      <c r="UVS281" s="885"/>
      <c r="UVT281" s="885"/>
      <c r="UVU281" s="885"/>
      <c r="UVV281" s="885"/>
      <c r="UVW281" s="885"/>
      <c r="UVX281" s="885"/>
      <c r="UVY281" s="885"/>
      <c r="UVZ281" s="885"/>
      <c r="UWA281" s="885"/>
      <c r="UWB281" s="885"/>
      <c r="UWC281" s="885"/>
      <c r="UWD281" s="885"/>
      <c r="UWE281" s="885"/>
      <c r="UWF281" s="885"/>
      <c r="UWG281" s="885"/>
      <c r="UWH281" s="885"/>
      <c r="UWI281" s="885"/>
      <c r="UWJ281" s="885"/>
      <c r="UWK281" s="885"/>
      <c r="UWL281" s="885"/>
      <c r="UWM281" s="885"/>
      <c r="UWN281" s="885"/>
      <c r="UWO281" s="885"/>
      <c r="UWP281" s="885"/>
      <c r="UWQ281" s="885"/>
      <c r="UWR281" s="885"/>
      <c r="UWS281" s="885"/>
      <c r="UWT281" s="885"/>
      <c r="UWU281" s="885"/>
      <c r="UWV281" s="885"/>
      <c r="UWW281" s="885"/>
      <c r="UWX281" s="885"/>
      <c r="UWY281" s="885"/>
      <c r="UWZ281" s="885"/>
      <c r="UXA281" s="885"/>
      <c r="UXB281" s="885"/>
      <c r="UXC281" s="885"/>
      <c r="UXD281" s="885"/>
      <c r="UXE281" s="885"/>
      <c r="UXF281" s="885"/>
      <c r="UXG281" s="885"/>
      <c r="UXH281" s="885"/>
      <c r="UXI281" s="885"/>
      <c r="UXJ281" s="885"/>
      <c r="UXK281" s="885"/>
      <c r="UXL281" s="885"/>
      <c r="UXM281" s="885"/>
      <c r="UXN281" s="885"/>
      <c r="UXO281" s="885"/>
      <c r="UXP281" s="885"/>
      <c r="UXQ281" s="885"/>
      <c r="UXR281" s="885"/>
      <c r="UXS281" s="885"/>
      <c r="UXT281" s="885"/>
      <c r="UXU281" s="885"/>
      <c r="UXV281" s="885"/>
      <c r="UXW281" s="885"/>
      <c r="UXX281" s="885"/>
      <c r="UXY281" s="885"/>
      <c r="UXZ281" s="885"/>
      <c r="UYA281" s="885"/>
      <c r="UYB281" s="885"/>
      <c r="UYC281" s="885"/>
      <c r="UYD281" s="885"/>
      <c r="UYE281" s="885"/>
      <c r="UYF281" s="885"/>
      <c r="UYG281" s="885"/>
      <c r="UYH281" s="885"/>
      <c r="UYI281" s="885"/>
      <c r="UYJ281" s="885"/>
      <c r="UYK281" s="885"/>
      <c r="UYL281" s="885"/>
      <c r="UYM281" s="885"/>
      <c r="UYN281" s="885"/>
      <c r="UYO281" s="885"/>
      <c r="UYP281" s="885"/>
      <c r="UYQ281" s="885"/>
      <c r="UYR281" s="885"/>
      <c r="UYS281" s="885"/>
      <c r="UYT281" s="885"/>
      <c r="UYU281" s="885"/>
      <c r="UYV281" s="885"/>
      <c r="UYW281" s="885"/>
      <c r="UYX281" s="885"/>
      <c r="UYY281" s="885"/>
      <c r="UYZ281" s="885"/>
      <c r="UZA281" s="885"/>
      <c r="UZB281" s="885"/>
      <c r="UZC281" s="885"/>
      <c r="UZD281" s="885"/>
      <c r="UZE281" s="885"/>
      <c r="UZF281" s="885"/>
      <c r="UZG281" s="885"/>
      <c r="UZH281" s="885"/>
      <c r="UZI281" s="885"/>
      <c r="UZJ281" s="885"/>
      <c r="UZK281" s="885"/>
      <c r="UZL281" s="885"/>
      <c r="UZM281" s="885"/>
      <c r="UZN281" s="885"/>
      <c r="UZO281" s="885"/>
      <c r="UZP281" s="885"/>
      <c r="UZQ281" s="885"/>
      <c r="UZR281" s="885"/>
      <c r="UZS281" s="885"/>
      <c r="UZT281" s="885"/>
      <c r="UZU281" s="885"/>
      <c r="UZV281" s="885"/>
      <c r="UZW281" s="885"/>
      <c r="UZX281" s="885"/>
      <c r="UZY281" s="885"/>
      <c r="UZZ281" s="885"/>
      <c r="VAA281" s="885"/>
      <c r="VAB281" s="885"/>
      <c r="VAC281" s="885"/>
      <c r="VAD281" s="885"/>
      <c r="VAE281" s="885"/>
      <c r="VAF281" s="885"/>
      <c r="VAG281" s="885"/>
      <c r="VAH281" s="885"/>
      <c r="VAI281" s="885"/>
      <c r="VAJ281" s="885"/>
      <c r="VAK281" s="885"/>
      <c r="VAL281" s="885"/>
      <c r="VAM281" s="885"/>
      <c r="VAN281" s="885"/>
      <c r="VAO281" s="885"/>
      <c r="VAP281" s="885"/>
      <c r="VAQ281" s="885"/>
      <c r="VAR281" s="885"/>
      <c r="VAS281" s="885"/>
      <c r="VAT281" s="885"/>
      <c r="VAU281" s="885"/>
      <c r="VAV281" s="885"/>
      <c r="VAW281" s="885"/>
      <c r="VAX281" s="885"/>
      <c r="VAY281" s="885"/>
      <c r="VAZ281" s="885"/>
      <c r="VBA281" s="885"/>
      <c r="VBB281" s="885"/>
      <c r="VBC281" s="885"/>
      <c r="VBD281" s="885"/>
      <c r="VBE281" s="885"/>
      <c r="VBF281" s="885"/>
      <c r="VBG281" s="885"/>
      <c r="VBH281" s="885"/>
      <c r="VBI281" s="885"/>
      <c r="VBJ281" s="885"/>
      <c r="VBK281" s="885"/>
      <c r="VBL281" s="885"/>
      <c r="VBM281" s="885"/>
      <c r="VBN281" s="885"/>
      <c r="VBO281" s="885"/>
      <c r="VBP281" s="885"/>
      <c r="VBQ281" s="885"/>
      <c r="VBR281" s="885"/>
      <c r="VBS281" s="885"/>
      <c r="VBT281" s="885"/>
      <c r="VBU281" s="885"/>
      <c r="VBV281" s="885"/>
      <c r="VBW281" s="885"/>
      <c r="VBX281" s="885"/>
      <c r="VBY281" s="885"/>
      <c r="VBZ281" s="885"/>
      <c r="VCA281" s="885"/>
      <c r="VCB281" s="885"/>
      <c r="VCC281" s="885"/>
      <c r="VCD281" s="885"/>
      <c r="VCE281" s="885"/>
      <c r="VCF281" s="885"/>
      <c r="VCG281" s="885"/>
      <c r="VCH281" s="885"/>
      <c r="VCI281" s="885"/>
      <c r="VCJ281" s="885"/>
      <c r="VCK281" s="885"/>
      <c r="VCL281" s="885"/>
      <c r="VCM281" s="885"/>
      <c r="VCN281" s="885"/>
      <c r="VCO281" s="885"/>
      <c r="VCP281" s="885"/>
      <c r="VCQ281" s="885"/>
      <c r="VCR281" s="885"/>
      <c r="VCS281" s="885"/>
      <c r="VCT281" s="885"/>
      <c r="VCU281" s="885"/>
      <c r="VCV281" s="885"/>
      <c r="VCW281" s="885"/>
      <c r="VCX281" s="885"/>
      <c r="VCY281" s="885"/>
      <c r="VCZ281" s="885"/>
      <c r="VDA281" s="885"/>
      <c r="VDB281" s="885"/>
      <c r="VDC281" s="885"/>
      <c r="VDD281" s="885"/>
      <c r="VDE281" s="885"/>
      <c r="VDF281" s="885"/>
      <c r="VDG281" s="885"/>
      <c r="VDH281" s="885"/>
      <c r="VDI281" s="885"/>
      <c r="VDJ281" s="885"/>
      <c r="VDK281" s="885"/>
      <c r="VDL281" s="885"/>
      <c r="VDM281" s="885"/>
      <c r="VDN281" s="885"/>
      <c r="VDO281" s="885"/>
      <c r="VDP281" s="885"/>
      <c r="VDQ281" s="885"/>
      <c r="VDR281" s="885"/>
      <c r="VDS281" s="885"/>
      <c r="VDT281" s="885"/>
      <c r="VDU281" s="885"/>
      <c r="VDV281" s="885"/>
      <c r="VDW281" s="885"/>
      <c r="VDX281" s="885"/>
      <c r="VDY281" s="885"/>
      <c r="VDZ281" s="885"/>
      <c r="VEA281" s="885"/>
      <c r="VEB281" s="885"/>
      <c r="VEC281" s="885"/>
      <c r="VED281" s="885"/>
      <c r="VEE281" s="885"/>
      <c r="VEF281" s="885"/>
      <c r="VEG281" s="885"/>
      <c r="VEH281" s="885"/>
      <c r="VEI281" s="885"/>
      <c r="VEJ281" s="885"/>
      <c r="VEK281" s="885"/>
      <c r="VEL281" s="885"/>
      <c r="VEM281" s="885"/>
      <c r="VEN281" s="885"/>
      <c r="VEO281" s="885"/>
      <c r="VEP281" s="885"/>
      <c r="VEQ281" s="885"/>
      <c r="VER281" s="885"/>
      <c r="VES281" s="885"/>
      <c r="VET281" s="885"/>
      <c r="VEU281" s="885"/>
      <c r="VEV281" s="885"/>
      <c r="VEW281" s="885"/>
      <c r="VEX281" s="885"/>
      <c r="VEY281" s="885"/>
      <c r="VEZ281" s="885"/>
      <c r="VFA281" s="885"/>
      <c r="VFB281" s="885"/>
      <c r="VFC281" s="885"/>
      <c r="VFD281" s="885"/>
      <c r="VFE281" s="885"/>
      <c r="VFF281" s="885"/>
      <c r="VFG281" s="885"/>
      <c r="VFH281" s="885"/>
      <c r="VFI281" s="885"/>
      <c r="VFJ281" s="885"/>
      <c r="VFK281" s="885"/>
      <c r="VFL281" s="885"/>
      <c r="VFM281" s="885"/>
      <c r="VFN281" s="885"/>
      <c r="VFO281" s="885"/>
      <c r="VFP281" s="885"/>
      <c r="VFQ281" s="885"/>
      <c r="VFR281" s="885"/>
      <c r="VFS281" s="885"/>
      <c r="VFT281" s="885"/>
      <c r="VFU281" s="885"/>
      <c r="VFV281" s="885"/>
      <c r="VFW281" s="885"/>
      <c r="VFX281" s="885"/>
      <c r="VFY281" s="885"/>
      <c r="VFZ281" s="885"/>
      <c r="VGA281" s="885"/>
      <c r="VGB281" s="885"/>
      <c r="VGC281" s="885"/>
      <c r="VGD281" s="885"/>
      <c r="VGE281" s="885"/>
      <c r="VGF281" s="885"/>
      <c r="VGG281" s="885"/>
      <c r="VGH281" s="885"/>
      <c r="VGI281" s="885"/>
      <c r="VGJ281" s="885"/>
      <c r="VGK281" s="885"/>
      <c r="VGL281" s="885"/>
      <c r="VGM281" s="885"/>
      <c r="VGN281" s="885"/>
      <c r="VGO281" s="885"/>
      <c r="VGP281" s="885"/>
      <c r="VGQ281" s="885"/>
      <c r="VGR281" s="885"/>
      <c r="VGS281" s="885"/>
      <c r="VGT281" s="885"/>
      <c r="VGU281" s="885"/>
      <c r="VGV281" s="885"/>
      <c r="VGW281" s="885"/>
      <c r="VGX281" s="885"/>
      <c r="VGY281" s="885"/>
      <c r="VGZ281" s="885"/>
      <c r="VHA281" s="885"/>
      <c r="VHB281" s="885"/>
      <c r="VHC281" s="885"/>
      <c r="VHD281" s="885"/>
      <c r="VHE281" s="885"/>
      <c r="VHF281" s="885"/>
      <c r="VHG281" s="885"/>
      <c r="VHH281" s="885"/>
      <c r="VHI281" s="885"/>
      <c r="VHJ281" s="885"/>
      <c r="VHK281" s="885"/>
      <c r="VHL281" s="885"/>
      <c r="VHM281" s="885"/>
      <c r="VHN281" s="885"/>
      <c r="VHO281" s="885"/>
      <c r="VHP281" s="885"/>
      <c r="VHQ281" s="885"/>
      <c r="VHR281" s="885"/>
      <c r="VHS281" s="885"/>
      <c r="VHT281" s="885"/>
      <c r="VHU281" s="885"/>
      <c r="VHV281" s="885"/>
      <c r="VHW281" s="885"/>
      <c r="VHX281" s="885"/>
      <c r="VHY281" s="885"/>
      <c r="VHZ281" s="885"/>
      <c r="VIA281" s="885"/>
      <c r="VIB281" s="885"/>
      <c r="VIC281" s="885"/>
      <c r="VID281" s="885"/>
      <c r="VIE281" s="885"/>
      <c r="VIF281" s="885"/>
      <c r="VIG281" s="885"/>
      <c r="VIH281" s="885"/>
      <c r="VII281" s="885"/>
      <c r="VIJ281" s="885"/>
      <c r="VIK281" s="885"/>
      <c r="VIL281" s="885"/>
      <c r="VIM281" s="885"/>
      <c r="VIN281" s="885"/>
      <c r="VIO281" s="885"/>
      <c r="VIP281" s="885"/>
      <c r="VIQ281" s="885"/>
      <c r="VIR281" s="885"/>
      <c r="VIS281" s="885"/>
      <c r="VIT281" s="885"/>
      <c r="VIU281" s="885"/>
      <c r="VIV281" s="885"/>
      <c r="VIW281" s="885"/>
      <c r="VIX281" s="885"/>
      <c r="VIY281" s="885"/>
      <c r="VIZ281" s="885"/>
      <c r="VJA281" s="885"/>
      <c r="VJB281" s="885"/>
      <c r="VJC281" s="885"/>
      <c r="VJD281" s="885"/>
      <c r="VJE281" s="885"/>
      <c r="VJF281" s="885"/>
      <c r="VJG281" s="885"/>
      <c r="VJH281" s="885"/>
      <c r="VJI281" s="885"/>
      <c r="VJJ281" s="885"/>
      <c r="VJK281" s="885"/>
      <c r="VJL281" s="885"/>
      <c r="VJM281" s="885"/>
      <c r="VJN281" s="885"/>
      <c r="VJO281" s="885"/>
      <c r="VJP281" s="885"/>
      <c r="VJQ281" s="885"/>
      <c r="VJR281" s="885"/>
      <c r="VJS281" s="885"/>
      <c r="VJT281" s="885"/>
      <c r="VJU281" s="885"/>
      <c r="VJV281" s="885"/>
      <c r="VJW281" s="885"/>
      <c r="VJX281" s="885"/>
      <c r="VJY281" s="885"/>
      <c r="VJZ281" s="885"/>
      <c r="VKA281" s="885"/>
      <c r="VKB281" s="885"/>
      <c r="VKC281" s="885"/>
      <c r="VKD281" s="885"/>
      <c r="VKE281" s="885"/>
      <c r="VKF281" s="885"/>
      <c r="VKG281" s="885"/>
      <c r="VKH281" s="885"/>
      <c r="VKI281" s="885"/>
      <c r="VKJ281" s="885"/>
      <c r="VKK281" s="885"/>
      <c r="VKL281" s="885"/>
      <c r="VKM281" s="885"/>
      <c r="VKN281" s="885"/>
      <c r="VKO281" s="885"/>
      <c r="VKP281" s="885"/>
      <c r="VKQ281" s="885"/>
      <c r="VKR281" s="885"/>
      <c r="VKS281" s="885"/>
      <c r="VKT281" s="885"/>
      <c r="VKU281" s="885"/>
      <c r="VKV281" s="885"/>
      <c r="VKW281" s="885"/>
      <c r="VKX281" s="885"/>
      <c r="VKY281" s="885"/>
      <c r="VKZ281" s="885"/>
      <c r="VLA281" s="885"/>
      <c r="VLB281" s="885"/>
      <c r="VLC281" s="885"/>
      <c r="VLD281" s="885"/>
      <c r="VLE281" s="885"/>
      <c r="VLF281" s="885"/>
      <c r="VLG281" s="885"/>
      <c r="VLH281" s="885"/>
      <c r="VLI281" s="885"/>
      <c r="VLJ281" s="885"/>
      <c r="VLK281" s="885"/>
      <c r="VLL281" s="885"/>
      <c r="VLM281" s="885"/>
      <c r="VLN281" s="885"/>
      <c r="VLO281" s="885"/>
      <c r="VLP281" s="885"/>
      <c r="VLQ281" s="885"/>
      <c r="VLR281" s="885"/>
      <c r="VLS281" s="885"/>
      <c r="VLT281" s="885"/>
      <c r="VLU281" s="885"/>
      <c r="VLV281" s="885"/>
      <c r="VLW281" s="885"/>
      <c r="VLX281" s="885"/>
      <c r="VLY281" s="885"/>
      <c r="VLZ281" s="885"/>
      <c r="VMA281" s="885"/>
      <c r="VMB281" s="885"/>
      <c r="VMC281" s="885"/>
      <c r="VMD281" s="885"/>
      <c r="VME281" s="885"/>
      <c r="VMF281" s="885"/>
      <c r="VMG281" s="885"/>
      <c r="VMH281" s="885"/>
      <c r="VMI281" s="885"/>
      <c r="VMJ281" s="885"/>
      <c r="VMK281" s="885"/>
      <c r="VML281" s="885"/>
      <c r="VMM281" s="885"/>
      <c r="VMN281" s="885"/>
      <c r="VMO281" s="885"/>
      <c r="VMP281" s="885"/>
      <c r="VMQ281" s="885"/>
      <c r="VMR281" s="885"/>
      <c r="VMS281" s="885"/>
      <c r="VMT281" s="885"/>
      <c r="VMU281" s="885"/>
      <c r="VMV281" s="885"/>
      <c r="VMW281" s="885"/>
      <c r="VMX281" s="885"/>
      <c r="VMY281" s="885"/>
      <c r="VMZ281" s="885"/>
      <c r="VNA281" s="885"/>
      <c r="VNB281" s="885"/>
      <c r="VNC281" s="885"/>
      <c r="VND281" s="885"/>
      <c r="VNE281" s="885"/>
      <c r="VNF281" s="885"/>
      <c r="VNG281" s="885"/>
      <c r="VNH281" s="885"/>
      <c r="VNI281" s="885"/>
      <c r="VNJ281" s="885"/>
      <c r="VNK281" s="885"/>
      <c r="VNL281" s="885"/>
      <c r="VNM281" s="885"/>
      <c r="VNN281" s="885"/>
      <c r="VNO281" s="885"/>
      <c r="VNP281" s="885"/>
      <c r="VNQ281" s="885"/>
      <c r="VNR281" s="885"/>
      <c r="VNS281" s="885"/>
      <c r="VNT281" s="885"/>
      <c r="VNU281" s="885"/>
      <c r="VNV281" s="885"/>
      <c r="VNW281" s="885"/>
      <c r="VNX281" s="885"/>
      <c r="VNY281" s="885"/>
      <c r="VNZ281" s="885"/>
      <c r="VOA281" s="885"/>
      <c r="VOB281" s="885"/>
      <c r="VOC281" s="885"/>
      <c r="VOD281" s="885"/>
      <c r="VOE281" s="885"/>
      <c r="VOF281" s="885"/>
      <c r="VOG281" s="885"/>
      <c r="VOH281" s="885"/>
      <c r="VOI281" s="885"/>
      <c r="VOJ281" s="885"/>
      <c r="VOK281" s="885"/>
      <c r="VOL281" s="885"/>
      <c r="VOM281" s="885"/>
      <c r="VON281" s="885"/>
      <c r="VOO281" s="885"/>
      <c r="VOP281" s="885"/>
      <c r="VOQ281" s="885"/>
      <c r="VOR281" s="885"/>
      <c r="VOS281" s="885"/>
      <c r="VOT281" s="885"/>
      <c r="VOU281" s="885"/>
      <c r="VOV281" s="885"/>
      <c r="VOW281" s="885"/>
      <c r="VOX281" s="885"/>
      <c r="VOY281" s="885"/>
      <c r="VOZ281" s="885"/>
      <c r="VPA281" s="885"/>
      <c r="VPB281" s="885"/>
      <c r="VPC281" s="885"/>
      <c r="VPD281" s="885"/>
      <c r="VPE281" s="885"/>
      <c r="VPF281" s="885"/>
      <c r="VPG281" s="885"/>
      <c r="VPH281" s="885"/>
      <c r="VPI281" s="885"/>
      <c r="VPJ281" s="885"/>
      <c r="VPK281" s="885"/>
      <c r="VPL281" s="885"/>
      <c r="VPM281" s="885"/>
      <c r="VPN281" s="885"/>
      <c r="VPO281" s="885"/>
      <c r="VPP281" s="885"/>
      <c r="VPQ281" s="885"/>
      <c r="VPR281" s="885"/>
      <c r="VPS281" s="885"/>
      <c r="VPT281" s="885"/>
      <c r="VPU281" s="885"/>
      <c r="VPV281" s="885"/>
      <c r="VPW281" s="885"/>
      <c r="VPX281" s="885"/>
      <c r="VPY281" s="885"/>
      <c r="VPZ281" s="885"/>
      <c r="VQA281" s="885"/>
      <c r="VQB281" s="885"/>
      <c r="VQC281" s="885"/>
      <c r="VQD281" s="885"/>
      <c r="VQE281" s="885"/>
      <c r="VQF281" s="885"/>
      <c r="VQG281" s="885"/>
      <c r="VQH281" s="885"/>
      <c r="VQI281" s="885"/>
      <c r="VQJ281" s="885"/>
      <c r="VQK281" s="885"/>
      <c r="VQL281" s="885"/>
      <c r="VQM281" s="885"/>
      <c r="VQN281" s="885"/>
      <c r="VQO281" s="885"/>
      <c r="VQP281" s="885"/>
      <c r="VQQ281" s="885"/>
      <c r="VQR281" s="885"/>
      <c r="VQS281" s="885"/>
      <c r="VQT281" s="885"/>
      <c r="VQU281" s="885"/>
      <c r="VQV281" s="885"/>
      <c r="VQW281" s="885"/>
      <c r="VQX281" s="885"/>
      <c r="VQY281" s="885"/>
      <c r="VQZ281" s="885"/>
      <c r="VRA281" s="885"/>
      <c r="VRB281" s="885"/>
      <c r="VRC281" s="885"/>
      <c r="VRD281" s="885"/>
      <c r="VRE281" s="885"/>
      <c r="VRF281" s="885"/>
      <c r="VRG281" s="885"/>
      <c r="VRH281" s="885"/>
      <c r="VRI281" s="885"/>
      <c r="VRJ281" s="885"/>
      <c r="VRK281" s="885"/>
      <c r="VRL281" s="885"/>
      <c r="VRM281" s="885"/>
      <c r="VRN281" s="885"/>
      <c r="VRO281" s="885"/>
      <c r="VRP281" s="885"/>
      <c r="VRQ281" s="885"/>
      <c r="VRR281" s="885"/>
      <c r="VRS281" s="885"/>
      <c r="VRT281" s="885"/>
      <c r="VRU281" s="885"/>
      <c r="VRV281" s="885"/>
      <c r="VRW281" s="885"/>
      <c r="VRX281" s="885"/>
      <c r="VRY281" s="885"/>
      <c r="VRZ281" s="885"/>
      <c r="VSA281" s="885"/>
      <c r="VSB281" s="885"/>
      <c r="VSC281" s="885"/>
      <c r="VSD281" s="885"/>
      <c r="VSE281" s="885"/>
      <c r="VSF281" s="885"/>
      <c r="VSG281" s="885"/>
      <c r="VSH281" s="885"/>
      <c r="VSI281" s="885"/>
      <c r="VSJ281" s="885"/>
      <c r="VSK281" s="885"/>
      <c r="VSL281" s="885"/>
      <c r="VSM281" s="885"/>
      <c r="VSN281" s="885"/>
      <c r="VSO281" s="885"/>
      <c r="VSP281" s="885"/>
      <c r="VSQ281" s="885"/>
      <c r="VSR281" s="885"/>
      <c r="VSS281" s="885"/>
      <c r="VST281" s="885"/>
      <c r="VSU281" s="885"/>
      <c r="VSV281" s="885"/>
      <c r="VSW281" s="885"/>
      <c r="VSX281" s="885"/>
      <c r="VSY281" s="885"/>
      <c r="VSZ281" s="885"/>
      <c r="VTA281" s="885"/>
      <c r="VTB281" s="885"/>
      <c r="VTC281" s="885"/>
      <c r="VTD281" s="885"/>
      <c r="VTE281" s="885"/>
      <c r="VTF281" s="885"/>
      <c r="VTG281" s="885"/>
      <c r="VTH281" s="885"/>
      <c r="VTI281" s="885"/>
      <c r="VTJ281" s="885"/>
      <c r="VTK281" s="885"/>
      <c r="VTL281" s="885"/>
      <c r="VTM281" s="885"/>
      <c r="VTN281" s="885"/>
      <c r="VTO281" s="885"/>
      <c r="VTP281" s="885"/>
      <c r="VTQ281" s="885"/>
      <c r="VTR281" s="885"/>
      <c r="VTS281" s="885"/>
      <c r="VTT281" s="885"/>
      <c r="VTU281" s="885"/>
      <c r="VTV281" s="885"/>
      <c r="VTW281" s="885"/>
      <c r="VTX281" s="885"/>
      <c r="VTY281" s="885"/>
      <c r="VTZ281" s="885"/>
      <c r="VUA281" s="885"/>
      <c r="VUB281" s="885"/>
      <c r="VUC281" s="885"/>
      <c r="VUD281" s="885"/>
      <c r="VUE281" s="885"/>
      <c r="VUF281" s="885"/>
      <c r="VUG281" s="885"/>
      <c r="VUH281" s="885"/>
      <c r="VUI281" s="885"/>
      <c r="VUJ281" s="885"/>
      <c r="VUK281" s="885"/>
      <c r="VUL281" s="885"/>
      <c r="VUM281" s="885"/>
      <c r="VUN281" s="885"/>
      <c r="VUO281" s="885"/>
      <c r="VUP281" s="885"/>
      <c r="VUQ281" s="885"/>
      <c r="VUR281" s="885"/>
      <c r="VUS281" s="885"/>
      <c r="VUT281" s="885"/>
      <c r="VUU281" s="885"/>
      <c r="VUV281" s="885"/>
      <c r="VUW281" s="885"/>
      <c r="VUX281" s="885"/>
      <c r="VUY281" s="885"/>
      <c r="VUZ281" s="885"/>
      <c r="VVA281" s="885"/>
      <c r="VVB281" s="885"/>
      <c r="VVC281" s="885"/>
      <c r="VVD281" s="885"/>
      <c r="VVE281" s="885"/>
      <c r="VVF281" s="885"/>
      <c r="VVG281" s="885"/>
      <c r="VVH281" s="885"/>
      <c r="VVI281" s="885"/>
      <c r="VVJ281" s="885"/>
      <c r="VVK281" s="885"/>
      <c r="VVL281" s="885"/>
      <c r="VVM281" s="885"/>
      <c r="VVN281" s="885"/>
      <c r="VVO281" s="885"/>
      <c r="VVP281" s="885"/>
      <c r="VVQ281" s="885"/>
      <c r="VVR281" s="885"/>
      <c r="VVS281" s="885"/>
      <c r="VVT281" s="885"/>
      <c r="VVU281" s="885"/>
      <c r="VVV281" s="885"/>
      <c r="VVW281" s="885"/>
      <c r="VVX281" s="885"/>
      <c r="VVY281" s="885"/>
      <c r="VVZ281" s="885"/>
      <c r="VWA281" s="885"/>
      <c r="VWB281" s="885"/>
      <c r="VWC281" s="885"/>
      <c r="VWD281" s="885"/>
      <c r="VWE281" s="885"/>
      <c r="VWF281" s="885"/>
      <c r="VWG281" s="885"/>
      <c r="VWH281" s="885"/>
      <c r="VWI281" s="885"/>
      <c r="VWJ281" s="885"/>
      <c r="VWK281" s="885"/>
      <c r="VWL281" s="885"/>
      <c r="VWM281" s="885"/>
      <c r="VWN281" s="885"/>
      <c r="VWO281" s="885"/>
      <c r="VWP281" s="885"/>
      <c r="VWQ281" s="885"/>
      <c r="VWR281" s="885"/>
      <c r="VWS281" s="885"/>
      <c r="VWT281" s="885"/>
      <c r="VWU281" s="885"/>
      <c r="VWV281" s="885"/>
      <c r="VWW281" s="885"/>
      <c r="VWX281" s="885"/>
      <c r="VWY281" s="885"/>
      <c r="VWZ281" s="885"/>
      <c r="VXA281" s="885"/>
      <c r="VXB281" s="885"/>
      <c r="VXC281" s="885"/>
      <c r="VXD281" s="885"/>
      <c r="VXE281" s="885"/>
      <c r="VXF281" s="885"/>
      <c r="VXG281" s="885"/>
      <c r="VXH281" s="885"/>
      <c r="VXI281" s="885"/>
      <c r="VXJ281" s="885"/>
      <c r="VXK281" s="885"/>
      <c r="VXL281" s="885"/>
      <c r="VXM281" s="885"/>
      <c r="VXN281" s="885"/>
      <c r="VXO281" s="885"/>
      <c r="VXP281" s="885"/>
      <c r="VXQ281" s="885"/>
      <c r="VXR281" s="885"/>
      <c r="VXS281" s="885"/>
      <c r="VXT281" s="885"/>
      <c r="VXU281" s="885"/>
      <c r="VXV281" s="885"/>
      <c r="VXW281" s="885"/>
      <c r="VXX281" s="885"/>
      <c r="VXY281" s="885"/>
      <c r="VXZ281" s="885"/>
      <c r="VYA281" s="885"/>
      <c r="VYB281" s="885"/>
      <c r="VYC281" s="885"/>
      <c r="VYD281" s="885"/>
      <c r="VYE281" s="885"/>
      <c r="VYF281" s="885"/>
      <c r="VYG281" s="885"/>
      <c r="VYH281" s="885"/>
      <c r="VYI281" s="885"/>
      <c r="VYJ281" s="885"/>
      <c r="VYK281" s="885"/>
      <c r="VYL281" s="885"/>
      <c r="VYM281" s="885"/>
      <c r="VYN281" s="885"/>
      <c r="VYO281" s="885"/>
      <c r="VYP281" s="885"/>
      <c r="VYQ281" s="885"/>
      <c r="VYR281" s="885"/>
      <c r="VYS281" s="885"/>
      <c r="VYT281" s="885"/>
      <c r="VYU281" s="885"/>
      <c r="VYV281" s="885"/>
      <c r="VYW281" s="885"/>
      <c r="VYX281" s="885"/>
      <c r="VYY281" s="885"/>
      <c r="VYZ281" s="885"/>
      <c r="VZA281" s="885"/>
      <c r="VZB281" s="885"/>
      <c r="VZC281" s="885"/>
      <c r="VZD281" s="885"/>
      <c r="VZE281" s="885"/>
      <c r="VZF281" s="885"/>
      <c r="VZG281" s="885"/>
      <c r="VZH281" s="885"/>
      <c r="VZI281" s="885"/>
      <c r="VZJ281" s="885"/>
      <c r="VZK281" s="885"/>
      <c r="VZL281" s="885"/>
      <c r="VZM281" s="885"/>
      <c r="VZN281" s="885"/>
      <c r="VZO281" s="885"/>
      <c r="VZP281" s="885"/>
      <c r="VZQ281" s="885"/>
      <c r="VZR281" s="885"/>
      <c r="VZS281" s="885"/>
      <c r="VZT281" s="885"/>
      <c r="VZU281" s="885"/>
      <c r="VZV281" s="885"/>
      <c r="VZW281" s="885"/>
      <c r="VZX281" s="885"/>
      <c r="VZY281" s="885"/>
      <c r="VZZ281" s="885"/>
      <c r="WAA281" s="885"/>
      <c r="WAB281" s="885"/>
      <c r="WAC281" s="885"/>
      <c r="WAD281" s="885"/>
      <c r="WAE281" s="885"/>
      <c r="WAF281" s="885"/>
      <c r="WAG281" s="885"/>
      <c r="WAH281" s="885"/>
      <c r="WAI281" s="885"/>
      <c r="WAJ281" s="885"/>
      <c r="WAK281" s="885"/>
      <c r="WAL281" s="885"/>
      <c r="WAM281" s="885"/>
      <c r="WAN281" s="885"/>
      <c r="WAO281" s="885"/>
      <c r="WAP281" s="885"/>
      <c r="WAQ281" s="885"/>
      <c r="WAR281" s="885"/>
      <c r="WAS281" s="885"/>
      <c r="WAT281" s="885"/>
      <c r="WAU281" s="885"/>
      <c r="WAV281" s="885"/>
      <c r="WAW281" s="885"/>
      <c r="WAX281" s="885"/>
      <c r="WAY281" s="885"/>
      <c r="WAZ281" s="885"/>
      <c r="WBA281" s="885"/>
      <c r="WBB281" s="885"/>
      <c r="WBC281" s="885"/>
      <c r="WBD281" s="885"/>
      <c r="WBE281" s="885"/>
      <c r="WBF281" s="885"/>
      <c r="WBG281" s="885"/>
      <c r="WBH281" s="885"/>
      <c r="WBI281" s="885"/>
      <c r="WBJ281" s="885"/>
      <c r="WBK281" s="885"/>
      <c r="WBL281" s="885"/>
      <c r="WBM281" s="885"/>
      <c r="WBN281" s="885"/>
      <c r="WBO281" s="885"/>
      <c r="WBP281" s="885"/>
      <c r="WBQ281" s="885"/>
      <c r="WBR281" s="885"/>
      <c r="WBS281" s="885"/>
      <c r="WBT281" s="885"/>
      <c r="WBU281" s="885"/>
      <c r="WBV281" s="885"/>
      <c r="WBW281" s="885"/>
      <c r="WBX281" s="885"/>
      <c r="WBY281" s="885"/>
      <c r="WBZ281" s="885"/>
      <c r="WCA281" s="885"/>
      <c r="WCB281" s="885"/>
      <c r="WCC281" s="885"/>
      <c r="WCD281" s="885"/>
      <c r="WCE281" s="885"/>
      <c r="WCF281" s="885"/>
      <c r="WCG281" s="885"/>
      <c r="WCH281" s="885"/>
      <c r="WCI281" s="885"/>
      <c r="WCJ281" s="885"/>
      <c r="WCK281" s="885"/>
      <c r="WCL281" s="885"/>
      <c r="WCM281" s="885"/>
      <c r="WCN281" s="885"/>
      <c r="WCO281" s="885"/>
      <c r="WCP281" s="885"/>
      <c r="WCQ281" s="885"/>
      <c r="WCR281" s="885"/>
      <c r="WCS281" s="885"/>
      <c r="WCT281" s="885"/>
      <c r="WCU281" s="885"/>
      <c r="WCV281" s="885"/>
      <c r="WCW281" s="885"/>
      <c r="WCX281" s="885"/>
      <c r="WCY281" s="885"/>
      <c r="WCZ281" s="885"/>
      <c r="WDA281" s="885"/>
      <c r="WDB281" s="885"/>
      <c r="WDC281" s="885"/>
      <c r="WDD281" s="885"/>
      <c r="WDE281" s="885"/>
      <c r="WDF281" s="885"/>
      <c r="WDG281" s="885"/>
      <c r="WDH281" s="885"/>
      <c r="WDI281" s="885"/>
      <c r="WDJ281" s="885"/>
      <c r="WDK281" s="885"/>
      <c r="WDL281" s="885"/>
      <c r="WDM281" s="885"/>
      <c r="WDN281" s="885"/>
      <c r="WDO281" s="885"/>
      <c r="WDP281" s="885"/>
      <c r="WDQ281" s="885"/>
      <c r="WDR281" s="885"/>
      <c r="WDS281" s="885"/>
      <c r="WDT281" s="885"/>
      <c r="WDU281" s="885"/>
      <c r="WDV281" s="885"/>
      <c r="WDW281" s="885"/>
      <c r="WDX281" s="885"/>
      <c r="WDY281" s="885"/>
      <c r="WDZ281" s="885"/>
      <c r="WEA281" s="885"/>
      <c r="WEB281" s="885"/>
      <c r="WEC281" s="885"/>
      <c r="WED281" s="885"/>
      <c r="WEE281" s="885"/>
      <c r="WEF281" s="885"/>
      <c r="WEG281" s="885"/>
      <c r="WEH281" s="885"/>
      <c r="WEI281" s="885"/>
      <c r="WEJ281" s="885"/>
      <c r="WEK281" s="885"/>
      <c r="WEL281" s="885"/>
      <c r="WEM281" s="885"/>
      <c r="WEN281" s="885"/>
      <c r="WEO281" s="885"/>
      <c r="WEP281" s="885"/>
      <c r="WEQ281" s="885"/>
      <c r="WER281" s="885"/>
      <c r="WES281" s="885"/>
      <c r="WET281" s="885"/>
      <c r="WEU281" s="885"/>
      <c r="WEV281" s="885"/>
      <c r="WEW281" s="885"/>
      <c r="WEX281" s="885"/>
      <c r="WEY281" s="885"/>
      <c r="WEZ281" s="885"/>
      <c r="WFA281" s="885"/>
      <c r="WFB281" s="885"/>
      <c r="WFC281" s="885"/>
      <c r="WFD281" s="885"/>
      <c r="WFE281" s="885"/>
      <c r="WFF281" s="885"/>
      <c r="WFG281" s="885"/>
      <c r="WFH281" s="885"/>
      <c r="WFI281" s="885"/>
      <c r="WFJ281" s="885"/>
      <c r="WFK281" s="885"/>
      <c r="WFL281" s="885"/>
      <c r="WFM281" s="885"/>
      <c r="WFN281" s="885"/>
      <c r="WFO281" s="885"/>
      <c r="WFP281" s="885"/>
      <c r="WFQ281" s="885"/>
      <c r="WFR281" s="885"/>
      <c r="WFS281" s="885"/>
      <c r="WFT281" s="885"/>
      <c r="WFU281" s="885"/>
      <c r="WFV281" s="885"/>
      <c r="WFW281" s="885"/>
      <c r="WFX281" s="885"/>
      <c r="WFY281" s="885"/>
      <c r="WFZ281" s="885"/>
      <c r="WGA281" s="885"/>
      <c r="WGB281" s="885"/>
      <c r="WGC281" s="885"/>
      <c r="WGD281" s="885"/>
      <c r="WGE281" s="885"/>
      <c r="WGF281" s="885"/>
      <c r="WGG281" s="885"/>
      <c r="WGH281" s="885"/>
      <c r="WGI281" s="885"/>
      <c r="WGJ281" s="885"/>
      <c r="WGK281" s="885"/>
      <c r="WGL281" s="885"/>
      <c r="WGM281" s="885"/>
      <c r="WGN281" s="885"/>
      <c r="WGO281" s="885"/>
      <c r="WGP281" s="885"/>
      <c r="WGQ281" s="885"/>
      <c r="WGR281" s="885"/>
      <c r="WGS281" s="885"/>
      <c r="WGT281" s="885"/>
      <c r="WGU281" s="885"/>
      <c r="WGV281" s="885"/>
      <c r="WGW281" s="885"/>
      <c r="WGX281" s="885"/>
      <c r="WGY281" s="885"/>
      <c r="WGZ281" s="885"/>
      <c r="WHA281" s="885"/>
      <c r="WHB281" s="885"/>
      <c r="WHC281" s="885"/>
      <c r="WHD281" s="885"/>
      <c r="WHE281" s="885"/>
      <c r="WHF281" s="885"/>
      <c r="WHG281" s="885"/>
      <c r="WHH281" s="885"/>
      <c r="WHI281" s="885"/>
      <c r="WHJ281" s="885"/>
      <c r="WHK281" s="885"/>
      <c r="WHL281" s="885"/>
      <c r="WHM281" s="885"/>
      <c r="WHN281" s="885"/>
      <c r="WHO281" s="885"/>
      <c r="WHP281" s="885"/>
      <c r="WHQ281" s="885"/>
      <c r="WHR281" s="885"/>
      <c r="WHS281" s="885"/>
      <c r="WHT281" s="885"/>
      <c r="WHU281" s="885"/>
      <c r="WHV281" s="885"/>
      <c r="WHW281" s="885"/>
      <c r="WHX281" s="885"/>
      <c r="WHY281" s="885"/>
      <c r="WHZ281" s="885"/>
      <c r="WIA281" s="885"/>
      <c r="WIB281" s="885"/>
      <c r="WIC281" s="885"/>
      <c r="WID281" s="885"/>
      <c r="WIE281" s="885"/>
      <c r="WIF281" s="885"/>
      <c r="WIG281" s="885"/>
      <c r="WIH281" s="885"/>
      <c r="WII281" s="885"/>
      <c r="WIJ281" s="885"/>
      <c r="WIK281" s="885"/>
      <c r="WIL281" s="885"/>
      <c r="WIM281" s="885"/>
      <c r="WIN281" s="885"/>
      <c r="WIO281" s="885"/>
      <c r="WIP281" s="885"/>
      <c r="WIQ281" s="885"/>
      <c r="WIR281" s="885"/>
      <c r="WIS281" s="885"/>
      <c r="WIT281" s="885"/>
      <c r="WIU281" s="885"/>
      <c r="WIV281" s="885"/>
      <c r="WIW281" s="885"/>
      <c r="WIX281" s="885"/>
      <c r="WIY281" s="885"/>
      <c r="WIZ281" s="885"/>
      <c r="WJA281" s="885"/>
      <c r="WJB281" s="885"/>
      <c r="WJC281" s="885"/>
      <c r="WJD281" s="885"/>
      <c r="WJE281" s="885"/>
      <c r="WJF281" s="885"/>
      <c r="WJG281" s="885"/>
      <c r="WJH281" s="885"/>
      <c r="WJI281" s="885"/>
      <c r="WJJ281" s="885"/>
      <c r="WJK281" s="885"/>
      <c r="WJL281" s="885"/>
      <c r="WJM281" s="885"/>
      <c r="WJN281" s="885"/>
      <c r="WJO281" s="885"/>
      <c r="WJP281" s="885"/>
      <c r="WJQ281" s="885"/>
      <c r="WJR281" s="885"/>
      <c r="WJS281" s="885"/>
      <c r="WJT281" s="885"/>
      <c r="WJU281" s="885"/>
      <c r="WJV281" s="885"/>
      <c r="WJW281" s="885"/>
      <c r="WJX281" s="885"/>
      <c r="WJY281" s="885"/>
      <c r="WJZ281" s="885"/>
      <c r="WKA281" s="885"/>
      <c r="WKB281" s="885"/>
      <c r="WKC281" s="885"/>
      <c r="WKD281" s="885"/>
      <c r="WKE281" s="885"/>
      <c r="WKF281" s="885"/>
      <c r="WKG281" s="885"/>
      <c r="WKH281" s="885"/>
      <c r="WKI281" s="885"/>
      <c r="WKJ281" s="885"/>
      <c r="WKK281" s="885"/>
      <c r="WKL281" s="885"/>
      <c r="WKM281" s="885"/>
      <c r="WKN281" s="885"/>
      <c r="WKO281" s="885"/>
      <c r="WKP281" s="885"/>
      <c r="WKQ281" s="885"/>
      <c r="WKR281" s="885"/>
      <c r="WKS281" s="885"/>
      <c r="WKT281" s="885"/>
      <c r="WKU281" s="885"/>
      <c r="WKV281" s="885"/>
      <c r="WKW281" s="885"/>
      <c r="WKX281" s="885"/>
      <c r="WKY281" s="885"/>
      <c r="WKZ281" s="885"/>
      <c r="WLA281" s="885"/>
      <c r="WLB281" s="885"/>
      <c r="WLC281" s="885"/>
      <c r="WLD281" s="885"/>
      <c r="WLE281" s="885"/>
      <c r="WLF281" s="885"/>
      <c r="WLG281" s="885"/>
      <c r="WLH281" s="885"/>
      <c r="WLI281" s="885"/>
      <c r="WLJ281" s="885"/>
      <c r="WLK281" s="885"/>
      <c r="WLL281" s="885"/>
      <c r="WLM281" s="885"/>
      <c r="WLN281" s="885"/>
      <c r="WLO281" s="885"/>
      <c r="WLP281" s="885"/>
      <c r="WLQ281" s="885"/>
      <c r="WLR281" s="885"/>
      <c r="WLS281" s="885"/>
      <c r="WLT281" s="885"/>
      <c r="WLU281" s="885"/>
      <c r="WLV281" s="885"/>
      <c r="WLW281" s="885"/>
      <c r="WLX281" s="885"/>
      <c r="WLY281" s="885"/>
      <c r="WLZ281" s="885"/>
      <c r="WMA281" s="885"/>
      <c r="WMB281" s="885"/>
      <c r="WMC281" s="885"/>
      <c r="WMD281" s="885"/>
      <c r="WME281" s="885"/>
      <c r="WMF281" s="885"/>
      <c r="WMG281" s="885"/>
      <c r="WMH281" s="885"/>
      <c r="WMI281" s="885"/>
      <c r="WMJ281" s="885"/>
      <c r="WMK281" s="885"/>
      <c r="WML281" s="885"/>
      <c r="WMM281" s="885"/>
      <c r="WMN281" s="885"/>
      <c r="WMO281" s="885"/>
      <c r="WMP281" s="885"/>
      <c r="WMQ281" s="885"/>
      <c r="WMR281" s="885"/>
      <c r="WMS281" s="885"/>
      <c r="WMT281" s="885"/>
      <c r="WMU281" s="885"/>
      <c r="WMV281" s="885"/>
      <c r="WMW281" s="885"/>
      <c r="WMX281" s="885"/>
      <c r="WMY281" s="885"/>
      <c r="WMZ281" s="885"/>
      <c r="WNA281" s="885"/>
      <c r="WNB281" s="885"/>
      <c r="WNC281" s="885"/>
      <c r="WND281" s="885"/>
      <c r="WNE281" s="885"/>
      <c r="WNF281" s="885"/>
      <c r="WNG281" s="885"/>
      <c r="WNH281" s="885"/>
      <c r="WNI281" s="885"/>
      <c r="WNJ281" s="885"/>
      <c r="WNK281" s="885"/>
      <c r="WNL281" s="885"/>
      <c r="WNM281" s="885"/>
      <c r="WNN281" s="885"/>
      <c r="WNO281" s="885"/>
      <c r="WNP281" s="885"/>
      <c r="WNQ281" s="885"/>
      <c r="WNR281" s="885"/>
      <c r="WNS281" s="885"/>
      <c r="WNT281" s="885"/>
      <c r="WNU281" s="885"/>
      <c r="WNV281" s="885"/>
      <c r="WNW281" s="885"/>
      <c r="WNX281" s="885"/>
      <c r="WNY281" s="885"/>
      <c r="WNZ281" s="885"/>
      <c r="WOA281" s="885"/>
      <c r="WOB281" s="885"/>
      <c r="WOC281" s="885"/>
      <c r="WOD281" s="885"/>
      <c r="WOE281" s="885"/>
      <c r="WOF281" s="885"/>
      <c r="WOG281" s="885"/>
      <c r="WOH281" s="885"/>
      <c r="WOI281" s="885"/>
      <c r="WOJ281" s="885"/>
      <c r="WOK281" s="885"/>
      <c r="WOL281" s="885"/>
      <c r="WOM281" s="885"/>
      <c r="WON281" s="885"/>
      <c r="WOO281" s="885"/>
      <c r="WOP281" s="885"/>
      <c r="WOQ281" s="885"/>
      <c r="WOR281" s="885"/>
      <c r="WOS281" s="885"/>
      <c r="WOT281" s="885"/>
      <c r="WOU281" s="885"/>
      <c r="WOV281" s="885"/>
      <c r="WOW281" s="885"/>
      <c r="WOX281" s="885"/>
      <c r="WOY281" s="885"/>
      <c r="WOZ281" s="885"/>
      <c r="WPA281" s="885"/>
      <c r="WPB281" s="885"/>
      <c r="WPC281" s="885"/>
      <c r="WPD281" s="885"/>
      <c r="WPE281" s="885"/>
      <c r="WPF281" s="885"/>
      <c r="WPG281" s="885"/>
      <c r="WPH281" s="885"/>
      <c r="WPI281" s="885"/>
      <c r="WPJ281" s="885"/>
      <c r="WPK281" s="885"/>
      <c r="WPL281" s="885"/>
      <c r="WPM281" s="885"/>
      <c r="WPN281" s="885"/>
      <c r="WPO281" s="885"/>
      <c r="WPP281" s="885"/>
      <c r="WPQ281" s="885"/>
      <c r="WPR281" s="885"/>
      <c r="WPS281" s="885"/>
      <c r="WPT281" s="885"/>
      <c r="WPU281" s="885"/>
      <c r="WPV281" s="885"/>
      <c r="WPW281" s="885"/>
      <c r="WPX281" s="885"/>
      <c r="WPY281" s="885"/>
      <c r="WPZ281" s="885"/>
      <c r="WQA281" s="885"/>
      <c r="WQB281" s="885"/>
      <c r="WQC281" s="885"/>
      <c r="WQD281" s="885"/>
      <c r="WQE281" s="885"/>
      <c r="WQF281" s="885"/>
      <c r="WQG281" s="885"/>
      <c r="WQH281" s="885"/>
      <c r="WQI281" s="885"/>
      <c r="WQJ281" s="885"/>
      <c r="WQK281" s="885"/>
      <c r="WQL281" s="885"/>
      <c r="WQM281" s="885"/>
      <c r="WQN281" s="885"/>
      <c r="WQO281" s="885"/>
      <c r="WQP281" s="885"/>
      <c r="WQQ281" s="885"/>
      <c r="WQR281" s="885"/>
      <c r="WQS281" s="885"/>
      <c r="WQT281" s="885"/>
      <c r="WQU281" s="885"/>
      <c r="WQV281" s="885"/>
      <c r="WQW281" s="885"/>
      <c r="WQX281" s="885"/>
      <c r="WQY281" s="885"/>
      <c r="WQZ281" s="885"/>
      <c r="WRA281" s="885"/>
      <c r="WRB281" s="885"/>
      <c r="WRC281" s="885"/>
      <c r="WRD281" s="885"/>
      <c r="WRE281" s="885"/>
      <c r="WRF281" s="885"/>
      <c r="WRG281" s="885"/>
      <c r="WRH281" s="885"/>
      <c r="WRI281" s="885"/>
      <c r="WRJ281" s="885"/>
      <c r="WRK281" s="885"/>
      <c r="WRL281" s="885"/>
      <c r="WRM281" s="885"/>
      <c r="WRN281" s="885"/>
      <c r="WRO281" s="885"/>
      <c r="WRP281" s="885"/>
      <c r="WRQ281" s="885"/>
      <c r="WRR281" s="885"/>
      <c r="WRS281" s="885"/>
      <c r="WRT281" s="885"/>
      <c r="WRU281" s="885"/>
      <c r="WRV281" s="885"/>
      <c r="WRW281" s="885"/>
      <c r="WRX281" s="885"/>
      <c r="WRY281" s="885"/>
      <c r="WRZ281" s="885"/>
      <c r="WSA281" s="885"/>
      <c r="WSB281" s="885"/>
      <c r="WSC281" s="885"/>
      <c r="WSD281" s="885"/>
      <c r="WSE281" s="885"/>
      <c r="WSF281" s="885"/>
      <c r="WSG281" s="885"/>
      <c r="WSH281" s="885"/>
      <c r="WSI281" s="885"/>
      <c r="WSJ281" s="885"/>
      <c r="WSK281" s="885"/>
      <c r="WSL281" s="885"/>
      <c r="WSM281" s="885"/>
      <c r="WSN281" s="885"/>
      <c r="WSO281" s="885"/>
      <c r="WSP281" s="885"/>
      <c r="WSQ281" s="885"/>
      <c r="WSR281" s="885"/>
      <c r="WSS281" s="885"/>
      <c r="WST281" s="885"/>
      <c r="WSU281" s="885"/>
      <c r="WSV281" s="885"/>
      <c r="WSW281" s="885"/>
      <c r="WSX281" s="885"/>
      <c r="WSY281" s="885"/>
      <c r="WSZ281" s="885"/>
      <c r="WTA281" s="885"/>
      <c r="WTB281" s="885"/>
      <c r="WTC281" s="885"/>
      <c r="WTD281" s="885"/>
      <c r="WTE281" s="885"/>
      <c r="WTF281" s="885"/>
      <c r="WTG281" s="885"/>
      <c r="WTH281" s="885"/>
      <c r="WTI281" s="885"/>
      <c r="WTJ281" s="885"/>
      <c r="WTK281" s="885"/>
      <c r="WTL281" s="885"/>
      <c r="WTM281" s="885"/>
      <c r="WTN281" s="885"/>
      <c r="WTO281" s="885"/>
      <c r="WTP281" s="885"/>
      <c r="WTQ281" s="885"/>
      <c r="WTR281" s="885"/>
      <c r="WTS281" s="885"/>
      <c r="WTT281" s="885"/>
      <c r="WTU281" s="885"/>
      <c r="WTV281" s="885"/>
      <c r="WTW281" s="885"/>
      <c r="WTX281" s="885"/>
      <c r="WTY281" s="885"/>
      <c r="WTZ281" s="885"/>
      <c r="WUA281" s="885"/>
      <c r="WUB281" s="885"/>
      <c r="WUC281" s="885"/>
      <c r="WUD281" s="885"/>
      <c r="WUE281" s="885"/>
      <c r="WUF281" s="885"/>
      <c r="WUG281" s="885"/>
      <c r="WUH281" s="885"/>
      <c r="WUI281" s="885"/>
      <c r="WUJ281" s="885"/>
      <c r="WUK281" s="885"/>
      <c r="WUL281" s="885"/>
      <c r="WUM281" s="885"/>
      <c r="WUN281" s="885"/>
      <c r="WUO281" s="885"/>
      <c r="WUP281" s="885"/>
      <c r="WUQ281" s="885"/>
      <c r="WUR281" s="885"/>
      <c r="WUS281" s="885"/>
      <c r="WUT281" s="885"/>
      <c r="WUU281" s="885"/>
      <c r="WUV281" s="885"/>
      <c r="WUW281" s="885"/>
      <c r="WUX281" s="885"/>
      <c r="WUY281" s="885"/>
      <c r="WUZ281" s="885"/>
      <c r="WVA281" s="885"/>
      <c r="WVB281" s="885"/>
      <c r="WVC281" s="885"/>
      <c r="WVD281" s="885"/>
      <c r="WVE281" s="885"/>
      <c r="WVF281" s="885"/>
      <c r="WVG281" s="885"/>
      <c r="WVH281" s="885"/>
      <c r="WVI281" s="885"/>
      <c r="WVJ281" s="885"/>
      <c r="WVK281" s="885"/>
      <c r="WVL281" s="885"/>
      <c r="WVM281" s="885"/>
      <c r="WVN281" s="885"/>
      <c r="WVO281" s="885"/>
      <c r="WVP281" s="885"/>
      <c r="WVQ281" s="885"/>
      <c r="WVR281" s="885"/>
      <c r="WVS281" s="885"/>
      <c r="WVT281" s="885"/>
      <c r="WVU281" s="885"/>
      <c r="WVV281" s="885"/>
      <c r="WVW281" s="885"/>
      <c r="WVX281" s="885"/>
      <c r="WVY281" s="885"/>
      <c r="WVZ281" s="885"/>
      <c r="WWA281" s="885"/>
    </row>
    <row r="282" spans="1:16147" ht="18" customHeight="1">
      <c r="A282" s="64"/>
      <c r="B282" s="22"/>
      <c r="C282" s="22"/>
      <c r="D282" s="22"/>
      <c r="E282" s="22"/>
      <c r="F282" s="2946" t="s">
        <v>55</v>
      </c>
      <c r="G282" s="2946"/>
      <c r="H282" s="754">
        <f>H283+H286</f>
        <v>4240</v>
      </c>
      <c r="I282" s="754">
        <v>3440</v>
      </c>
      <c r="J282" s="57">
        <f>J283+J286</f>
        <v>800</v>
      </c>
      <c r="K282" s="730"/>
      <c r="L282" s="695"/>
      <c r="M282" s="683">
        <f>M283+M286</f>
        <v>4240</v>
      </c>
    </row>
    <row r="283" spans="1:16147" ht="18" customHeight="1">
      <c r="A283" s="64"/>
      <c r="B283" s="22"/>
      <c r="C283" s="22"/>
      <c r="D283" s="22"/>
      <c r="E283" s="22"/>
      <c r="F283" s="31"/>
      <c r="G283" s="32" t="s">
        <v>57</v>
      </c>
      <c r="H283" s="756">
        <f>M283</f>
        <v>2240</v>
      </c>
      <c r="I283" s="756">
        <v>1440</v>
      </c>
      <c r="J283" s="21">
        <f>H283-I283</f>
        <v>800</v>
      </c>
      <c r="K283" s="701" t="s">
        <v>649</v>
      </c>
      <c r="L283" s="699"/>
      <c r="M283" s="475">
        <f>M284+M285</f>
        <v>2240</v>
      </c>
    </row>
    <row r="284" spans="1:16147" ht="18" customHeight="1">
      <c r="A284" s="64"/>
      <c r="B284" s="22"/>
      <c r="C284" s="22"/>
      <c r="D284" s="22"/>
      <c r="E284" s="22"/>
      <c r="F284" s="31"/>
      <c r="G284" s="32"/>
      <c r="H284" s="756"/>
      <c r="I284" s="756"/>
      <c r="J284" s="21"/>
      <c r="K284" s="698" t="s">
        <v>552</v>
      </c>
      <c r="L284" s="699" t="s">
        <v>6</v>
      </c>
      <c r="M284" s="700">
        <v>1440</v>
      </c>
    </row>
    <row r="285" spans="1:16147" ht="18" customHeight="1">
      <c r="A285" s="64"/>
      <c r="B285" s="22"/>
      <c r="C285" s="22"/>
      <c r="D285" s="22"/>
      <c r="E285" s="22"/>
      <c r="F285" s="31"/>
      <c r="G285" s="32"/>
      <c r="H285" s="756"/>
      <c r="I285" s="756"/>
      <c r="J285" s="21"/>
      <c r="K285" s="698" t="s">
        <v>2361</v>
      </c>
      <c r="L285" s="699" t="s">
        <v>1522</v>
      </c>
      <c r="M285" s="700">
        <v>800</v>
      </c>
    </row>
    <row r="286" spans="1:16147" ht="18" customHeight="1">
      <c r="A286" s="64"/>
      <c r="B286" s="22"/>
      <c r="C286" s="22"/>
      <c r="D286" s="22"/>
      <c r="E286" s="22"/>
      <c r="F286" s="31"/>
      <c r="G286" s="54" t="s">
        <v>51</v>
      </c>
      <c r="H286" s="761">
        <f>M286</f>
        <v>2000</v>
      </c>
      <c r="I286" s="761">
        <v>2000</v>
      </c>
      <c r="J286" s="26">
        <f>H286-I286</f>
        <v>0</v>
      </c>
      <c r="K286" s="863" t="s">
        <v>628</v>
      </c>
      <c r="L286" s="864"/>
      <c r="M286" s="865">
        <f>M287</f>
        <v>2000</v>
      </c>
    </row>
    <row r="287" spans="1:16147" ht="18" customHeight="1">
      <c r="A287" s="64"/>
      <c r="B287" s="22"/>
      <c r="C287" s="22"/>
      <c r="D287" s="22"/>
      <c r="E287" s="22"/>
      <c r="F287" s="31"/>
      <c r="G287" s="32"/>
      <c r="H287" s="762"/>
      <c r="I287" s="762"/>
      <c r="J287" s="21"/>
      <c r="K287" s="866" t="s">
        <v>102</v>
      </c>
      <c r="L287" s="867"/>
      <c r="M287" s="868">
        <f>SUM(M288:M291)</f>
        <v>2000</v>
      </c>
    </row>
    <row r="288" spans="1:16147" ht="18" customHeight="1">
      <c r="A288" s="64"/>
      <c r="B288" s="22"/>
      <c r="C288" s="22"/>
      <c r="D288" s="22"/>
      <c r="E288" s="22"/>
      <c r="F288" s="31"/>
      <c r="G288" s="32"/>
      <c r="H288" s="762"/>
      <c r="I288" s="869"/>
      <c r="J288" s="21"/>
      <c r="K288" s="732" t="s">
        <v>630</v>
      </c>
      <c r="L288" s="699" t="s">
        <v>292</v>
      </c>
      <c r="M288" s="700">
        <v>600</v>
      </c>
    </row>
    <row r="289" spans="1:21" ht="18" customHeight="1">
      <c r="A289" s="64"/>
      <c r="B289" s="22"/>
      <c r="C289" s="22"/>
      <c r="D289" s="22"/>
      <c r="E289" s="22"/>
      <c r="F289" s="31"/>
      <c r="G289" s="32"/>
      <c r="H289" s="762"/>
      <c r="I289" s="869"/>
      <c r="J289" s="21"/>
      <c r="K289" s="732" t="s">
        <v>884</v>
      </c>
      <c r="L289" s="699" t="s">
        <v>6</v>
      </c>
      <c r="M289" s="700">
        <v>100</v>
      </c>
    </row>
    <row r="290" spans="1:21" ht="18" customHeight="1">
      <c r="A290" s="64"/>
      <c r="B290" s="22"/>
      <c r="C290" s="22"/>
      <c r="D290" s="22"/>
      <c r="E290" s="22"/>
      <c r="F290" s="31"/>
      <c r="G290" s="32"/>
      <c r="H290" s="762"/>
      <c r="I290" s="762"/>
      <c r="J290" s="21"/>
      <c r="K290" s="732" t="s">
        <v>885</v>
      </c>
      <c r="L290" s="699" t="s">
        <v>6</v>
      </c>
      <c r="M290" s="700">
        <v>1000</v>
      </c>
    </row>
    <row r="291" spans="1:21" ht="18" customHeight="1">
      <c r="A291" s="64"/>
      <c r="B291" s="22"/>
      <c r="C291" s="22"/>
      <c r="D291" s="22"/>
      <c r="E291" s="22"/>
      <c r="F291" s="31"/>
      <c r="G291" s="32"/>
      <c r="H291" s="762"/>
      <c r="I291" s="762"/>
      <c r="J291" s="21"/>
      <c r="K291" s="733" t="s">
        <v>886</v>
      </c>
      <c r="L291" s="699" t="s">
        <v>6</v>
      </c>
      <c r="M291" s="700">
        <v>300</v>
      </c>
    </row>
    <row r="292" spans="1:21" ht="18" customHeight="1">
      <c r="A292" s="64"/>
      <c r="B292" s="22"/>
      <c r="C292" s="22"/>
      <c r="D292" s="22"/>
      <c r="E292" s="22"/>
      <c r="F292" s="2947" t="s">
        <v>54</v>
      </c>
      <c r="G292" s="2947"/>
      <c r="H292" s="763">
        <f>H293</f>
        <v>5800</v>
      </c>
      <c r="I292" s="763">
        <v>4710</v>
      </c>
      <c r="J292" s="58">
        <f>H292-I292</f>
        <v>1090</v>
      </c>
      <c r="K292" s="734"/>
      <c r="L292" s="735"/>
      <c r="M292" s="694">
        <f>M293</f>
        <v>5800</v>
      </c>
      <c r="U292" s="1"/>
    </row>
    <row r="293" spans="1:21" ht="18" customHeight="1">
      <c r="A293" s="64"/>
      <c r="B293" s="22"/>
      <c r="C293" s="22"/>
      <c r="D293" s="22"/>
      <c r="E293" s="22"/>
      <c r="F293" s="35"/>
      <c r="G293" s="36" t="s">
        <v>80</v>
      </c>
      <c r="H293" s="762">
        <f>M293</f>
        <v>5800</v>
      </c>
      <c r="I293" s="762">
        <v>4710</v>
      </c>
      <c r="J293" s="33">
        <f>H293-I293</f>
        <v>1090</v>
      </c>
      <c r="K293" s="736" t="s">
        <v>629</v>
      </c>
      <c r="L293" s="721"/>
      <c r="M293" s="475">
        <f>SUM(M294,M295,M296,M297,M298,M299,M300,M304,M308,M309)</f>
        <v>5800</v>
      </c>
      <c r="U293" s="1"/>
    </row>
    <row r="294" spans="1:21" ht="18" customHeight="1">
      <c r="A294" s="64"/>
      <c r="B294" s="22"/>
      <c r="C294" s="22"/>
      <c r="D294" s="22"/>
      <c r="E294" s="22"/>
      <c r="F294" s="35"/>
      <c r="G294" s="36"/>
      <c r="H294" s="762"/>
      <c r="I294" s="762"/>
      <c r="J294" s="33"/>
      <c r="K294" s="706" t="s">
        <v>1190</v>
      </c>
      <c r="L294" s="721" t="s">
        <v>6</v>
      </c>
      <c r="M294" s="708">
        <v>200</v>
      </c>
      <c r="U294" s="1"/>
    </row>
    <row r="295" spans="1:21" ht="18" customHeight="1">
      <c r="A295" s="64"/>
      <c r="B295" s="22"/>
      <c r="C295" s="22"/>
      <c r="D295" s="22"/>
      <c r="E295" s="22"/>
      <c r="F295" s="35"/>
      <c r="G295" s="36"/>
      <c r="H295" s="762"/>
      <c r="I295" s="762"/>
      <c r="J295" s="33"/>
      <c r="K295" s="706" t="s">
        <v>1191</v>
      </c>
      <c r="L295" s="721" t="s">
        <v>6</v>
      </c>
      <c r="M295" s="708">
        <v>500</v>
      </c>
      <c r="U295" s="1"/>
    </row>
    <row r="296" spans="1:21" ht="18" customHeight="1">
      <c r="A296" s="64"/>
      <c r="B296" s="22"/>
      <c r="C296" s="22"/>
      <c r="D296" s="22"/>
      <c r="E296" s="22"/>
      <c r="F296" s="35"/>
      <c r="G296" s="36"/>
      <c r="H296" s="762"/>
      <c r="I296" s="762"/>
      <c r="J296" s="33"/>
      <c r="K296" s="706" t="s">
        <v>1192</v>
      </c>
      <c r="L296" s="721" t="s">
        <v>6</v>
      </c>
      <c r="M296" s="708">
        <v>700</v>
      </c>
      <c r="U296" s="1"/>
    </row>
    <row r="297" spans="1:21" ht="18" customHeight="1">
      <c r="A297" s="64"/>
      <c r="B297" s="22"/>
      <c r="C297" s="22"/>
      <c r="D297" s="22"/>
      <c r="E297" s="22"/>
      <c r="F297" s="35"/>
      <c r="G297" s="36"/>
      <c r="H297" s="762"/>
      <c r="I297" s="762"/>
      <c r="J297" s="33"/>
      <c r="K297" s="706" t="s">
        <v>1193</v>
      </c>
      <c r="L297" s="721" t="s">
        <v>6</v>
      </c>
      <c r="M297" s="708">
        <v>900</v>
      </c>
      <c r="U297" s="1"/>
    </row>
    <row r="298" spans="1:21" ht="18" customHeight="1">
      <c r="A298" s="64"/>
      <c r="B298" s="22"/>
      <c r="C298" s="22"/>
      <c r="D298" s="22"/>
      <c r="E298" s="22"/>
      <c r="F298" s="35"/>
      <c r="G298" s="36"/>
      <c r="H298" s="762"/>
      <c r="I298" s="762"/>
      <c r="J298" s="33"/>
      <c r="K298" s="706" t="s">
        <v>2359</v>
      </c>
      <c r="L298" s="721" t="s">
        <v>2358</v>
      </c>
      <c r="M298" s="708">
        <v>400</v>
      </c>
      <c r="U298" s="1"/>
    </row>
    <row r="299" spans="1:21" ht="18" customHeight="1">
      <c r="A299" s="64"/>
      <c r="B299" s="22"/>
      <c r="C299" s="22"/>
      <c r="D299" s="22"/>
      <c r="E299" s="22"/>
      <c r="F299" s="35"/>
      <c r="G299" s="36"/>
      <c r="H299" s="762"/>
      <c r="I299" s="762"/>
      <c r="J299" s="33"/>
      <c r="K299" s="706" t="s">
        <v>1201</v>
      </c>
      <c r="L299" s="721" t="s">
        <v>6</v>
      </c>
      <c r="M299" s="708">
        <v>300</v>
      </c>
      <c r="U299" s="1"/>
    </row>
    <row r="300" spans="1:21" ht="18" customHeight="1">
      <c r="A300" s="64"/>
      <c r="B300" s="22"/>
      <c r="C300" s="22"/>
      <c r="D300" s="22"/>
      <c r="E300" s="22"/>
      <c r="F300" s="35"/>
      <c r="G300" s="36"/>
      <c r="H300" s="762"/>
      <c r="I300" s="762"/>
      <c r="J300" s="33"/>
      <c r="K300" s="706" t="s">
        <v>1194</v>
      </c>
      <c r="L300" s="721" t="s">
        <v>6</v>
      </c>
      <c r="M300" s="708">
        <f>M301+M302+M303</f>
        <v>900</v>
      </c>
      <c r="U300" s="1"/>
    </row>
    <row r="301" spans="1:21" ht="18" customHeight="1">
      <c r="A301" s="64"/>
      <c r="B301" s="22"/>
      <c r="C301" s="22"/>
      <c r="D301" s="22"/>
      <c r="E301" s="22"/>
      <c r="F301" s="35"/>
      <c r="G301" s="36"/>
      <c r="H301" s="762"/>
      <c r="I301" s="762"/>
      <c r="J301" s="33"/>
      <c r="K301" s="706" t="s">
        <v>1196</v>
      </c>
      <c r="L301" s="721" t="s">
        <v>6</v>
      </c>
      <c r="M301" s="700" t="s">
        <v>1051</v>
      </c>
      <c r="U301" s="1"/>
    </row>
    <row r="302" spans="1:21" ht="18" customHeight="1">
      <c r="A302" s="64"/>
      <c r="B302" s="22"/>
      <c r="C302" s="22"/>
      <c r="D302" s="22"/>
      <c r="E302" s="22"/>
      <c r="F302" s="35"/>
      <c r="G302" s="36"/>
      <c r="H302" s="762"/>
      <c r="I302" s="762"/>
      <c r="J302" s="33"/>
      <c r="K302" s="706" t="s">
        <v>2332</v>
      </c>
      <c r="L302" s="721" t="s">
        <v>6</v>
      </c>
      <c r="M302" s="700">
        <v>200</v>
      </c>
      <c r="U302" s="1"/>
    </row>
    <row r="303" spans="1:21" ht="18" customHeight="1">
      <c r="A303" s="64"/>
      <c r="B303" s="22"/>
      <c r="C303" s="22"/>
      <c r="D303" s="22"/>
      <c r="E303" s="22"/>
      <c r="F303" s="34"/>
      <c r="G303" s="36"/>
      <c r="H303" s="762"/>
      <c r="I303" s="762"/>
      <c r="J303" s="21"/>
      <c r="K303" s="706" t="s">
        <v>1200</v>
      </c>
      <c r="L303" s="721" t="s">
        <v>6</v>
      </c>
      <c r="M303" s="700" t="s">
        <v>1113</v>
      </c>
      <c r="P303" s="39">
        <v>100000</v>
      </c>
      <c r="R303" s="6">
        <v>2</v>
      </c>
      <c r="T303" s="14">
        <f>P303*R303</f>
        <v>200000</v>
      </c>
      <c r="U303" s="1"/>
    </row>
    <row r="304" spans="1:21" ht="18" customHeight="1">
      <c r="A304" s="64"/>
      <c r="B304" s="22"/>
      <c r="C304" s="22"/>
      <c r="D304" s="22"/>
      <c r="E304" s="22"/>
      <c r="F304" s="34"/>
      <c r="G304" s="36"/>
      <c r="H304" s="762"/>
      <c r="I304" s="762"/>
      <c r="J304" s="21"/>
      <c r="K304" s="1105" t="s">
        <v>109</v>
      </c>
      <c r="L304" s="721" t="s">
        <v>6</v>
      </c>
      <c r="M304" s="712">
        <f>M305+M306+M307</f>
        <v>700</v>
      </c>
      <c r="U304" s="1"/>
    </row>
    <row r="305" spans="1:24" ht="18" customHeight="1">
      <c r="A305" s="64"/>
      <c r="B305" s="22"/>
      <c r="C305" s="22"/>
      <c r="D305" s="22"/>
      <c r="E305" s="22"/>
      <c r="F305" s="34"/>
      <c r="G305" s="36"/>
      <c r="H305" s="762"/>
      <c r="I305" s="762"/>
      <c r="J305" s="21"/>
      <c r="K305" s="1105" t="s">
        <v>1197</v>
      </c>
      <c r="L305" s="721" t="s">
        <v>6</v>
      </c>
      <c r="M305" s="738" t="s">
        <v>1102</v>
      </c>
      <c r="U305" s="1"/>
    </row>
    <row r="306" spans="1:24" ht="18" customHeight="1">
      <c r="A306" s="64"/>
      <c r="B306" s="22"/>
      <c r="C306" s="22"/>
      <c r="D306" s="22"/>
      <c r="E306" s="22"/>
      <c r="F306" s="34"/>
      <c r="G306" s="36"/>
      <c r="H306" s="762"/>
      <c r="I306" s="762"/>
      <c r="J306" s="21"/>
      <c r="K306" s="1105" t="s">
        <v>1198</v>
      </c>
      <c r="L306" s="721" t="s">
        <v>6</v>
      </c>
      <c r="M306" s="738" t="s">
        <v>1102</v>
      </c>
      <c r="U306" s="1"/>
    </row>
    <row r="307" spans="1:24" ht="18" customHeight="1">
      <c r="A307" s="64"/>
      <c r="B307" s="22"/>
      <c r="C307" s="22"/>
      <c r="D307" s="22"/>
      <c r="E307" s="22"/>
      <c r="F307" s="34"/>
      <c r="G307" s="36"/>
      <c r="H307" s="762"/>
      <c r="I307" s="762"/>
      <c r="J307" s="21"/>
      <c r="K307" s="710" t="s">
        <v>1199</v>
      </c>
      <c r="L307" s="721" t="s">
        <v>6</v>
      </c>
      <c r="M307" s="738" t="s">
        <v>1113</v>
      </c>
      <c r="U307" s="1"/>
    </row>
    <row r="308" spans="1:24" ht="18" customHeight="1">
      <c r="A308" s="64"/>
      <c r="B308" s="22"/>
      <c r="C308" s="22"/>
      <c r="D308" s="22"/>
      <c r="E308" s="22"/>
      <c r="F308" s="34"/>
      <c r="G308" s="36"/>
      <c r="H308" s="762"/>
      <c r="I308" s="762"/>
      <c r="J308" s="21"/>
      <c r="K308" s="737" t="s">
        <v>1195</v>
      </c>
      <c r="L308" s="721" t="s">
        <v>6</v>
      </c>
      <c r="M308" s="712">
        <v>500</v>
      </c>
      <c r="U308" s="1"/>
    </row>
    <row r="309" spans="1:24" ht="18" customHeight="1">
      <c r="A309" s="64"/>
      <c r="B309" s="22"/>
      <c r="C309" s="22"/>
      <c r="D309" s="22"/>
      <c r="E309" s="22"/>
      <c r="F309" s="34"/>
      <c r="G309" s="36"/>
      <c r="H309" s="762"/>
      <c r="I309" s="762"/>
      <c r="J309" s="21"/>
      <c r="K309" s="737" t="s">
        <v>2333</v>
      </c>
      <c r="L309" s="721" t="s">
        <v>6</v>
      </c>
      <c r="M309" s="712">
        <v>700</v>
      </c>
      <c r="U309" s="1"/>
    </row>
    <row r="310" spans="1:24" s="2" customFormat="1" ht="18" customHeight="1">
      <c r="A310" s="64"/>
      <c r="B310" s="22"/>
      <c r="C310" s="1026" t="s">
        <v>842</v>
      </c>
      <c r="D310" s="1027"/>
      <c r="E310" s="1027"/>
      <c r="F310" s="1027"/>
      <c r="G310" s="1028"/>
      <c r="H310" s="825">
        <f>H311</f>
        <v>10934833</v>
      </c>
      <c r="I310" s="825">
        <v>10591847</v>
      </c>
      <c r="J310" s="826">
        <f>H310-I310</f>
        <v>342986</v>
      </c>
      <c r="K310" s="1596" t="s">
        <v>1519</v>
      </c>
      <c r="L310" s="1596"/>
      <c r="M310" s="1597"/>
      <c r="N310" s="473"/>
      <c r="O310" s="3" t="s">
        <v>969</v>
      </c>
      <c r="P310" s="68" t="s">
        <v>970</v>
      </c>
      <c r="Q310" s="473"/>
      <c r="R310" s="473"/>
      <c r="S310" s="473"/>
      <c r="T310" s="473"/>
      <c r="U310" s="473"/>
    </row>
    <row r="311" spans="1:24" ht="18" customHeight="1">
      <c r="A311" s="1707"/>
      <c r="B311" s="22"/>
      <c r="C311" s="1025"/>
      <c r="D311" s="1305" t="s">
        <v>917</v>
      </c>
      <c r="E311" s="1027"/>
      <c r="F311" s="1027"/>
      <c r="G311" s="1028"/>
      <c r="H311" s="1029">
        <f>H312</f>
        <v>10934833</v>
      </c>
      <c r="I311" s="1029">
        <v>10591847</v>
      </c>
      <c r="J311" s="828">
        <f t="shared" si="0"/>
        <v>342986</v>
      </c>
      <c r="K311" s="1122"/>
      <c r="L311" s="1112"/>
      <c r="M311" s="1057"/>
    </row>
    <row r="312" spans="1:24" s="2" customFormat="1" ht="18" customHeight="1" thickBot="1">
      <c r="A312" s="64"/>
      <c r="B312" s="22"/>
      <c r="D312" s="1094"/>
      <c r="E312" s="1026" t="s">
        <v>98</v>
      </c>
      <c r="F312" s="1027"/>
      <c r="G312" s="1028"/>
      <c r="H312" s="825">
        <f>H313+H511+H513</f>
        <v>10934833</v>
      </c>
      <c r="I312" s="825">
        <v>10591847</v>
      </c>
      <c r="J312" s="828">
        <f t="shared" si="0"/>
        <v>342986</v>
      </c>
      <c r="K312" s="2955"/>
      <c r="L312" s="2956"/>
      <c r="M312" s="2957"/>
      <c r="N312" s="473"/>
      <c r="O312" s="473"/>
      <c r="P312" s="473"/>
      <c r="Q312" s="473"/>
      <c r="R312" s="473"/>
      <c r="S312" s="6"/>
      <c r="T312" s="14"/>
      <c r="U312" s="5"/>
    </row>
    <row r="313" spans="1:24" s="2" customFormat="1" ht="18" customHeight="1" thickBot="1">
      <c r="A313" s="64"/>
      <c r="B313" s="23"/>
      <c r="C313" s="23"/>
      <c r="D313" s="23"/>
      <c r="E313" s="23"/>
      <c r="F313" s="1085" t="s">
        <v>81</v>
      </c>
      <c r="G313" s="1086"/>
      <c r="H313" s="754">
        <f>H314+H466+H501</f>
        <v>9163300</v>
      </c>
      <c r="I313" s="754">
        <v>8913182</v>
      </c>
      <c r="J313" s="472">
        <f t="shared" si="0"/>
        <v>250118</v>
      </c>
      <c r="K313" s="681"/>
      <c r="L313" s="682"/>
      <c r="M313" s="683"/>
      <c r="N313" s="80"/>
      <c r="O313" s="1779" t="s">
        <v>1450</v>
      </c>
      <c r="P313" s="1779" t="s">
        <v>1451</v>
      </c>
      <c r="Q313" s="1780" t="s">
        <v>1452</v>
      </c>
      <c r="R313" s="1787" t="s">
        <v>1453</v>
      </c>
      <c r="S313" s="1787" t="s">
        <v>1454</v>
      </c>
      <c r="T313" s="1779" t="s">
        <v>1455</v>
      </c>
      <c r="U313" s="5"/>
    </row>
    <row r="314" spans="1:24" s="794" customFormat="1" ht="18" customHeight="1" thickBot="1">
      <c r="A314" s="782"/>
      <c r="B314" s="783"/>
      <c r="C314" s="783"/>
      <c r="D314" s="783"/>
      <c r="E314" s="783"/>
      <c r="F314" s="795"/>
      <c r="G314" s="1120" t="s">
        <v>92</v>
      </c>
      <c r="H314" s="474">
        <f>M314</f>
        <v>4562024</v>
      </c>
      <c r="I314" s="474">
        <v>4403241</v>
      </c>
      <c r="J314" s="474">
        <f t="shared" si="0"/>
        <v>158783</v>
      </c>
      <c r="K314" s="786"/>
      <c r="L314" s="787"/>
      <c r="M314" s="475">
        <f>M315+M379</f>
        <v>4562024</v>
      </c>
      <c r="N314" s="789"/>
      <c r="O314" s="1779">
        <v>3</v>
      </c>
      <c r="P314" s="1779">
        <v>6</v>
      </c>
      <c r="Q314" s="1780">
        <v>41</v>
      </c>
      <c r="R314" s="1783">
        <v>1.4E-2</v>
      </c>
      <c r="S314" s="1783">
        <v>2.5000000000000001E-2</v>
      </c>
      <c r="T314" s="1779">
        <v>479</v>
      </c>
      <c r="U314" s="792"/>
      <c r="V314" s="793"/>
      <c r="W314" s="793"/>
      <c r="X314" s="793"/>
    </row>
    <row r="315" spans="1:24" s="794" customFormat="1" ht="18" customHeight="1">
      <c r="A315" s="782"/>
      <c r="B315" s="783"/>
      <c r="C315" s="783"/>
      <c r="D315" s="783"/>
      <c r="E315" s="783"/>
      <c r="F315" s="795"/>
      <c r="G315" s="785"/>
      <c r="H315" s="474"/>
      <c r="I315" s="474"/>
      <c r="J315" s="474"/>
      <c r="K315" s="786" t="s">
        <v>1204</v>
      </c>
      <c r="L315" s="787"/>
      <c r="M315" s="708">
        <f>M316+M320+M324+M328+M332+M336+M340+M344+M349+M355+M358+M360+M363+M367+M371+M377</f>
        <v>2745084</v>
      </c>
      <c r="N315" s="789" t="s">
        <v>1205</v>
      </c>
      <c r="O315" s="787" t="s">
        <v>1206</v>
      </c>
      <c r="P315" s="790" t="s">
        <v>87</v>
      </c>
      <c r="Q315" s="791" t="s">
        <v>5</v>
      </c>
      <c r="R315" s="1598" t="s">
        <v>1</v>
      </c>
      <c r="S315" s="1598" t="s">
        <v>3</v>
      </c>
      <c r="T315" s="791" t="s">
        <v>91</v>
      </c>
      <c r="U315" s="792"/>
      <c r="V315" s="793"/>
      <c r="W315" s="793"/>
      <c r="X315" s="793"/>
    </row>
    <row r="316" spans="1:24" s="794" customFormat="1" ht="18" customHeight="1">
      <c r="A316" s="782"/>
      <c r="B316" s="783"/>
      <c r="C316" s="783"/>
      <c r="D316" s="783"/>
      <c r="E316" s="783"/>
      <c r="F316" s="795"/>
      <c r="G316" s="785"/>
      <c r="H316" s="474"/>
      <c r="I316" s="474"/>
      <c r="J316" s="474"/>
      <c r="K316" s="786" t="s">
        <v>1207</v>
      </c>
      <c r="L316" s="787"/>
      <c r="M316" s="708">
        <v>660074</v>
      </c>
      <c r="N316" s="789" t="s">
        <v>1208</v>
      </c>
      <c r="O316" s="787"/>
      <c r="P316" s="790"/>
      <c r="Q316" s="791"/>
      <c r="R316" s="1598"/>
      <c r="S316" s="1598"/>
      <c r="T316" s="1784">
        <v>4535286739</v>
      </c>
      <c r="U316" s="792"/>
      <c r="V316" s="793"/>
      <c r="W316" s="793"/>
      <c r="X316" s="793"/>
    </row>
    <row r="317" spans="1:24" s="794" customFormat="1" ht="18" customHeight="1">
      <c r="A317" s="782"/>
      <c r="B317" s="783"/>
      <c r="C317" s="783"/>
      <c r="D317" s="783"/>
      <c r="E317" s="783"/>
      <c r="F317" s="795"/>
      <c r="G317" s="785"/>
      <c r="H317" s="474"/>
      <c r="I317" s="474"/>
      <c r="J317" s="474"/>
      <c r="K317" s="801" t="s">
        <v>1209</v>
      </c>
      <c r="L317" s="787" t="s">
        <v>6</v>
      </c>
      <c r="M317" s="700" t="s">
        <v>1210</v>
      </c>
      <c r="N317" s="789" t="s">
        <v>1211</v>
      </c>
      <c r="O317" s="787"/>
      <c r="P317" s="790" t="s">
        <v>1212</v>
      </c>
      <c r="Q317" s="791">
        <v>1</v>
      </c>
      <c r="R317" s="1598">
        <v>1</v>
      </c>
      <c r="S317" s="1598"/>
      <c r="T317" s="1784">
        <v>83000000</v>
      </c>
      <c r="U317" s="792"/>
      <c r="V317" s="793"/>
      <c r="W317" s="793"/>
      <c r="X317" s="793"/>
    </row>
    <row r="318" spans="1:24" s="794" customFormat="1" ht="18" customHeight="1">
      <c r="A318" s="782"/>
      <c r="B318" s="783"/>
      <c r="C318" s="783"/>
      <c r="D318" s="783"/>
      <c r="E318" s="783"/>
      <c r="F318" s="795"/>
      <c r="G318" s="785"/>
      <c r="H318" s="474"/>
      <c r="I318" s="474"/>
      <c r="J318" s="474"/>
      <c r="K318" s="801" t="s">
        <v>1202</v>
      </c>
      <c r="L318" s="787" t="s">
        <v>6</v>
      </c>
      <c r="M318" s="700" t="s">
        <v>1203</v>
      </c>
      <c r="N318" s="789" t="s">
        <v>1213</v>
      </c>
      <c r="O318" s="787"/>
      <c r="P318" s="790" t="s">
        <v>1214</v>
      </c>
      <c r="Q318" s="791">
        <v>2</v>
      </c>
      <c r="R318" s="1598">
        <v>12</v>
      </c>
      <c r="S318" s="1598"/>
      <c r="T318" s="1784">
        <v>142336080</v>
      </c>
      <c r="U318" s="792"/>
      <c r="V318" s="793"/>
      <c r="W318" s="793"/>
      <c r="X318" s="793"/>
    </row>
    <row r="319" spans="1:24" s="794" customFormat="1" ht="18" customHeight="1">
      <c r="A319" s="782"/>
      <c r="B319" s="783"/>
      <c r="C319" s="783"/>
      <c r="D319" s="783"/>
      <c r="E319" s="783"/>
      <c r="F319" s="795"/>
      <c r="G319" s="785"/>
      <c r="H319" s="474"/>
      <c r="I319" s="474"/>
      <c r="J319" s="474"/>
      <c r="K319" s="801" t="s">
        <v>1215</v>
      </c>
      <c r="L319" s="787" t="s">
        <v>6</v>
      </c>
      <c r="M319" s="700" t="s">
        <v>1216</v>
      </c>
      <c r="N319" s="789" t="s">
        <v>1217</v>
      </c>
      <c r="O319" s="787"/>
      <c r="P319" s="790" t="s">
        <v>1218</v>
      </c>
      <c r="Q319" s="791">
        <v>6</v>
      </c>
      <c r="R319" s="1598">
        <v>12</v>
      </c>
      <c r="S319" s="1598"/>
      <c r="T319" s="1784">
        <v>434738160</v>
      </c>
      <c r="U319" s="792"/>
      <c r="V319" s="793"/>
      <c r="W319" s="793"/>
      <c r="X319" s="793"/>
    </row>
    <row r="320" spans="1:24" s="794" customFormat="1" ht="18" customHeight="1">
      <c r="A320" s="782"/>
      <c r="B320" s="783"/>
      <c r="C320" s="783"/>
      <c r="D320" s="783"/>
      <c r="E320" s="783"/>
      <c r="F320" s="795"/>
      <c r="G320" s="785"/>
      <c r="H320" s="474"/>
      <c r="I320" s="474"/>
      <c r="J320" s="474"/>
      <c r="K320" s="786" t="s">
        <v>97</v>
      </c>
      <c r="L320" s="787"/>
      <c r="M320" s="708">
        <v>854290</v>
      </c>
      <c r="N320" s="789"/>
      <c r="O320" s="787"/>
      <c r="P320" s="790"/>
      <c r="Q320" s="791"/>
      <c r="R320" s="1598"/>
      <c r="S320" s="1598"/>
      <c r="T320" s="791"/>
      <c r="U320" s="792"/>
      <c r="V320" s="793"/>
      <c r="W320" s="793"/>
      <c r="X320" s="793"/>
    </row>
    <row r="321" spans="1:24" s="794" customFormat="1" ht="18" customHeight="1">
      <c r="A321" s="782"/>
      <c r="B321" s="783"/>
      <c r="C321" s="783"/>
      <c r="D321" s="783"/>
      <c r="E321" s="783"/>
      <c r="F321" s="795"/>
      <c r="G321" s="785"/>
      <c r="H321" s="474"/>
      <c r="I321" s="474"/>
      <c r="J321" s="474"/>
      <c r="K321" s="801" t="s">
        <v>1219</v>
      </c>
      <c r="L321" s="787" t="s">
        <v>6</v>
      </c>
      <c r="M321" s="700">
        <v>300617</v>
      </c>
      <c r="N321" s="789" t="s">
        <v>1220</v>
      </c>
      <c r="O321" s="787">
        <v>15</v>
      </c>
      <c r="P321" s="790">
        <v>2277405</v>
      </c>
      <c r="Q321" s="791">
        <v>11</v>
      </c>
      <c r="R321" s="1598">
        <v>12</v>
      </c>
      <c r="S321" s="1598">
        <v>2191920</v>
      </c>
      <c r="T321" s="1784">
        <v>300617444</v>
      </c>
      <c r="U321" s="792"/>
      <c r="V321" s="793"/>
      <c r="W321" s="793"/>
      <c r="X321" s="793"/>
    </row>
    <row r="322" spans="1:24" s="794" customFormat="1" ht="18" customHeight="1">
      <c r="A322" s="782"/>
      <c r="B322" s="783"/>
      <c r="C322" s="783"/>
      <c r="D322" s="783"/>
      <c r="E322" s="783"/>
      <c r="F322" s="795"/>
      <c r="G322" s="785"/>
      <c r="H322" s="474"/>
      <c r="I322" s="474"/>
      <c r="J322" s="474"/>
      <c r="K322" s="801" t="s">
        <v>1221</v>
      </c>
      <c r="L322" s="787" t="s">
        <v>6</v>
      </c>
      <c r="M322" s="700">
        <v>365380</v>
      </c>
      <c r="N322" s="789" t="s">
        <v>1222</v>
      </c>
      <c r="O322" s="787">
        <v>8</v>
      </c>
      <c r="P322" s="790">
        <v>1691575</v>
      </c>
      <c r="Q322" s="791">
        <v>18</v>
      </c>
      <c r="R322" s="1598">
        <v>12</v>
      </c>
      <c r="S322" s="1598">
        <v>1628080</v>
      </c>
      <c r="T322" s="1784">
        <v>365380226</v>
      </c>
      <c r="U322" s="792"/>
      <c r="V322" s="793"/>
      <c r="W322" s="793"/>
      <c r="X322" s="793"/>
    </row>
    <row r="323" spans="1:24" s="794" customFormat="1" ht="18" customHeight="1">
      <c r="A323" s="782"/>
      <c r="B323" s="783"/>
      <c r="C323" s="783"/>
      <c r="D323" s="783"/>
      <c r="E323" s="783"/>
      <c r="F323" s="795"/>
      <c r="G323" s="785"/>
      <c r="H323" s="474"/>
      <c r="I323" s="474"/>
      <c r="J323" s="474"/>
      <c r="K323" s="801" t="s">
        <v>1223</v>
      </c>
      <c r="L323" s="787" t="s">
        <v>6</v>
      </c>
      <c r="M323" s="700">
        <v>188293</v>
      </c>
      <c r="N323" s="789" t="s">
        <v>1224</v>
      </c>
      <c r="O323" s="787">
        <v>4</v>
      </c>
      <c r="P323" s="790">
        <v>1307592</v>
      </c>
      <c r="Q323" s="791">
        <v>12</v>
      </c>
      <c r="R323" s="1598">
        <v>12</v>
      </c>
      <c r="S323" s="1598">
        <v>1258510</v>
      </c>
      <c r="T323" s="1784">
        <v>188293232</v>
      </c>
      <c r="U323" s="792"/>
      <c r="V323" s="793"/>
      <c r="W323" s="793"/>
      <c r="X323" s="793"/>
    </row>
    <row r="324" spans="1:24" s="794" customFormat="1" ht="18" customHeight="1">
      <c r="A324" s="782"/>
      <c r="B324" s="783"/>
      <c r="C324" s="783"/>
      <c r="D324" s="783"/>
      <c r="E324" s="783"/>
      <c r="F324" s="795"/>
      <c r="G324" s="785"/>
      <c r="H324" s="474"/>
      <c r="I324" s="474"/>
      <c r="J324" s="474"/>
      <c r="K324" s="786" t="s">
        <v>1225</v>
      </c>
      <c r="L324" s="1785"/>
      <c r="M324" s="708">
        <v>256287</v>
      </c>
      <c r="N324" s="789"/>
      <c r="O324" s="787"/>
      <c r="P324" s="790"/>
      <c r="Q324" s="791"/>
      <c r="R324" s="1598"/>
      <c r="S324" s="1598"/>
      <c r="T324" s="791"/>
      <c r="U324" s="792"/>
      <c r="V324" s="793"/>
      <c r="W324" s="793"/>
      <c r="X324" s="793"/>
    </row>
    <row r="325" spans="1:24" s="794" customFormat="1" ht="18" customHeight="1">
      <c r="A325" s="782"/>
      <c r="B325" s="783"/>
      <c r="C325" s="783"/>
      <c r="D325" s="783"/>
      <c r="E325" s="783"/>
      <c r="F325" s="795"/>
      <c r="G325" s="785"/>
      <c r="H325" s="474"/>
      <c r="I325" s="474"/>
      <c r="J325" s="474"/>
      <c r="K325" s="801" t="s">
        <v>1226</v>
      </c>
      <c r="L325" s="787" t="s">
        <v>6</v>
      </c>
      <c r="M325" s="700">
        <v>90185</v>
      </c>
      <c r="N325" s="789" t="s">
        <v>1220</v>
      </c>
      <c r="O325" s="787">
        <v>15</v>
      </c>
      <c r="P325" s="790">
        <v>2277405</v>
      </c>
      <c r="Q325" s="791">
        <v>11</v>
      </c>
      <c r="R325" s="1598">
        <v>12</v>
      </c>
      <c r="S325" s="1598">
        <v>0.3</v>
      </c>
      <c r="T325" s="1784">
        <v>90185233</v>
      </c>
      <c r="U325" s="792"/>
      <c r="V325" s="793"/>
      <c r="W325" s="793"/>
      <c r="X325" s="793"/>
    </row>
    <row r="326" spans="1:24" s="794" customFormat="1" ht="18" customHeight="1">
      <c r="A326" s="782"/>
      <c r="B326" s="783"/>
      <c r="C326" s="783"/>
      <c r="D326" s="783"/>
      <c r="E326" s="783"/>
      <c r="F326" s="795"/>
      <c r="G326" s="785"/>
      <c r="H326" s="474"/>
      <c r="I326" s="474"/>
      <c r="J326" s="474"/>
      <c r="K326" s="801" t="s">
        <v>1227</v>
      </c>
      <c r="L326" s="787" t="s">
        <v>6</v>
      </c>
      <c r="M326" s="700">
        <v>109614</v>
      </c>
      <c r="N326" s="789" t="s">
        <v>1222</v>
      </c>
      <c r="O326" s="787">
        <v>8</v>
      </c>
      <c r="P326" s="790">
        <v>1691575</v>
      </c>
      <c r="Q326" s="791">
        <v>18</v>
      </c>
      <c r="R326" s="1598">
        <v>12</v>
      </c>
      <c r="S326" s="1598">
        <v>0.3</v>
      </c>
      <c r="T326" s="1784">
        <v>109614068</v>
      </c>
      <c r="U326" s="792"/>
      <c r="V326" s="793"/>
      <c r="W326" s="793"/>
      <c r="X326" s="793"/>
    </row>
    <row r="327" spans="1:24" s="794" customFormat="1" ht="18" customHeight="1">
      <c r="A327" s="782"/>
      <c r="B327" s="783"/>
      <c r="C327" s="783"/>
      <c r="D327" s="783"/>
      <c r="E327" s="783"/>
      <c r="F327" s="795"/>
      <c r="G327" s="785"/>
      <c r="H327" s="474"/>
      <c r="I327" s="474"/>
      <c r="J327" s="474"/>
      <c r="K327" s="801" t="s">
        <v>1228</v>
      </c>
      <c r="L327" s="787" t="s">
        <v>6</v>
      </c>
      <c r="M327" s="700">
        <v>56488</v>
      </c>
      <c r="N327" s="789" t="s">
        <v>1224</v>
      </c>
      <c r="O327" s="787">
        <v>4</v>
      </c>
      <c r="P327" s="790">
        <v>1307592</v>
      </c>
      <c r="Q327" s="791">
        <v>12</v>
      </c>
      <c r="R327" s="1598">
        <v>12</v>
      </c>
      <c r="S327" s="1598">
        <v>0.3</v>
      </c>
      <c r="T327" s="1784">
        <v>56487970</v>
      </c>
      <c r="U327" s="792"/>
      <c r="V327" s="793"/>
      <c r="W327" s="793"/>
      <c r="X327" s="793"/>
    </row>
    <row r="328" spans="1:24" s="794" customFormat="1" ht="18" customHeight="1">
      <c r="A328" s="782"/>
      <c r="B328" s="783"/>
      <c r="C328" s="783"/>
      <c r="D328" s="783"/>
      <c r="E328" s="783"/>
      <c r="F328" s="795"/>
      <c r="G328" s="785"/>
      <c r="H328" s="474"/>
      <c r="I328" s="474"/>
      <c r="J328" s="474"/>
      <c r="K328" s="786" t="s">
        <v>339</v>
      </c>
      <c r="L328" s="1785"/>
      <c r="M328" s="708">
        <v>73800</v>
      </c>
      <c r="N328" s="789"/>
      <c r="O328" s="787"/>
      <c r="P328" s="790"/>
      <c r="Q328" s="791"/>
      <c r="R328" s="1598"/>
      <c r="S328" s="1598"/>
      <c r="T328" s="791"/>
      <c r="U328" s="792"/>
      <c r="V328" s="793"/>
      <c r="W328" s="793"/>
      <c r="X328" s="793"/>
    </row>
    <row r="329" spans="1:24" s="794" customFormat="1" ht="18" customHeight="1">
      <c r="A329" s="782"/>
      <c r="B329" s="783"/>
      <c r="C329" s="783"/>
      <c r="D329" s="783"/>
      <c r="E329" s="783"/>
      <c r="F329" s="795"/>
      <c r="G329" s="785"/>
      <c r="H329" s="474"/>
      <c r="I329" s="474"/>
      <c r="J329" s="474"/>
      <c r="K329" s="801" t="s">
        <v>1229</v>
      </c>
      <c r="L329" s="787" t="s">
        <v>6</v>
      </c>
      <c r="M329" s="700">
        <v>19800</v>
      </c>
      <c r="N329" s="789" t="s">
        <v>1220</v>
      </c>
      <c r="O329" s="787">
        <v>15</v>
      </c>
      <c r="P329" s="790">
        <v>150000</v>
      </c>
      <c r="Q329" s="791">
        <v>11</v>
      </c>
      <c r="R329" s="1598">
        <v>12</v>
      </c>
      <c r="S329" s="1598"/>
      <c r="T329" s="1784">
        <v>19800000</v>
      </c>
      <c r="U329" s="792"/>
      <c r="V329" s="793"/>
      <c r="W329" s="793"/>
      <c r="X329" s="793"/>
    </row>
    <row r="330" spans="1:24" s="794" customFormat="1" ht="18" customHeight="1">
      <c r="A330" s="782"/>
      <c r="B330" s="783"/>
      <c r="C330" s="783"/>
      <c r="D330" s="783"/>
      <c r="E330" s="783"/>
      <c r="F330" s="795"/>
      <c r="G330" s="785"/>
      <c r="H330" s="474"/>
      <c r="I330" s="474"/>
      <c r="J330" s="474"/>
      <c r="K330" s="801" t="s">
        <v>1230</v>
      </c>
      <c r="L330" s="787" t="s">
        <v>6</v>
      </c>
      <c r="M330" s="700">
        <v>32400</v>
      </c>
      <c r="N330" s="789" t="s">
        <v>1222</v>
      </c>
      <c r="O330" s="787">
        <v>8</v>
      </c>
      <c r="P330" s="790">
        <v>150000</v>
      </c>
      <c r="Q330" s="791">
        <v>18</v>
      </c>
      <c r="R330" s="1598">
        <v>12</v>
      </c>
      <c r="S330" s="1598"/>
      <c r="T330" s="1784">
        <v>32400000</v>
      </c>
      <c r="U330" s="792"/>
      <c r="V330" s="793"/>
      <c r="W330" s="793"/>
      <c r="X330" s="793"/>
    </row>
    <row r="331" spans="1:24" s="794" customFormat="1" ht="18" customHeight="1">
      <c r="A331" s="782"/>
      <c r="B331" s="783"/>
      <c r="C331" s="783"/>
      <c r="D331" s="783"/>
      <c r="E331" s="783"/>
      <c r="F331" s="795"/>
      <c r="G331" s="785"/>
      <c r="H331" s="474"/>
      <c r="I331" s="474"/>
      <c r="J331" s="474"/>
      <c r="K331" s="801" t="s">
        <v>1231</v>
      </c>
      <c r="L331" s="787" t="s">
        <v>6</v>
      </c>
      <c r="M331" s="700">
        <v>21600</v>
      </c>
      <c r="N331" s="789" t="s">
        <v>1224</v>
      </c>
      <c r="O331" s="787">
        <v>4</v>
      </c>
      <c r="P331" s="790">
        <v>150000</v>
      </c>
      <c r="Q331" s="791">
        <v>12</v>
      </c>
      <c r="R331" s="1598">
        <v>12</v>
      </c>
      <c r="S331" s="1598"/>
      <c r="T331" s="1784">
        <v>21600000</v>
      </c>
      <c r="U331" s="792"/>
      <c r="V331" s="793"/>
      <c r="W331" s="793"/>
      <c r="X331" s="793"/>
    </row>
    <row r="332" spans="1:24" s="794" customFormat="1" ht="18" customHeight="1">
      <c r="A332" s="782"/>
      <c r="B332" s="783"/>
      <c r="C332" s="783"/>
      <c r="D332" s="783"/>
      <c r="E332" s="783"/>
      <c r="F332" s="795"/>
      <c r="G332" s="785"/>
      <c r="H332" s="474"/>
      <c r="I332" s="474"/>
      <c r="J332" s="474"/>
      <c r="K332" s="786" t="s">
        <v>1232</v>
      </c>
      <c r="L332" s="1785"/>
      <c r="M332" s="708">
        <v>62520</v>
      </c>
      <c r="N332" s="789"/>
      <c r="O332" s="787"/>
      <c r="P332" s="790"/>
      <c r="Q332" s="791"/>
      <c r="R332" s="1598"/>
      <c r="S332" s="1598"/>
      <c r="T332" s="791"/>
      <c r="U332" s="792"/>
      <c r="V332" s="793"/>
      <c r="W332" s="793"/>
      <c r="X332" s="793"/>
    </row>
    <row r="333" spans="1:24" s="794" customFormat="1" ht="18" customHeight="1">
      <c r="A333" s="782"/>
      <c r="B333" s="783"/>
      <c r="C333" s="783"/>
      <c r="D333" s="783"/>
      <c r="E333" s="783"/>
      <c r="F333" s="795"/>
      <c r="G333" s="785"/>
      <c r="H333" s="474"/>
      <c r="I333" s="474"/>
      <c r="J333" s="474"/>
      <c r="K333" s="801" t="s">
        <v>1233</v>
      </c>
      <c r="L333" s="787" t="s">
        <v>6</v>
      </c>
      <c r="M333" s="700">
        <v>17160</v>
      </c>
      <c r="N333" s="789" t="s">
        <v>1220</v>
      </c>
      <c r="O333" s="787">
        <v>15</v>
      </c>
      <c r="P333" s="790">
        <v>130000</v>
      </c>
      <c r="Q333" s="791">
        <v>11</v>
      </c>
      <c r="R333" s="1598">
        <v>12</v>
      </c>
      <c r="S333" s="1598"/>
      <c r="T333" s="1784">
        <v>17160000</v>
      </c>
      <c r="U333" s="792"/>
      <c r="V333" s="793"/>
      <c r="W333" s="793"/>
      <c r="X333" s="793"/>
    </row>
    <row r="334" spans="1:24" s="794" customFormat="1" ht="18" customHeight="1">
      <c r="A334" s="782"/>
      <c r="B334" s="783"/>
      <c r="C334" s="783"/>
      <c r="D334" s="783"/>
      <c r="E334" s="783"/>
      <c r="F334" s="795"/>
      <c r="G334" s="785"/>
      <c r="H334" s="474"/>
      <c r="I334" s="474"/>
      <c r="J334" s="474"/>
      <c r="K334" s="801" t="s">
        <v>1234</v>
      </c>
      <c r="L334" s="787" t="s">
        <v>6</v>
      </c>
      <c r="M334" s="700">
        <v>28080</v>
      </c>
      <c r="N334" s="789" t="s">
        <v>1222</v>
      </c>
      <c r="O334" s="787">
        <v>8</v>
      </c>
      <c r="P334" s="790">
        <v>130000</v>
      </c>
      <c r="Q334" s="791">
        <v>18</v>
      </c>
      <c r="R334" s="1598">
        <v>12</v>
      </c>
      <c r="S334" s="1598"/>
      <c r="T334" s="1784">
        <v>28080000</v>
      </c>
      <c r="U334" s="792"/>
      <c r="V334" s="793"/>
      <c r="W334" s="793"/>
      <c r="X334" s="793"/>
    </row>
    <row r="335" spans="1:24" s="794" customFormat="1" ht="18" customHeight="1">
      <c r="A335" s="782"/>
      <c r="B335" s="783"/>
      <c r="C335" s="783"/>
      <c r="D335" s="783"/>
      <c r="E335" s="783"/>
      <c r="F335" s="795"/>
      <c r="G335" s="785"/>
      <c r="H335" s="474"/>
      <c r="I335" s="474"/>
      <c r="J335" s="474"/>
      <c r="K335" s="801" t="s">
        <v>1235</v>
      </c>
      <c r="L335" s="787" t="s">
        <v>6</v>
      </c>
      <c r="M335" s="700">
        <v>17280</v>
      </c>
      <c r="N335" s="789" t="s">
        <v>1224</v>
      </c>
      <c r="O335" s="787">
        <v>4</v>
      </c>
      <c r="P335" s="790">
        <v>120000</v>
      </c>
      <c r="Q335" s="791">
        <v>12</v>
      </c>
      <c r="R335" s="1598">
        <v>12</v>
      </c>
      <c r="S335" s="1598"/>
      <c r="T335" s="1784">
        <v>17280000</v>
      </c>
      <c r="U335" s="792"/>
      <c r="V335" s="793"/>
      <c r="W335" s="793"/>
      <c r="X335" s="793"/>
    </row>
    <row r="336" spans="1:24" s="794" customFormat="1" ht="18" customHeight="1">
      <c r="A336" s="782"/>
      <c r="B336" s="783"/>
      <c r="C336" s="783"/>
      <c r="D336" s="783"/>
      <c r="E336" s="783"/>
      <c r="F336" s="795"/>
      <c r="G336" s="785"/>
      <c r="H336" s="474"/>
      <c r="I336" s="474"/>
      <c r="J336" s="474"/>
      <c r="K336" s="786" t="s">
        <v>1236</v>
      </c>
      <c r="L336" s="1785"/>
      <c r="M336" s="708">
        <v>177978</v>
      </c>
      <c r="N336" s="789"/>
      <c r="O336" s="787"/>
      <c r="P336" s="790"/>
      <c r="Q336" s="791"/>
      <c r="R336" s="1598"/>
      <c r="S336" s="1598"/>
      <c r="T336" s="791"/>
      <c r="U336" s="792"/>
      <c r="V336" s="793"/>
      <c r="W336" s="793"/>
      <c r="X336" s="793"/>
    </row>
    <row r="337" spans="1:24" s="794" customFormat="1" ht="18" customHeight="1">
      <c r="A337" s="782"/>
      <c r="B337" s="783"/>
      <c r="C337" s="783"/>
      <c r="D337" s="783"/>
      <c r="E337" s="783"/>
      <c r="F337" s="795"/>
      <c r="G337" s="785"/>
      <c r="H337" s="474"/>
      <c r="I337" s="474"/>
      <c r="J337" s="474"/>
      <c r="K337" s="801" t="s">
        <v>1237</v>
      </c>
      <c r="L337" s="787" t="s">
        <v>6</v>
      </c>
      <c r="M337" s="700">
        <v>62629</v>
      </c>
      <c r="N337" s="789" t="s">
        <v>1220</v>
      </c>
      <c r="O337" s="787">
        <v>15</v>
      </c>
      <c r="P337" s="790">
        <v>2277405</v>
      </c>
      <c r="Q337" s="791">
        <v>11</v>
      </c>
      <c r="R337" s="1598"/>
      <c r="S337" s="1598">
        <v>2.5</v>
      </c>
      <c r="T337" s="1784">
        <v>62628634</v>
      </c>
      <c r="U337" s="792"/>
      <c r="V337" s="793"/>
      <c r="W337" s="793"/>
      <c r="X337" s="793"/>
    </row>
    <row r="338" spans="1:24" s="794" customFormat="1" ht="18" customHeight="1">
      <c r="A338" s="782"/>
      <c r="B338" s="783"/>
      <c r="C338" s="783"/>
      <c r="D338" s="783"/>
      <c r="E338" s="783"/>
      <c r="F338" s="795"/>
      <c r="G338" s="785"/>
      <c r="H338" s="474"/>
      <c r="I338" s="474"/>
      <c r="J338" s="474"/>
      <c r="K338" s="801" t="s">
        <v>1238</v>
      </c>
      <c r="L338" s="787" t="s">
        <v>6</v>
      </c>
      <c r="M338" s="700">
        <v>76121</v>
      </c>
      <c r="N338" s="789" t="s">
        <v>1222</v>
      </c>
      <c r="O338" s="787">
        <v>8</v>
      </c>
      <c r="P338" s="790">
        <v>1691575</v>
      </c>
      <c r="Q338" s="791">
        <v>18</v>
      </c>
      <c r="R338" s="1598"/>
      <c r="S338" s="1598">
        <v>2.5</v>
      </c>
      <c r="T338" s="1784">
        <v>76120880</v>
      </c>
      <c r="U338" s="792"/>
      <c r="V338" s="793"/>
      <c r="W338" s="793"/>
      <c r="X338" s="793"/>
    </row>
    <row r="339" spans="1:24" s="794" customFormat="1" ht="18" customHeight="1">
      <c r="A339" s="782"/>
      <c r="B339" s="783"/>
      <c r="C339" s="783"/>
      <c r="D339" s="783"/>
      <c r="E339" s="783"/>
      <c r="F339" s="795"/>
      <c r="G339" s="785"/>
      <c r="H339" s="474"/>
      <c r="I339" s="474"/>
      <c r="J339" s="474"/>
      <c r="K339" s="801" t="s">
        <v>1239</v>
      </c>
      <c r="L339" s="787" t="s">
        <v>6</v>
      </c>
      <c r="M339" s="700">
        <v>39228</v>
      </c>
      <c r="N339" s="789" t="s">
        <v>1224</v>
      </c>
      <c r="O339" s="787">
        <v>4</v>
      </c>
      <c r="P339" s="790">
        <v>1307592</v>
      </c>
      <c r="Q339" s="791">
        <v>12</v>
      </c>
      <c r="R339" s="1598"/>
      <c r="S339" s="1598">
        <v>2.5</v>
      </c>
      <c r="T339" s="1784">
        <v>39227757</v>
      </c>
      <c r="U339" s="792"/>
      <c r="V339" s="793"/>
      <c r="W339" s="793"/>
      <c r="X339" s="793"/>
    </row>
    <row r="340" spans="1:24" s="794" customFormat="1" ht="18" customHeight="1">
      <c r="A340" s="782"/>
      <c r="B340" s="783"/>
      <c r="C340" s="783"/>
      <c r="D340" s="783"/>
      <c r="E340" s="783"/>
      <c r="F340" s="795"/>
      <c r="G340" s="785"/>
      <c r="H340" s="474"/>
      <c r="I340" s="474"/>
      <c r="J340" s="474"/>
      <c r="K340" s="786" t="s">
        <v>1240</v>
      </c>
      <c r="L340" s="1785"/>
      <c r="M340" s="708">
        <v>68880</v>
      </c>
      <c r="N340" s="789"/>
      <c r="O340" s="787"/>
      <c r="P340" s="790"/>
      <c r="Q340" s="791"/>
      <c r="R340" s="1598"/>
      <c r="S340" s="1598"/>
      <c r="T340" s="791"/>
      <c r="U340" s="792"/>
      <c r="V340" s="793"/>
      <c r="W340" s="793"/>
      <c r="X340" s="793"/>
    </row>
    <row r="341" spans="1:24" s="794" customFormat="1" ht="18" customHeight="1">
      <c r="A341" s="782"/>
      <c r="B341" s="783"/>
      <c r="C341" s="783"/>
      <c r="D341" s="783"/>
      <c r="E341" s="783"/>
      <c r="F341" s="795"/>
      <c r="G341" s="785"/>
      <c r="H341" s="474"/>
      <c r="I341" s="474"/>
      <c r="J341" s="474"/>
      <c r="K341" s="801" t="s">
        <v>1241</v>
      </c>
      <c r="L341" s="787" t="s">
        <v>6</v>
      </c>
      <c r="M341" s="700">
        <v>18480</v>
      </c>
      <c r="N341" s="789" t="s">
        <v>1220</v>
      </c>
      <c r="O341" s="787">
        <v>15</v>
      </c>
      <c r="P341" s="790">
        <v>140000</v>
      </c>
      <c r="Q341" s="791">
        <v>11</v>
      </c>
      <c r="R341" s="1598">
        <v>12</v>
      </c>
      <c r="S341" s="1598"/>
      <c r="T341" s="1784">
        <v>18480000</v>
      </c>
      <c r="U341" s="792"/>
      <c r="V341" s="793"/>
      <c r="W341" s="793"/>
      <c r="X341" s="793"/>
    </row>
    <row r="342" spans="1:24" s="794" customFormat="1" ht="18" customHeight="1">
      <c r="A342" s="782"/>
      <c r="B342" s="783"/>
      <c r="C342" s="783"/>
      <c r="D342" s="783"/>
      <c r="E342" s="783"/>
      <c r="F342" s="795"/>
      <c r="G342" s="785"/>
      <c r="H342" s="474"/>
      <c r="I342" s="474"/>
      <c r="J342" s="474"/>
      <c r="K342" s="801" t="s">
        <v>1242</v>
      </c>
      <c r="L342" s="787" t="s">
        <v>6</v>
      </c>
      <c r="M342" s="700">
        <v>30240</v>
      </c>
      <c r="N342" s="789" t="s">
        <v>1222</v>
      </c>
      <c r="O342" s="787">
        <v>8</v>
      </c>
      <c r="P342" s="790">
        <v>140000</v>
      </c>
      <c r="Q342" s="791">
        <v>18</v>
      </c>
      <c r="R342" s="1598">
        <v>12</v>
      </c>
      <c r="S342" s="1598"/>
      <c r="T342" s="1784">
        <v>30240000</v>
      </c>
      <c r="U342" s="792"/>
      <c r="V342" s="793"/>
      <c r="W342" s="793"/>
      <c r="X342" s="793"/>
    </row>
    <row r="343" spans="1:24" s="794" customFormat="1" ht="18" customHeight="1">
      <c r="A343" s="782"/>
      <c r="B343" s="783"/>
      <c r="C343" s="783"/>
      <c r="D343" s="783"/>
      <c r="E343" s="783"/>
      <c r="F343" s="795"/>
      <c r="G343" s="785"/>
      <c r="H343" s="474"/>
      <c r="I343" s="474"/>
      <c r="J343" s="474"/>
      <c r="K343" s="801" t="s">
        <v>1243</v>
      </c>
      <c r="L343" s="787" t="s">
        <v>6</v>
      </c>
      <c r="M343" s="700">
        <v>20160</v>
      </c>
      <c r="N343" s="789" t="s">
        <v>1224</v>
      </c>
      <c r="O343" s="787">
        <v>4</v>
      </c>
      <c r="P343" s="790">
        <v>140000</v>
      </c>
      <c r="Q343" s="791">
        <v>12</v>
      </c>
      <c r="R343" s="1598">
        <v>12</v>
      </c>
      <c r="S343" s="1598"/>
      <c r="T343" s="1784">
        <v>20160000</v>
      </c>
      <c r="U343" s="792"/>
      <c r="V343" s="793"/>
      <c r="W343" s="793"/>
      <c r="X343" s="793"/>
    </row>
    <row r="344" spans="1:24" s="794" customFormat="1" ht="18" customHeight="1">
      <c r="A344" s="782"/>
      <c r="B344" s="783"/>
      <c r="C344" s="783"/>
      <c r="D344" s="783"/>
      <c r="E344" s="783"/>
      <c r="F344" s="795"/>
      <c r="G344" s="785"/>
      <c r="H344" s="474"/>
      <c r="I344" s="474"/>
      <c r="J344" s="474"/>
      <c r="K344" s="786" t="s">
        <v>1244</v>
      </c>
      <c r="L344" s="1785"/>
      <c r="M344" s="708">
        <v>21840</v>
      </c>
      <c r="N344" s="789"/>
      <c r="O344" s="787"/>
      <c r="P344" s="790"/>
      <c r="Q344" s="791"/>
      <c r="R344" s="1598"/>
      <c r="S344" s="1598"/>
      <c r="T344" s="791"/>
      <c r="U344" s="792"/>
      <c r="V344" s="793"/>
      <c r="W344" s="793"/>
      <c r="X344" s="793"/>
    </row>
    <row r="345" spans="1:24" s="794" customFormat="1" ht="18" customHeight="1">
      <c r="A345" s="782"/>
      <c r="B345" s="783"/>
      <c r="C345" s="783"/>
      <c r="D345" s="783"/>
      <c r="E345" s="783"/>
      <c r="F345" s="795"/>
      <c r="G345" s="785"/>
      <c r="H345" s="474"/>
      <c r="I345" s="474"/>
      <c r="J345" s="474"/>
      <c r="K345" s="801" t="s">
        <v>1245</v>
      </c>
      <c r="L345" s="787" t="s">
        <v>6</v>
      </c>
      <c r="M345" s="700">
        <v>7800</v>
      </c>
      <c r="N345" s="789" t="s">
        <v>1246</v>
      </c>
      <c r="O345" s="787"/>
      <c r="P345" s="790">
        <v>50000</v>
      </c>
      <c r="Q345" s="791">
        <v>13</v>
      </c>
      <c r="R345" s="1598">
        <v>12</v>
      </c>
      <c r="S345" s="1598"/>
      <c r="T345" s="1784">
        <v>7800000</v>
      </c>
      <c r="U345" s="792"/>
      <c r="V345" s="793"/>
      <c r="W345" s="793"/>
      <c r="X345" s="793"/>
    </row>
    <row r="346" spans="1:24" s="794" customFormat="1" ht="18" customHeight="1">
      <c r="A346" s="782"/>
      <c r="B346" s="783"/>
      <c r="C346" s="783"/>
      <c r="D346" s="783"/>
      <c r="E346" s="783"/>
      <c r="F346" s="795"/>
      <c r="G346" s="785"/>
      <c r="H346" s="474"/>
      <c r="I346" s="474"/>
      <c r="J346" s="474"/>
      <c r="K346" s="801" t="s">
        <v>1247</v>
      </c>
      <c r="L346" s="787" t="s">
        <v>6</v>
      </c>
      <c r="M346" s="700">
        <v>7200</v>
      </c>
      <c r="N346" s="789" t="s">
        <v>1248</v>
      </c>
      <c r="O346" s="787"/>
      <c r="P346" s="790">
        <v>60000</v>
      </c>
      <c r="Q346" s="791">
        <v>10</v>
      </c>
      <c r="R346" s="1598">
        <v>12</v>
      </c>
      <c r="S346" s="1598"/>
      <c r="T346" s="1784">
        <v>7200000</v>
      </c>
      <c r="U346" s="792"/>
      <c r="V346" s="793"/>
      <c r="W346" s="793"/>
      <c r="X346" s="793"/>
    </row>
    <row r="347" spans="1:24" s="794" customFormat="1" ht="18" customHeight="1">
      <c r="A347" s="782"/>
      <c r="B347" s="783"/>
      <c r="C347" s="783"/>
      <c r="D347" s="783"/>
      <c r="E347" s="783"/>
      <c r="F347" s="795"/>
      <c r="G347" s="785"/>
      <c r="H347" s="474"/>
      <c r="I347" s="474"/>
      <c r="J347" s="474"/>
      <c r="K347" s="801" t="s">
        <v>1249</v>
      </c>
      <c r="L347" s="787" t="s">
        <v>6</v>
      </c>
      <c r="M347" s="700">
        <v>2880</v>
      </c>
      <c r="N347" s="789" t="s">
        <v>1250</v>
      </c>
      <c r="O347" s="787"/>
      <c r="P347" s="790">
        <v>80000</v>
      </c>
      <c r="Q347" s="791">
        <v>3</v>
      </c>
      <c r="R347" s="1598">
        <v>12</v>
      </c>
      <c r="S347" s="1598"/>
      <c r="T347" s="1784">
        <v>2880000</v>
      </c>
      <c r="U347" s="792"/>
      <c r="V347" s="793"/>
      <c r="W347" s="793"/>
      <c r="X347" s="793"/>
    </row>
    <row r="348" spans="1:24" s="794" customFormat="1" ht="18" customHeight="1">
      <c r="A348" s="782"/>
      <c r="B348" s="783"/>
      <c r="C348" s="783"/>
      <c r="D348" s="783"/>
      <c r="E348" s="783"/>
      <c r="F348" s="795"/>
      <c r="G348" s="785"/>
      <c r="H348" s="474"/>
      <c r="I348" s="474"/>
      <c r="J348" s="474"/>
      <c r="K348" s="801" t="s">
        <v>1251</v>
      </c>
      <c r="L348" s="787" t="s">
        <v>6</v>
      </c>
      <c r="M348" s="700">
        <v>3960</v>
      </c>
      <c r="N348" s="789" t="s">
        <v>1252</v>
      </c>
      <c r="O348" s="787"/>
      <c r="P348" s="790">
        <v>110000</v>
      </c>
      <c r="Q348" s="791">
        <v>3</v>
      </c>
      <c r="R348" s="1598">
        <v>12</v>
      </c>
      <c r="S348" s="1598"/>
      <c r="T348" s="1784">
        <v>3960000</v>
      </c>
      <c r="U348" s="792"/>
      <c r="V348" s="793"/>
      <c r="W348" s="793"/>
      <c r="X348" s="793"/>
    </row>
    <row r="349" spans="1:24" s="794" customFormat="1" ht="18" customHeight="1">
      <c r="A349" s="782"/>
      <c r="B349" s="783"/>
      <c r="C349" s="783"/>
      <c r="D349" s="783"/>
      <c r="E349" s="783"/>
      <c r="F349" s="795"/>
      <c r="G349" s="785"/>
      <c r="H349" s="474"/>
      <c r="I349" s="474"/>
      <c r="J349" s="474"/>
      <c r="K349" s="786" t="s">
        <v>99</v>
      </c>
      <c r="L349" s="1785"/>
      <c r="M349" s="708">
        <v>29040</v>
      </c>
      <c r="N349" s="789"/>
      <c r="O349" s="787"/>
      <c r="P349" s="790"/>
      <c r="Q349" s="791"/>
      <c r="R349" s="1598"/>
      <c r="S349" s="1598"/>
      <c r="T349" s="791"/>
      <c r="U349" s="792"/>
      <c r="V349" s="793"/>
      <c r="W349" s="793"/>
      <c r="X349" s="793"/>
    </row>
    <row r="350" spans="1:24" s="794" customFormat="1" ht="18" customHeight="1">
      <c r="A350" s="782"/>
      <c r="B350" s="783"/>
      <c r="C350" s="783"/>
      <c r="D350" s="783"/>
      <c r="E350" s="783"/>
      <c r="F350" s="795"/>
      <c r="G350" s="785"/>
      <c r="H350" s="474"/>
      <c r="I350" s="474"/>
      <c r="J350" s="474"/>
      <c r="K350" s="801" t="s">
        <v>1253</v>
      </c>
      <c r="L350" s="787" t="s">
        <v>6</v>
      </c>
      <c r="M350" s="700" t="s">
        <v>1173</v>
      </c>
      <c r="N350" s="789" t="s">
        <v>1254</v>
      </c>
      <c r="O350" s="787"/>
      <c r="P350" s="790" t="s">
        <v>1255</v>
      </c>
      <c r="Q350" s="791">
        <v>25</v>
      </c>
      <c r="R350" s="1598">
        <v>12</v>
      </c>
      <c r="S350" s="1598"/>
      <c r="T350" s="1784">
        <v>12000000</v>
      </c>
      <c r="U350" s="792"/>
      <c r="V350" s="793"/>
      <c r="W350" s="793"/>
      <c r="X350" s="793"/>
    </row>
    <row r="351" spans="1:24" s="794" customFormat="1" ht="18" customHeight="1">
      <c r="A351" s="782"/>
      <c r="B351" s="783"/>
      <c r="C351" s="783"/>
      <c r="D351" s="783"/>
      <c r="E351" s="783"/>
      <c r="F351" s="795"/>
      <c r="G351" s="785"/>
      <c r="H351" s="474"/>
      <c r="I351" s="474"/>
      <c r="J351" s="474"/>
      <c r="K351" s="801" t="s">
        <v>1256</v>
      </c>
      <c r="L351" s="787" t="s">
        <v>6</v>
      </c>
      <c r="M351" s="700" t="s">
        <v>1257</v>
      </c>
      <c r="N351" s="789" t="s">
        <v>1258</v>
      </c>
      <c r="O351" s="787"/>
      <c r="P351" s="790" t="s">
        <v>1061</v>
      </c>
      <c r="Q351" s="791">
        <v>17</v>
      </c>
      <c r="R351" s="1598">
        <v>12</v>
      </c>
      <c r="S351" s="1598"/>
      <c r="T351" s="1784">
        <v>4080000</v>
      </c>
      <c r="U351" s="792"/>
      <c r="V351" s="793"/>
      <c r="W351" s="793"/>
      <c r="X351" s="793"/>
    </row>
    <row r="352" spans="1:24" s="794" customFormat="1" ht="18" customHeight="1">
      <c r="A352" s="782"/>
      <c r="B352" s="783"/>
      <c r="C352" s="783"/>
      <c r="D352" s="783"/>
      <c r="E352" s="783"/>
      <c r="F352" s="795"/>
      <c r="G352" s="785"/>
      <c r="H352" s="474"/>
      <c r="I352" s="474"/>
      <c r="J352" s="474"/>
      <c r="K352" s="801" t="s">
        <v>1259</v>
      </c>
      <c r="L352" s="787" t="s">
        <v>6</v>
      </c>
      <c r="M352" s="700" t="s">
        <v>1260</v>
      </c>
      <c r="N352" s="789" t="s">
        <v>1261</v>
      </c>
      <c r="O352" s="787"/>
      <c r="P352" s="790" t="s">
        <v>1262</v>
      </c>
      <c r="Q352" s="791">
        <v>15</v>
      </c>
      <c r="R352" s="1598">
        <v>12</v>
      </c>
      <c r="S352" s="1598"/>
      <c r="T352" s="1784">
        <v>5400000</v>
      </c>
      <c r="U352" s="792"/>
      <c r="V352" s="793"/>
      <c r="W352" s="793"/>
      <c r="X352" s="793"/>
    </row>
    <row r="353" spans="1:24" s="794" customFormat="1" ht="18" customHeight="1">
      <c r="A353" s="782"/>
      <c r="B353" s="783"/>
      <c r="C353" s="783"/>
      <c r="D353" s="783"/>
      <c r="E353" s="783"/>
      <c r="F353" s="795"/>
      <c r="G353" s="785"/>
      <c r="H353" s="474"/>
      <c r="I353" s="474"/>
      <c r="J353" s="474"/>
      <c r="K353" s="801" t="s">
        <v>1263</v>
      </c>
      <c r="L353" s="787" t="s">
        <v>6</v>
      </c>
      <c r="M353" s="700" t="s">
        <v>1264</v>
      </c>
      <c r="N353" s="789" t="s">
        <v>1265</v>
      </c>
      <c r="O353" s="787"/>
      <c r="P353" s="790" t="s">
        <v>1266</v>
      </c>
      <c r="Q353" s="791">
        <v>9</v>
      </c>
      <c r="R353" s="1598">
        <v>12</v>
      </c>
      <c r="S353" s="1598"/>
      <c r="T353" s="1784">
        <v>7560000</v>
      </c>
      <c r="U353" s="792"/>
      <c r="V353" s="793"/>
      <c r="W353" s="793"/>
      <c r="X353" s="793"/>
    </row>
    <row r="354" spans="1:24" s="794" customFormat="1" ht="18" customHeight="1">
      <c r="A354" s="782"/>
      <c r="B354" s="783"/>
      <c r="C354" s="783"/>
      <c r="D354" s="783"/>
      <c r="E354" s="783"/>
      <c r="F354" s="795"/>
      <c r="G354" s="785"/>
      <c r="H354" s="474"/>
      <c r="I354" s="474"/>
      <c r="J354" s="474"/>
      <c r="K354" s="801" t="s">
        <v>1267</v>
      </c>
      <c r="L354" s="787" t="s">
        <v>6</v>
      </c>
      <c r="M354" s="700" t="s">
        <v>1126</v>
      </c>
      <c r="N354" s="789" t="s">
        <v>1268</v>
      </c>
      <c r="O354" s="787"/>
      <c r="P354" s="790" t="s">
        <v>1055</v>
      </c>
      <c r="Q354" s="791">
        <v>0</v>
      </c>
      <c r="R354" s="1598">
        <v>12</v>
      </c>
      <c r="S354" s="1598"/>
      <c r="T354" s="791" t="s">
        <v>1126</v>
      </c>
      <c r="U354" s="792"/>
      <c r="V354" s="793"/>
      <c r="W354" s="793"/>
      <c r="X354" s="793"/>
    </row>
    <row r="355" spans="1:24" s="794" customFormat="1" ht="18" customHeight="1">
      <c r="A355" s="782"/>
      <c r="B355" s="783"/>
      <c r="C355" s="783"/>
      <c r="D355" s="783"/>
      <c r="E355" s="783"/>
      <c r="F355" s="795"/>
      <c r="G355" s="785"/>
      <c r="H355" s="474"/>
      <c r="I355" s="474"/>
      <c r="J355" s="474"/>
      <c r="K355" s="786" t="s">
        <v>1269</v>
      </c>
      <c r="L355" s="1785"/>
      <c r="M355" s="708">
        <v>6600</v>
      </c>
      <c r="N355" s="789"/>
      <c r="O355" s="787"/>
      <c r="P355" s="790"/>
      <c r="Q355" s="791"/>
      <c r="R355" s="1598"/>
      <c r="S355" s="1598"/>
      <c r="T355" s="791"/>
      <c r="U355" s="792"/>
      <c r="V355" s="793"/>
      <c r="W355" s="793"/>
      <c r="X355" s="793"/>
    </row>
    <row r="356" spans="1:24" s="794" customFormat="1" ht="18" customHeight="1">
      <c r="A356" s="782"/>
      <c r="B356" s="783"/>
      <c r="C356" s="783"/>
      <c r="D356" s="783"/>
      <c r="E356" s="783"/>
      <c r="F356" s="795"/>
      <c r="G356" s="785"/>
      <c r="H356" s="474"/>
      <c r="I356" s="474"/>
      <c r="J356" s="474"/>
      <c r="K356" s="801" t="s">
        <v>1270</v>
      </c>
      <c r="L356" s="787" t="s">
        <v>6</v>
      </c>
      <c r="M356" s="700" t="s">
        <v>1260</v>
      </c>
      <c r="N356" s="789" t="s">
        <v>1271</v>
      </c>
      <c r="O356" s="787"/>
      <c r="P356" s="790" t="s">
        <v>1262</v>
      </c>
      <c r="Q356" s="791">
        <v>15</v>
      </c>
      <c r="R356" s="1598">
        <v>12</v>
      </c>
      <c r="S356" s="1598"/>
      <c r="T356" s="1784">
        <v>5400000</v>
      </c>
      <c r="U356" s="792">
        <v>2200000</v>
      </c>
      <c r="V356" s="793"/>
      <c r="W356" s="793"/>
      <c r="X356" s="793"/>
    </row>
    <row r="357" spans="1:24" s="794" customFormat="1" ht="18" customHeight="1">
      <c r="A357" s="782"/>
      <c r="B357" s="783"/>
      <c r="C357" s="783"/>
      <c r="D357" s="783"/>
      <c r="E357" s="783"/>
      <c r="F357" s="795"/>
      <c r="G357" s="785"/>
      <c r="H357" s="474"/>
      <c r="I357" s="474"/>
      <c r="J357" s="474"/>
      <c r="K357" s="801" t="s">
        <v>1272</v>
      </c>
      <c r="L357" s="787" t="s">
        <v>6</v>
      </c>
      <c r="M357" s="700" t="s">
        <v>1125</v>
      </c>
      <c r="N357" s="789" t="s">
        <v>1273</v>
      </c>
      <c r="O357" s="787"/>
      <c r="P357" s="790" t="s">
        <v>1274</v>
      </c>
      <c r="Q357" s="791">
        <v>4</v>
      </c>
      <c r="R357" s="1598">
        <v>12</v>
      </c>
      <c r="S357" s="1598"/>
      <c r="T357" s="1784">
        <v>1200000</v>
      </c>
      <c r="U357" s="792"/>
      <c r="V357" s="793"/>
      <c r="W357" s="793"/>
      <c r="X357" s="793"/>
    </row>
    <row r="358" spans="1:24" s="794" customFormat="1" ht="18" customHeight="1">
      <c r="A358" s="782"/>
      <c r="B358" s="783"/>
      <c r="C358" s="783"/>
      <c r="D358" s="783"/>
      <c r="E358" s="783"/>
      <c r="F358" s="795"/>
      <c r="G358" s="785"/>
      <c r="H358" s="474"/>
      <c r="I358" s="474"/>
      <c r="J358" s="474"/>
      <c r="K358" s="786" t="s">
        <v>1275</v>
      </c>
      <c r="L358" s="1785"/>
      <c r="M358" s="708">
        <v>11520</v>
      </c>
      <c r="N358" s="789"/>
      <c r="O358" s="787"/>
      <c r="P358" s="790"/>
      <c r="Q358" s="791"/>
      <c r="R358" s="1598"/>
      <c r="S358" s="1598"/>
      <c r="T358" s="791"/>
      <c r="U358" s="792"/>
      <c r="V358" s="793"/>
      <c r="W358" s="793"/>
      <c r="X358" s="793"/>
    </row>
    <row r="359" spans="1:24" s="794" customFormat="1" ht="18" customHeight="1">
      <c r="A359" s="782"/>
      <c r="B359" s="783"/>
      <c r="C359" s="783"/>
      <c r="D359" s="783"/>
      <c r="E359" s="783"/>
      <c r="F359" s="795"/>
      <c r="G359" s="785"/>
      <c r="H359" s="474"/>
      <c r="I359" s="474"/>
      <c r="J359" s="474"/>
      <c r="K359" s="801" t="s">
        <v>1276</v>
      </c>
      <c r="L359" s="787" t="s">
        <v>6</v>
      </c>
      <c r="M359" s="700" t="s">
        <v>1277</v>
      </c>
      <c r="N359" s="789" t="s">
        <v>1278</v>
      </c>
      <c r="O359" s="787"/>
      <c r="P359" s="790">
        <v>80000</v>
      </c>
      <c r="Q359" s="791">
        <v>12</v>
      </c>
      <c r="R359" s="1598">
        <v>12</v>
      </c>
      <c r="S359" s="1598"/>
      <c r="T359" s="1784">
        <v>11520000</v>
      </c>
      <c r="U359" s="792">
        <v>3840000</v>
      </c>
      <c r="V359" s="793"/>
      <c r="W359" s="793"/>
      <c r="X359" s="793"/>
    </row>
    <row r="360" spans="1:24" s="794" customFormat="1" ht="18" customHeight="1">
      <c r="A360" s="782"/>
      <c r="B360" s="783"/>
      <c r="C360" s="783"/>
      <c r="D360" s="783"/>
      <c r="E360" s="783"/>
      <c r="F360" s="795"/>
      <c r="G360" s="785"/>
      <c r="H360" s="474"/>
      <c r="I360" s="474"/>
      <c r="J360" s="474"/>
      <c r="K360" s="786" t="s">
        <v>1279</v>
      </c>
      <c r="L360" s="1785"/>
      <c r="M360" s="708">
        <v>3600</v>
      </c>
      <c r="N360" s="789"/>
      <c r="O360" s="787"/>
      <c r="P360" s="790"/>
      <c r="Q360" s="791"/>
      <c r="R360" s="1598"/>
      <c r="S360" s="1598"/>
      <c r="T360" s="791"/>
      <c r="U360" s="792"/>
      <c r="V360" s="793"/>
      <c r="W360" s="793"/>
      <c r="X360" s="793"/>
    </row>
    <row r="361" spans="1:24" s="794" customFormat="1" ht="18" customHeight="1">
      <c r="A361" s="782"/>
      <c r="B361" s="783"/>
      <c r="C361" s="783"/>
      <c r="D361" s="783"/>
      <c r="E361" s="783"/>
      <c r="F361" s="795"/>
      <c r="G361" s="785"/>
      <c r="H361" s="474"/>
      <c r="I361" s="474"/>
      <c r="J361" s="474"/>
      <c r="K361" s="801" t="s">
        <v>1280</v>
      </c>
      <c r="L361" s="787" t="s">
        <v>6</v>
      </c>
      <c r="M361" s="700" t="s">
        <v>1281</v>
      </c>
      <c r="N361" s="789" t="s">
        <v>1282</v>
      </c>
      <c r="O361" s="787"/>
      <c r="P361" s="790" t="s">
        <v>1262</v>
      </c>
      <c r="Q361" s="791">
        <v>4</v>
      </c>
      <c r="R361" s="1598">
        <v>12</v>
      </c>
      <c r="S361" s="1598"/>
      <c r="T361" s="1784">
        <v>1440000</v>
      </c>
      <c r="U361" s="792">
        <v>1200000</v>
      </c>
      <c r="V361" s="793"/>
      <c r="W361" s="793"/>
      <c r="X361" s="793"/>
    </row>
    <row r="362" spans="1:24" s="794" customFormat="1" ht="18" customHeight="1">
      <c r="A362" s="782"/>
      <c r="B362" s="783"/>
      <c r="C362" s="783"/>
      <c r="D362" s="783"/>
      <c r="E362" s="783"/>
      <c r="F362" s="795"/>
      <c r="G362" s="785"/>
      <c r="H362" s="474"/>
      <c r="I362" s="474"/>
      <c r="J362" s="474"/>
      <c r="K362" s="801" t="s">
        <v>1283</v>
      </c>
      <c r="L362" s="787" t="s">
        <v>6</v>
      </c>
      <c r="M362" s="700" t="s">
        <v>1284</v>
      </c>
      <c r="N362" s="789" t="s">
        <v>1285</v>
      </c>
      <c r="O362" s="787"/>
      <c r="P362" s="790" t="s">
        <v>1075</v>
      </c>
      <c r="Q362" s="791">
        <v>18</v>
      </c>
      <c r="R362" s="1598">
        <v>12</v>
      </c>
      <c r="S362" s="1598"/>
      <c r="T362" s="1784">
        <v>2160000</v>
      </c>
      <c r="U362" s="792"/>
      <c r="V362" s="793"/>
      <c r="W362" s="793"/>
      <c r="X362" s="793"/>
    </row>
    <row r="363" spans="1:24" s="794" customFormat="1" ht="18" customHeight="1">
      <c r="A363" s="782"/>
      <c r="B363" s="783"/>
      <c r="C363" s="783"/>
      <c r="D363" s="783"/>
      <c r="E363" s="783"/>
      <c r="F363" s="795"/>
      <c r="G363" s="785"/>
      <c r="H363" s="474"/>
      <c r="I363" s="474"/>
      <c r="J363" s="474"/>
      <c r="K363" s="786" t="s">
        <v>1286</v>
      </c>
      <c r="L363" s="1785"/>
      <c r="M363" s="708">
        <v>106788</v>
      </c>
      <c r="N363" s="789"/>
      <c r="O363" s="787"/>
      <c r="P363" s="790"/>
      <c r="Q363" s="791"/>
      <c r="R363" s="1598"/>
      <c r="S363" s="1598"/>
      <c r="T363" s="791"/>
      <c r="U363" s="792"/>
      <c r="V363" s="793"/>
      <c r="W363" s="793"/>
      <c r="X363" s="793"/>
    </row>
    <row r="364" spans="1:24" s="794" customFormat="1" ht="18" customHeight="1">
      <c r="A364" s="782"/>
      <c r="B364" s="783"/>
      <c r="C364" s="783"/>
      <c r="D364" s="783"/>
      <c r="E364" s="783"/>
      <c r="F364" s="795"/>
      <c r="G364" s="785"/>
      <c r="H364" s="474"/>
      <c r="I364" s="474"/>
      <c r="J364" s="474"/>
      <c r="K364" s="801" t="s">
        <v>1287</v>
      </c>
      <c r="L364" s="787" t="s">
        <v>6</v>
      </c>
      <c r="M364" s="700">
        <v>37577</v>
      </c>
      <c r="N364" s="789" t="s">
        <v>1220</v>
      </c>
      <c r="O364" s="787">
        <v>15</v>
      </c>
      <c r="P364" s="790">
        <v>2277405</v>
      </c>
      <c r="Q364" s="791">
        <v>11</v>
      </c>
      <c r="R364" s="1598"/>
      <c r="S364" s="1598">
        <v>1.5</v>
      </c>
      <c r="T364" s="1784">
        <v>37577181</v>
      </c>
      <c r="U364" s="792"/>
      <c r="V364" s="793"/>
      <c r="W364" s="793"/>
      <c r="X364" s="793"/>
    </row>
    <row r="365" spans="1:24" s="794" customFormat="1" ht="18" customHeight="1">
      <c r="A365" s="782"/>
      <c r="B365" s="783"/>
      <c r="C365" s="783"/>
      <c r="D365" s="783"/>
      <c r="E365" s="783"/>
      <c r="F365" s="795"/>
      <c r="G365" s="785"/>
      <c r="H365" s="474"/>
      <c r="I365" s="474"/>
      <c r="J365" s="474"/>
      <c r="K365" s="801" t="s">
        <v>1288</v>
      </c>
      <c r="L365" s="787" t="s">
        <v>6</v>
      </c>
      <c r="M365" s="700">
        <v>45673</v>
      </c>
      <c r="N365" s="789" t="s">
        <v>1222</v>
      </c>
      <c r="O365" s="787">
        <v>8</v>
      </c>
      <c r="P365" s="790">
        <v>1691575</v>
      </c>
      <c r="Q365" s="791">
        <v>18</v>
      </c>
      <c r="R365" s="1598"/>
      <c r="S365" s="1598">
        <v>1.5</v>
      </c>
      <c r="T365" s="1784">
        <v>45672528</v>
      </c>
      <c r="U365" s="792"/>
      <c r="V365" s="793"/>
      <c r="W365" s="793"/>
      <c r="X365" s="793"/>
    </row>
    <row r="366" spans="1:24" s="794" customFormat="1" ht="18" customHeight="1">
      <c r="A366" s="782"/>
      <c r="B366" s="783"/>
      <c r="C366" s="783"/>
      <c r="D366" s="783"/>
      <c r="E366" s="783"/>
      <c r="F366" s="795"/>
      <c r="G366" s="785"/>
      <c r="H366" s="474"/>
      <c r="I366" s="474"/>
      <c r="J366" s="474"/>
      <c r="K366" s="801" t="s">
        <v>1289</v>
      </c>
      <c r="L366" s="787" t="s">
        <v>6</v>
      </c>
      <c r="M366" s="700">
        <v>23537</v>
      </c>
      <c r="N366" s="789" t="s">
        <v>1224</v>
      </c>
      <c r="O366" s="787">
        <v>4</v>
      </c>
      <c r="P366" s="790">
        <v>1307592</v>
      </c>
      <c r="Q366" s="791">
        <v>12</v>
      </c>
      <c r="R366" s="1598"/>
      <c r="S366" s="1598">
        <v>1.5</v>
      </c>
      <c r="T366" s="1784">
        <v>23536654</v>
      </c>
      <c r="U366" s="792"/>
      <c r="V366" s="793"/>
      <c r="W366" s="793"/>
      <c r="X366" s="793"/>
    </row>
    <row r="367" spans="1:24" s="794" customFormat="1" ht="18" customHeight="1">
      <c r="A367" s="782"/>
      <c r="B367" s="783"/>
      <c r="C367" s="783"/>
      <c r="D367" s="783"/>
      <c r="E367" s="783"/>
      <c r="F367" s="795"/>
      <c r="G367" s="785"/>
      <c r="H367" s="474"/>
      <c r="I367" s="474"/>
      <c r="J367" s="474"/>
      <c r="K367" s="786" t="s">
        <v>1290</v>
      </c>
      <c r="L367" s="1785"/>
      <c r="M367" s="708">
        <v>330148</v>
      </c>
      <c r="N367" s="789"/>
      <c r="O367" s="787"/>
      <c r="P367" s="790"/>
      <c r="Q367" s="791"/>
      <c r="R367" s="1598"/>
      <c r="S367" s="1598"/>
      <c r="T367" s="791"/>
      <c r="U367" s="792"/>
      <c r="V367" s="793"/>
      <c r="W367" s="793"/>
      <c r="X367" s="793"/>
    </row>
    <row r="368" spans="1:24" s="794" customFormat="1" ht="18" customHeight="1">
      <c r="A368" s="782"/>
      <c r="B368" s="783"/>
      <c r="C368" s="783"/>
      <c r="D368" s="783"/>
      <c r="E368" s="783"/>
      <c r="F368" s="795"/>
      <c r="G368" s="785"/>
      <c r="H368" s="474"/>
      <c r="I368" s="474"/>
      <c r="J368" s="474"/>
      <c r="K368" s="801" t="s">
        <v>1291</v>
      </c>
      <c r="L368" s="787" t="s">
        <v>6</v>
      </c>
      <c r="M368" s="700">
        <v>112804</v>
      </c>
      <c r="N368" s="789" t="s">
        <v>1220</v>
      </c>
      <c r="O368" s="787">
        <v>15</v>
      </c>
      <c r="P368" s="790">
        <v>3969025</v>
      </c>
      <c r="Q368" s="791">
        <v>11</v>
      </c>
      <c r="R368" s="1598">
        <v>12</v>
      </c>
      <c r="S368" s="1598">
        <v>0.215311005</v>
      </c>
      <c r="T368" s="1784">
        <v>112803871</v>
      </c>
      <c r="U368" s="792"/>
      <c r="V368" s="793"/>
      <c r="W368" s="793"/>
      <c r="X368" s="793"/>
    </row>
    <row r="369" spans="1:24" s="794" customFormat="1" ht="18" customHeight="1">
      <c r="A369" s="782"/>
      <c r="B369" s="783"/>
      <c r="C369" s="783"/>
      <c r="D369" s="783"/>
      <c r="E369" s="783"/>
      <c r="F369" s="795"/>
      <c r="G369" s="785"/>
      <c r="H369" s="474"/>
      <c r="I369" s="474"/>
      <c r="J369" s="474"/>
      <c r="K369" s="801" t="s">
        <v>1292</v>
      </c>
      <c r="L369" s="787" t="s">
        <v>6</v>
      </c>
      <c r="M369" s="700">
        <v>141303</v>
      </c>
      <c r="N369" s="789" t="s">
        <v>1222</v>
      </c>
      <c r="O369" s="787">
        <v>8</v>
      </c>
      <c r="P369" s="790">
        <v>3038311</v>
      </c>
      <c r="Q369" s="791">
        <v>18</v>
      </c>
      <c r="R369" s="1598">
        <v>12</v>
      </c>
      <c r="S369" s="1598">
        <v>0.215311005</v>
      </c>
      <c r="T369" s="1784">
        <v>141303267</v>
      </c>
      <c r="U369" s="792"/>
      <c r="V369" s="793"/>
      <c r="W369" s="793"/>
      <c r="X369" s="793"/>
    </row>
    <row r="370" spans="1:24" s="794" customFormat="1" ht="18" customHeight="1">
      <c r="A370" s="782"/>
      <c r="B370" s="783"/>
      <c r="C370" s="783"/>
      <c r="D370" s="783"/>
      <c r="E370" s="783"/>
      <c r="F370" s="795"/>
      <c r="G370" s="785"/>
      <c r="H370" s="474"/>
      <c r="I370" s="474"/>
      <c r="J370" s="474"/>
      <c r="K370" s="801" t="s">
        <v>1293</v>
      </c>
      <c r="L370" s="787" t="s">
        <v>6</v>
      </c>
      <c r="M370" s="700">
        <v>76041</v>
      </c>
      <c r="N370" s="789" t="s">
        <v>1224</v>
      </c>
      <c r="O370" s="787">
        <v>4</v>
      </c>
      <c r="P370" s="790">
        <v>2452562</v>
      </c>
      <c r="Q370" s="791">
        <v>12</v>
      </c>
      <c r="R370" s="1598">
        <v>12</v>
      </c>
      <c r="S370" s="1598">
        <v>0.215311005</v>
      </c>
      <c r="T370" s="1784">
        <v>76041163</v>
      </c>
      <c r="U370" s="792"/>
      <c r="V370" s="793"/>
      <c r="W370" s="793"/>
      <c r="X370" s="793"/>
    </row>
    <row r="371" spans="1:24" s="794" customFormat="1" ht="18" customHeight="1">
      <c r="A371" s="782"/>
      <c r="B371" s="783"/>
      <c r="C371" s="783"/>
      <c r="D371" s="783"/>
      <c r="E371" s="783"/>
      <c r="F371" s="795"/>
      <c r="G371" s="785"/>
      <c r="H371" s="474"/>
      <c r="I371" s="474"/>
      <c r="J371" s="474"/>
      <c r="K371" s="786" t="s">
        <v>1294</v>
      </c>
      <c r="L371" s="1785"/>
      <c r="M371" s="708">
        <v>67319</v>
      </c>
      <c r="N371" s="789"/>
      <c r="O371" s="787"/>
      <c r="P371" s="790"/>
      <c r="Q371" s="791"/>
      <c r="R371" s="1598"/>
      <c r="S371" s="1598"/>
      <c r="T371" s="791"/>
      <c r="U371" s="792"/>
      <c r="V371" s="793"/>
      <c r="W371" s="793"/>
      <c r="X371" s="793"/>
    </row>
    <row r="372" spans="1:24" s="794" customFormat="1" ht="18" customHeight="1">
      <c r="A372" s="782"/>
      <c r="B372" s="783"/>
      <c r="C372" s="783"/>
      <c r="D372" s="783"/>
      <c r="E372" s="783"/>
      <c r="F372" s="795"/>
      <c r="G372" s="785"/>
      <c r="H372" s="474"/>
      <c r="I372" s="474"/>
      <c r="J372" s="474"/>
      <c r="K372" s="801" t="s">
        <v>1295</v>
      </c>
      <c r="L372" s="787" t="s">
        <v>6</v>
      </c>
      <c r="M372" s="700">
        <v>4540</v>
      </c>
      <c r="N372" s="789" t="s">
        <v>1296</v>
      </c>
      <c r="O372" s="787"/>
      <c r="P372" s="790">
        <v>5930670</v>
      </c>
      <c r="Q372" s="791">
        <v>2</v>
      </c>
      <c r="R372" s="1598">
        <v>10</v>
      </c>
      <c r="S372" s="1598">
        <v>3.8277512E-2</v>
      </c>
      <c r="T372" s="1784">
        <v>4540226</v>
      </c>
      <c r="U372" s="792"/>
      <c r="V372" s="793"/>
      <c r="W372" s="793"/>
      <c r="X372" s="793"/>
    </row>
    <row r="373" spans="1:24" s="794" customFormat="1" ht="18" customHeight="1">
      <c r="A373" s="782"/>
      <c r="B373" s="783"/>
      <c r="C373" s="783"/>
      <c r="D373" s="783"/>
      <c r="E373" s="783"/>
      <c r="F373" s="795"/>
      <c r="G373" s="785"/>
      <c r="H373" s="474"/>
      <c r="I373" s="474"/>
      <c r="J373" s="474"/>
      <c r="K373" s="801" t="s">
        <v>1297</v>
      </c>
      <c r="L373" s="787" t="s">
        <v>6</v>
      </c>
      <c r="M373" s="700">
        <v>13867</v>
      </c>
      <c r="N373" s="789" t="s">
        <v>1298</v>
      </c>
      <c r="O373" s="787"/>
      <c r="P373" s="790">
        <v>6038030</v>
      </c>
      <c r="Q373" s="791">
        <v>6</v>
      </c>
      <c r="R373" s="1598">
        <v>10</v>
      </c>
      <c r="S373" s="1598">
        <v>3.8277512E-2</v>
      </c>
      <c r="T373" s="1784">
        <v>13867246</v>
      </c>
      <c r="U373" s="792"/>
      <c r="V373" s="793"/>
      <c r="W373" s="793"/>
      <c r="X373" s="793"/>
    </row>
    <row r="374" spans="1:24" s="794" customFormat="1" ht="18" customHeight="1">
      <c r="A374" s="782"/>
      <c r="B374" s="783"/>
      <c r="C374" s="783"/>
      <c r="D374" s="783"/>
      <c r="E374" s="783"/>
      <c r="F374" s="795"/>
      <c r="G374" s="785"/>
      <c r="H374" s="474"/>
      <c r="I374" s="474"/>
      <c r="J374" s="474"/>
      <c r="K374" s="801" t="s">
        <v>1299</v>
      </c>
      <c r="L374" s="787" t="s">
        <v>6</v>
      </c>
      <c r="M374" s="700">
        <v>16712</v>
      </c>
      <c r="N374" s="789" t="s">
        <v>1220</v>
      </c>
      <c r="O374" s="787">
        <v>15</v>
      </c>
      <c r="P374" s="790">
        <v>3969025</v>
      </c>
      <c r="Q374" s="791">
        <v>11</v>
      </c>
      <c r="R374" s="1598">
        <v>10</v>
      </c>
      <c r="S374" s="1598">
        <v>3.8277512E-2</v>
      </c>
      <c r="T374" s="1784">
        <v>16711685</v>
      </c>
      <c r="U374" s="792"/>
      <c r="V374" s="793"/>
      <c r="W374" s="793"/>
      <c r="X374" s="793"/>
    </row>
    <row r="375" spans="1:24" s="794" customFormat="1" ht="18" customHeight="1">
      <c r="A375" s="782"/>
      <c r="B375" s="783"/>
      <c r="C375" s="783"/>
      <c r="D375" s="783"/>
      <c r="E375" s="783"/>
      <c r="F375" s="795"/>
      <c r="G375" s="785"/>
      <c r="H375" s="474"/>
      <c r="I375" s="474"/>
      <c r="J375" s="474"/>
      <c r="K375" s="801" t="s">
        <v>1300</v>
      </c>
      <c r="L375" s="787" t="s">
        <v>6</v>
      </c>
      <c r="M375" s="700">
        <v>20934</v>
      </c>
      <c r="N375" s="789" t="s">
        <v>1222</v>
      </c>
      <c r="O375" s="787">
        <v>8</v>
      </c>
      <c r="P375" s="790">
        <v>3038311</v>
      </c>
      <c r="Q375" s="791">
        <v>18</v>
      </c>
      <c r="R375" s="1598">
        <v>10</v>
      </c>
      <c r="S375" s="1598">
        <v>3.8277512E-2</v>
      </c>
      <c r="T375" s="1784">
        <v>20933817</v>
      </c>
      <c r="U375" s="792"/>
      <c r="V375" s="793"/>
      <c r="W375" s="793"/>
      <c r="X375" s="793"/>
    </row>
    <row r="376" spans="1:24" s="794" customFormat="1" ht="18" customHeight="1">
      <c r="A376" s="782"/>
      <c r="B376" s="783"/>
      <c r="C376" s="783"/>
      <c r="D376" s="783"/>
      <c r="E376" s="783"/>
      <c r="F376" s="795"/>
      <c r="G376" s="785"/>
      <c r="H376" s="474"/>
      <c r="I376" s="474"/>
      <c r="J376" s="474"/>
      <c r="K376" s="801" t="s">
        <v>1301</v>
      </c>
      <c r="L376" s="787" t="s">
        <v>6</v>
      </c>
      <c r="M376" s="700">
        <v>11265</v>
      </c>
      <c r="N376" s="789" t="s">
        <v>1224</v>
      </c>
      <c r="O376" s="787">
        <v>4</v>
      </c>
      <c r="P376" s="790">
        <v>2452562</v>
      </c>
      <c r="Q376" s="791">
        <v>12</v>
      </c>
      <c r="R376" s="1598">
        <v>10</v>
      </c>
      <c r="S376" s="1598">
        <v>3.8277512E-2</v>
      </c>
      <c r="T376" s="1784">
        <v>11265358</v>
      </c>
      <c r="U376" s="792"/>
      <c r="V376" s="793"/>
      <c r="W376" s="793"/>
      <c r="X376" s="793"/>
    </row>
    <row r="377" spans="1:24" s="794" customFormat="1" ht="18" customHeight="1">
      <c r="A377" s="782"/>
      <c r="B377" s="783"/>
      <c r="C377" s="783"/>
      <c r="D377" s="783"/>
      <c r="E377" s="783"/>
      <c r="F377" s="795"/>
      <c r="G377" s="785"/>
      <c r="H377" s="474"/>
      <c r="I377" s="474"/>
      <c r="J377" s="474"/>
      <c r="K377" s="786" t="s">
        <v>1302</v>
      </c>
      <c r="L377" s="1785"/>
      <c r="M377" s="708">
        <v>14400</v>
      </c>
      <c r="N377" s="789"/>
      <c r="O377" s="787"/>
      <c r="P377" s="790"/>
      <c r="Q377" s="791"/>
      <c r="R377" s="1598"/>
      <c r="S377" s="1598"/>
      <c r="T377" s="791"/>
      <c r="U377" s="792"/>
      <c r="V377" s="793"/>
      <c r="W377" s="793"/>
      <c r="X377" s="793"/>
    </row>
    <row r="378" spans="1:24" ht="18" customHeight="1">
      <c r="A378" s="782"/>
      <c r="B378" s="783"/>
      <c r="C378" s="783"/>
      <c r="D378" s="783"/>
      <c r="E378" s="783"/>
      <c r="F378" s="784"/>
      <c r="G378" s="795"/>
      <c r="H378" s="474"/>
      <c r="I378" s="474"/>
      <c r="J378" s="474"/>
      <c r="K378" s="684" t="s">
        <v>1303</v>
      </c>
      <c r="L378" s="1599" t="s">
        <v>6</v>
      </c>
      <c r="M378" s="700" t="s">
        <v>1170</v>
      </c>
      <c r="N378" s="84" t="s">
        <v>1304</v>
      </c>
      <c r="P378" s="39" t="s">
        <v>1305</v>
      </c>
      <c r="Q378" s="6">
        <v>2</v>
      </c>
      <c r="R378" s="6">
        <v>12</v>
      </c>
      <c r="S378" s="8">
        <v>0</v>
      </c>
      <c r="T378" s="14">
        <v>14400000</v>
      </c>
    </row>
    <row r="379" spans="1:24" ht="18" customHeight="1">
      <c r="A379" s="782"/>
      <c r="B379" s="783"/>
      <c r="C379" s="783"/>
      <c r="D379" s="783"/>
      <c r="E379" s="783"/>
      <c r="F379" s="784"/>
      <c r="G379" s="795"/>
      <c r="H379" s="474"/>
      <c r="I379" s="474"/>
      <c r="J379" s="474"/>
      <c r="K379" s="1601" t="s">
        <v>1306</v>
      </c>
      <c r="L379" s="1599"/>
      <c r="M379" s="708">
        <f>M380+M385+M390+M395+M400+M405+M410+M415+M420+M425+M431+M435+M439+M444+M449+M454+M459+M464</f>
        <v>1816940</v>
      </c>
      <c r="N379" s="84" t="s">
        <v>1205</v>
      </c>
      <c r="O379" s="4" t="s">
        <v>1206</v>
      </c>
      <c r="P379" s="39" t="s">
        <v>87</v>
      </c>
      <c r="Q379" s="6" t="s">
        <v>5</v>
      </c>
      <c r="R379" s="6" t="s">
        <v>1</v>
      </c>
      <c r="S379" s="6" t="s">
        <v>3</v>
      </c>
      <c r="T379" s="14" t="s">
        <v>91</v>
      </c>
    </row>
    <row r="380" spans="1:24" ht="18" customHeight="1">
      <c r="A380" s="782"/>
      <c r="B380" s="783"/>
      <c r="C380" s="783"/>
      <c r="D380" s="783"/>
      <c r="E380" s="783"/>
      <c r="F380" s="784"/>
      <c r="G380" s="795"/>
      <c r="H380" s="474"/>
      <c r="I380" s="474"/>
      <c r="J380" s="474"/>
      <c r="K380" s="1601" t="s">
        <v>97</v>
      </c>
      <c r="L380" s="1786"/>
      <c r="M380" s="708">
        <v>681054</v>
      </c>
    </row>
    <row r="381" spans="1:24" ht="18" customHeight="1">
      <c r="A381" s="782"/>
      <c r="B381" s="783"/>
      <c r="C381" s="783"/>
      <c r="D381" s="783"/>
      <c r="E381" s="783"/>
      <c r="F381" s="784"/>
      <c r="G381" s="795"/>
      <c r="H381" s="474"/>
      <c r="I381" s="474"/>
      <c r="J381" s="474"/>
      <c r="K381" s="684" t="s">
        <v>1307</v>
      </c>
      <c r="L381" s="1599" t="s">
        <v>6</v>
      </c>
      <c r="M381" s="700">
        <v>107172</v>
      </c>
      <c r="N381" s="84" t="s">
        <v>1308</v>
      </c>
      <c r="O381" s="4">
        <v>16</v>
      </c>
      <c r="P381" s="39">
        <v>2232759</v>
      </c>
      <c r="Q381" s="6">
        <v>4</v>
      </c>
      <c r="R381" s="6">
        <v>12</v>
      </c>
      <c r="S381" s="1778">
        <v>2148950</v>
      </c>
      <c r="T381" s="14">
        <v>107172434</v>
      </c>
    </row>
    <row r="382" spans="1:24" ht="18" customHeight="1">
      <c r="A382" s="782"/>
      <c r="B382" s="783"/>
      <c r="C382" s="783"/>
      <c r="D382" s="783"/>
      <c r="E382" s="783"/>
      <c r="F382" s="784"/>
      <c r="G382" s="795"/>
      <c r="H382" s="474"/>
      <c r="I382" s="474"/>
      <c r="J382" s="474"/>
      <c r="K382" s="684" t="s">
        <v>1309</v>
      </c>
      <c r="L382" s="1599" t="s">
        <v>6</v>
      </c>
      <c r="M382" s="700">
        <v>270132</v>
      </c>
      <c r="N382" s="89" t="s">
        <v>1310</v>
      </c>
      <c r="O382" s="1">
        <v>17</v>
      </c>
      <c r="P382" s="1781">
        <v>2046456</v>
      </c>
      <c r="Q382" s="1">
        <v>11</v>
      </c>
      <c r="R382" s="1">
        <v>12</v>
      </c>
      <c r="S382" s="1781">
        <v>1969640</v>
      </c>
      <c r="T382" s="1781">
        <v>270132187</v>
      </c>
      <c r="U382" s="1"/>
    </row>
    <row r="383" spans="1:24" ht="18" customHeight="1">
      <c r="A383" s="782"/>
      <c r="B383" s="783"/>
      <c r="C383" s="783"/>
      <c r="D383" s="783"/>
      <c r="E383" s="783"/>
      <c r="F383" s="784"/>
      <c r="G383" s="795"/>
      <c r="H383" s="474"/>
      <c r="I383" s="474"/>
      <c r="J383" s="474"/>
      <c r="K383" s="684" t="s">
        <v>1311</v>
      </c>
      <c r="L383" s="1599" t="s">
        <v>6</v>
      </c>
      <c r="M383" s="700">
        <v>248545</v>
      </c>
      <c r="N383" s="89" t="s">
        <v>1312</v>
      </c>
      <c r="O383" s="1">
        <v>15</v>
      </c>
      <c r="P383" s="1781">
        <v>1726008</v>
      </c>
      <c r="Q383" s="1">
        <v>12</v>
      </c>
      <c r="R383" s="1">
        <v>12</v>
      </c>
      <c r="S383" s="1781">
        <v>1661220</v>
      </c>
      <c r="T383" s="1781">
        <v>248545092</v>
      </c>
      <c r="U383" s="1"/>
    </row>
    <row r="384" spans="1:24" ht="18" customHeight="1">
      <c r="A384" s="782"/>
      <c r="B384" s="783"/>
      <c r="C384" s="783"/>
      <c r="D384" s="783"/>
      <c r="E384" s="783"/>
      <c r="F384" s="783"/>
      <c r="G384" s="803"/>
      <c r="H384" s="1121"/>
      <c r="I384" s="1121"/>
      <c r="J384" s="474"/>
      <c r="K384" s="684" t="s">
        <v>1313</v>
      </c>
      <c r="L384" s="1599" t="s">
        <v>6</v>
      </c>
      <c r="M384" s="700">
        <v>55205</v>
      </c>
      <c r="N384" s="89" t="s">
        <v>1314</v>
      </c>
      <c r="O384" s="1">
        <v>4</v>
      </c>
      <c r="P384" s="1781">
        <v>1150121</v>
      </c>
      <c r="Q384" s="1">
        <v>4</v>
      </c>
      <c r="R384" s="1">
        <v>12</v>
      </c>
      <c r="S384" s="1781">
        <v>1106950</v>
      </c>
      <c r="T384" s="1781">
        <v>55205810</v>
      </c>
      <c r="U384" s="1"/>
    </row>
    <row r="385" spans="1:21" ht="18" customHeight="1">
      <c r="A385" s="782"/>
      <c r="B385" s="783"/>
      <c r="C385" s="783"/>
      <c r="D385" s="783"/>
      <c r="E385" s="783"/>
      <c r="F385" s="783"/>
      <c r="G385" s="803"/>
      <c r="H385" s="1121"/>
      <c r="I385" s="1121"/>
      <c r="J385" s="474"/>
      <c r="K385" s="1601" t="s">
        <v>1225</v>
      </c>
      <c r="L385" s="739"/>
      <c r="M385" s="708">
        <v>204315</v>
      </c>
    </row>
    <row r="386" spans="1:21" ht="18" customHeight="1">
      <c r="A386" s="782"/>
      <c r="B386" s="783"/>
      <c r="C386" s="783"/>
      <c r="D386" s="783"/>
      <c r="E386" s="783"/>
      <c r="F386" s="783"/>
      <c r="G386" s="803"/>
      <c r="H386" s="1121"/>
      <c r="I386" s="1121"/>
      <c r="J386" s="474"/>
      <c r="K386" s="684" t="s">
        <v>1315</v>
      </c>
      <c r="L386" s="699" t="s">
        <v>6</v>
      </c>
      <c r="M386" s="700">
        <v>32151</v>
      </c>
      <c r="N386" s="1" t="s">
        <v>1308</v>
      </c>
      <c r="O386" s="1">
        <v>16</v>
      </c>
      <c r="P386" s="1781">
        <v>2232759</v>
      </c>
      <c r="Q386" s="1">
        <v>4</v>
      </c>
      <c r="R386" s="1">
        <v>12</v>
      </c>
      <c r="S386" s="1782">
        <v>0.3</v>
      </c>
      <c r="T386" s="1781">
        <v>32151730</v>
      </c>
      <c r="U386" s="1"/>
    </row>
    <row r="387" spans="1:21" ht="18" customHeight="1">
      <c r="A387" s="782"/>
      <c r="B387" s="783"/>
      <c r="C387" s="783"/>
      <c r="D387" s="783"/>
      <c r="E387" s="783"/>
      <c r="F387" s="783"/>
      <c r="G387" s="803"/>
      <c r="H387" s="1121"/>
      <c r="I387" s="1121"/>
      <c r="J387" s="474"/>
      <c r="K387" s="684" t="s">
        <v>1316</v>
      </c>
      <c r="L387" s="699" t="s">
        <v>6</v>
      </c>
      <c r="M387" s="700">
        <v>81039</v>
      </c>
      <c r="N387" s="1" t="s">
        <v>1310</v>
      </c>
      <c r="O387" s="1">
        <v>17</v>
      </c>
      <c r="P387" s="1781">
        <v>2046456</v>
      </c>
      <c r="Q387" s="1">
        <v>11</v>
      </c>
      <c r="R387" s="1">
        <v>12</v>
      </c>
      <c r="S387" s="1782">
        <v>0.3</v>
      </c>
      <c r="T387" s="1781">
        <v>81039656</v>
      </c>
      <c r="U387" s="1"/>
    </row>
    <row r="388" spans="1:21" ht="18" customHeight="1">
      <c r="A388" s="782"/>
      <c r="B388" s="783"/>
      <c r="C388" s="783"/>
      <c r="D388" s="783"/>
      <c r="E388" s="783"/>
      <c r="F388" s="783"/>
      <c r="G388" s="803"/>
      <c r="H388" s="1121"/>
      <c r="I388" s="1121"/>
      <c r="J388" s="474"/>
      <c r="K388" s="684" t="s">
        <v>1317</v>
      </c>
      <c r="L388" s="699" t="s">
        <v>6</v>
      </c>
      <c r="M388" s="700">
        <v>74563</v>
      </c>
      <c r="N388" s="1" t="s">
        <v>1312</v>
      </c>
      <c r="O388" s="1">
        <v>15</v>
      </c>
      <c r="P388" s="1781">
        <v>1726008</v>
      </c>
      <c r="Q388" s="1">
        <v>12</v>
      </c>
      <c r="R388" s="1">
        <v>12</v>
      </c>
      <c r="S388" s="1782">
        <v>0.3</v>
      </c>
      <c r="T388" s="1781">
        <v>74563527</v>
      </c>
      <c r="U388" s="1"/>
    </row>
    <row r="389" spans="1:21" ht="18" customHeight="1">
      <c r="A389" s="782"/>
      <c r="B389" s="783"/>
      <c r="C389" s="783"/>
      <c r="D389" s="783"/>
      <c r="E389" s="783"/>
      <c r="F389" s="783"/>
      <c r="G389" s="803"/>
      <c r="H389" s="1121"/>
      <c r="I389" s="1121"/>
      <c r="J389" s="474"/>
      <c r="K389" s="684" t="s">
        <v>1318</v>
      </c>
      <c r="L389" s="699" t="s">
        <v>6</v>
      </c>
      <c r="M389" s="700">
        <v>16562</v>
      </c>
      <c r="N389" s="1" t="s">
        <v>1314</v>
      </c>
      <c r="O389" s="1">
        <v>4</v>
      </c>
      <c r="P389" s="1781">
        <v>1150121</v>
      </c>
      <c r="Q389" s="1">
        <v>4</v>
      </c>
      <c r="R389" s="1">
        <v>12</v>
      </c>
      <c r="S389" s="1782">
        <v>0.3</v>
      </c>
      <c r="T389" s="1781">
        <v>16561743</v>
      </c>
      <c r="U389" s="1"/>
    </row>
    <row r="390" spans="1:21" ht="18" customHeight="1">
      <c r="A390" s="782"/>
      <c r="B390" s="783"/>
      <c r="C390" s="783"/>
      <c r="D390" s="783"/>
      <c r="E390" s="783"/>
      <c r="F390" s="783"/>
      <c r="G390" s="803"/>
      <c r="H390" s="1121"/>
      <c r="I390" s="1121"/>
      <c r="J390" s="474"/>
      <c r="K390" s="1601" t="s">
        <v>339</v>
      </c>
      <c r="L390" s="739"/>
      <c r="M390" s="708">
        <v>55800</v>
      </c>
      <c r="N390" s="1"/>
      <c r="O390" s="1"/>
      <c r="P390" s="1"/>
      <c r="Q390" s="1"/>
      <c r="R390" s="1"/>
      <c r="S390" s="1"/>
      <c r="T390" s="1"/>
      <c r="U390" s="1"/>
    </row>
    <row r="391" spans="1:21" ht="18" customHeight="1">
      <c r="A391" s="782"/>
      <c r="B391" s="783"/>
      <c r="C391" s="783"/>
      <c r="D391" s="783"/>
      <c r="E391" s="783"/>
      <c r="F391" s="783"/>
      <c r="G391" s="803"/>
      <c r="H391" s="1121"/>
      <c r="I391" s="1121"/>
      <c r="J391" s="474"/>
      <c r="K391" s="684" t="s">
        <v>1319</v>
      </c>
      <c r="L391" s="699" t="s">
        <v>6</v>
      </c>
      <c r="M391" s="700">
        <v>7200</v>
      </c>
      <c r="N391" s="1" t="s">
        <v>1308</v>
      </c>
      <c r="O391" s="1">
        <v>16</v>
      </c>
      <c r="P391" s="1781">
        <v>150000</v>
      </c>
      <c r="Q391" s="1">
        <v>4</v>
      </c>
      <c r="R391" s="1">
        <v>12</v>
      </c>
      <c r="S391" s="1"/>
      <c r="T391" s="1781">
        <v>7200000</v>
      </c>
      <c r="U391" s="1"/>
    </row>
    <row r="392" spans="1:21" ht="18" customHeight="1">
      <c r="A392" s="782"/>
      <c r="B392" s="783"/>
      <c r="C392" s="783"/>
      <c r="D392" s="783"/>
      <c r="E392" s="783"/>
      <c r="F392" s="783"/>
      <c r="G392" s="803"/>
      <c r="H392" s="1121"/>
      <c r="I392" s="1121"/>
      <c r="J392" s="474"/>
      <c r="K392" s="684" t="s">
        <v>1320</v>
      </c>
      <c r="L392" s="699" t="s">
        <v>6</v>
      </c>
      <c r="M392" s="700">
        <v>19800</v>
      </c>
      <c r="N392" s="1" t="s">
        <v>1310</v>
      </c>
      <c r="O392" s="1">
        <v>17</v>
      </c>
      <c r="P392" s="1781">
        <v>150000</v>
      </c>
      <c r="Q392" s="1">
        <v>11</v>
      </c>
      <c r="R392" s="1">
        <v>12</v>
      </c>
      <c r="S392" s="1"/>
      <c r="T392" s="1781">
        <v>19800000</v>
      </c>
      <c r="U392" s="1"/>
    </row>
    <row r="393" spans="1:21" ht="18" customHeight="1">
      <c r="A393" s="782"/>
      <c r="B393" s="783"/>
      <c r="C393" s="783"/>
      <c r="D393" s="783"/>
      <c r="E393" s="783"/>
      <c r="F393" s="783"/>
      <c r="G393" s="803"/>
      <c r="H393" s="1121"/>
      <c r="I393" s="1121"/>
      <c r="J393" s="474"/>
      <c r="K393" s="684" t="s">
        <v>1321</v>
      </c>
      <c r="L393" s="699" t="s">
        <v>6</v>
      </c>
      <c r="M393" s="700">
        <v>21600</v>
      </c>
      <c r="N393" s="1" t="s">
        <v>1312</v>
      </c>
      <c r="O393" s="1">
        <v>15</v>
      </c>
      <c r="P393" s="1781">
        <v>150000</v>
      </c>
      <c r="Q393" s="1">
        <v>12</v>
      </c>
      <c r="R393" s="1">
        <v>12</v>
      </c>
      <c r="S393" s="1"/>
      <c r="T393" s="1781">
        <v>21600000</v>
      </c>
      <c r="U393" s="1"/>
    </row>
    <row r="394" spans="1:21" ht="18" customHeight="1">
      <c r="A394" s="782"/>
      <c r="B394" s="783"/>
      <c r="C394" s="783"/>
      <c r="D394" s="783"/>
      <c r="E394" s="783"/>
      <c r="F394" s="783"/>
      <c r="G394" s="803"/>
      <c r="H394" s="1121"/>
      <c r="I394" s="1121"/>
      <c r="J394" s="474"/>
      <c r="K394" s="684" t="s">
        <v>1322</v>
      </c>
      <c r="L394" s="699" t="s">
        <v>6</v>
      </c>
      <c r="M394" s="700">
        <v>7200</v>
      </c>
      <c r="N394" s="1" t="s">
        <v>1314</v>
      </c>
      <c r="O394" s="1">
        <v>4</v>
      </c>
      <c r="P394" s="1781">
        <v>150000</v>
      </c>
      <c r="Q394" s="1">
        <v>4</v>
      </c>
      <c r="R394" s="1">
        <v>12</v>
      </c>
      <c r="S394" s="1"/>
      <c r="T394" s="1781">
        <v>7200000</v>
      </c>
      <c r="U394" s="1"/>
    </row>
    <row r="395" spans="1:21" ht="18" customHeight="1">
      <c r="A395" s="782"/>
      <c r="B395" s="783"/>
      <c r="C395" s="783"/>
      <c r="D395" s="783"/>
      <c r="E395" s="783"/>
      <c r="F395" s="783"/>
      <c r="G395" s="803"/>
      <c r="H395" s="1121"/>
      <c r="I395" s="1121"/>
      <c r="J395" s="474"/>
      <c r="K395" s="1601" t="s">
        <v>1232</v>
      </c>
      <c r="L395" s="739"/>
      <c r="M395" s="708">
        <v>45120</v>
      </c>
      <c r="N395" s="1"/>
      <c r="O395" s="1"/>
      <c r="P395" s="1"/>
      <c r="Q395" s="1"/>
      <c r="R395" s="1"/>
      <c r="S395" s="1"/>
      <c r="T395" s="1"/>
      <c r="U395" s="1"/>
    </row>
    <row r="396" spans="1:21" ht="18" customHeight="1">
      <c r="A396" s="782"/>
      <c r="B396" s="783"/>
      <c r="C396" s="783"/>
      <c r="D396" s="783"/>
      <c r="E396" s="783"/>
      <c r="F396" s="783"/>
      <c r="G396" s="803"/>
      <c r="H396" s="1121"/>
      <c r="I396" s="1121"/>
      <c r="J396" s="474"/>
      <c r="K396" s="684" t="s">
        <v>1323</v>
      </c>
      <c r="L396" s="699" t="s">
        <v>6</v>
      </c>
      <c r="M396" s="700">
        <v>6240</v>
      </c>
      <c r="N396" s="1" t="s">
        <v>1308</v>
      </c>
      <c r="O396" s="1">
        <v>16</v>
      </c>
      <c r="P396" s="1781">
        <v>130000</v>
      </c>
      <c r="Q396" s="1">
        <v>4</v>
      </c>
      <c r="R396" s="1">
        <v>12</v>
      </c>
      <c r="S396" s="1"/>
      <c r="T396" s="1781">
        <v>6240000</v>
      </c>
      <c r="U396" s="1"/>
    </row>
    <row r="397" spans="1:21" ht="18" customHeight="1">
      <c r="A397" s="782"/>
      <c r="B397" s="783"/>
      <c r="C397" s="783"/>
      <c r="D397" s="783"/>
      <c r="E397" s="783"/>
      <c r="F397" s="783"/>
      <c r="G397" s="803"/>
      <c r="H397" s="1121"/>
      <c r="I397" s="1121"/>
      <c r="J397" s="474"/>
      <c r="K397" s="684" t="s">
        <v>1324</v>
      </c>
      <c r="L397" s="699" t="s">
        <v>6</v>
      </c>
      <c r="M397" s="700">
        <v>15840</v>
      </c>
      <c r="N397" s="1" t="s">
        <v>1310</v>
      </c>
      <c r="O397" s="1">
        <v>17</v>
      </c>
      <c r="P397" s="1781">
        <v>120000</v>
      </c>
      <c r="Q397" s="1">
        <v>11</v>
      </c>
      <c r="R397" s="1">
        <v>12</v>
      </c>
      <c r="S397" s="1"/>
      <c r="T397" s="1781">
        <v>15840000</v>
      </c>
      <c r="U397" s="1"/>
    </row>
    <row r="398" spans="1:21" ht="18" customHeight="1">
      <c r="A398" s="782"/>
      <c r="B398" s="783"/>
      <c r="C398" s="783"/>
      <c r="D398" s="783"/>
      <c r="E398" s="783"/>
      <c r="F398" s="783"/>
      <c r="G398" s="803"/>
      <c r="H398" s="1121"/>
      <c r="I398" s="1121"/>
      <c r="J398" s="474"/>
      <c r="K398" s="684" t="s">
        <v>1325</v>
      </c>
      <c r="L398" s="699" t="s">
        <v>6</v>
      </c>
      <c r="M398" s="700">
        <v>17280</v>
      </c>
      <c r="N398" s="1" t="s">
        <v>1312</v>
      </c>
      <c r="O398" s="1">
        <v>15</v>
      </c>
      <c r="P398" s="1781">
        <v>120000</v>
      </c>
      <c r="Q398" s="1">
        <v>12</v>
      </c>
      <c r="R398" s="1">
        <v>12</v>
      </c>
      <c r="S398" s="1"/>
      <c r="T398" s="1781">
        <v>17280000</v>
      </c>
      <c r="U398" s="1"/>
    </row>
    <row r="399" spans="1:21" ht="18" customHeight="1">
      <c r="A399" s="782"/>
      <c r="B399" s="783"/>
      <c r="C399" s="783"/>
      <c r="D399" s="783"/>
      <c r="E399" s="783"/>
      <c r="F399" s="783"/>
      <c r="G399" s="803"/>
      <c r="H399" s="1121"/>
      <c r="I399" s="1121"/>
      <c r="J399" s="474"/>
      <c r="K399" s="684" t="s">
        <v>1326</v>
      </c>
      <c r="L399" s="1599" t="s">
        <v>6</v>
      </c>
      <c r="M399" s="700">
        <v>5760</v>
      </c>
      <c r="N399" s="1" t="s">
        <v>1314</v>
      </c>
      <c r="O399" s="1">
        <v>4</v>
      </c>
      <c r="P399" s="1781">
        <v>120000</v>
      </c>
      <c r="Q399" s="1">
        <v>4</v>
      </c>
      <c r="R399" s="1">
        <v>12</v>
      </c>
      <c r="S399" s="1"/>
      <c r="T399" s="1781">
        <v>5760000</v>
      </c>
      <c r="U399" s="1"/>
    </row>
    <row r="400" spans="1:21" ht="18" customHeight="1">
      <c r="A400" s="782"/>
      <c r="B400" s="783"/>
      <c r="C400" s="783"/>
      <c r="D400" s="783"/>
      <c r="E400" s="783"/>
      <c r="F400" s="783"/>
      <c r="G400" s="803"/>
      <c r="H400" s="1121"/>
      <c r="I400" s="1121"/>
      <c r="J400" s="474"/>
      <c r="K400" s="1601" t="s">
        <v>1236</v>
      </c>
      <c r="L400" s="1786"/>
      <c r="M400" s="708">
        <v>141885</v>
      </c>
      <c r="N400" s="1"/>
      <c r="O400" s="1"/>
      <c r="P400" s="1"/>
      <c r="Q400" s="1"/>
      <c r="R400" s="1"/>
      <c r="S400" s="1"/>
      <c r="T400" s="1"/>
      <c r="U400" s="1"/>
    </row>
    <row r="401" spans="1:21" ht="18" customHeight="1">
      <c r="A401" s="782"/>
      <c r="B401" s="783"/>
      <c r="C401" s="783"/>
      <c r="D401" s="783"/>
      <c r="E401" s="783"/>
      <c r="F401" s="783"/>
      <c r="G401" s="803"/>
      <c r="H401" s="1121"/>
      <c r="I401" s="1121"/>
      <c r="J401" s="474"/>
      <c r="K401" s="684" t="s">
        <v>1327</v>
      </c>
      <c r="L401" s="699" t="s">
        <v>6</v>
      </c>
      <c r="M401" s="700">
        <v>22327</v>
      </c>
      <c r="N401" s="1" t="s">
        <v>1308</v>
      </c>
      <c r="O401" s="1">
        <v>16</v>
      </c>
      <c r="P401" s="1781">
        <v>2232759</v>
      </c>
      <c r="Q401" s="1">
        <v>4</v>
      </c>
      <c r="R401" s="1"/>
      <c r="S401" s="1782">
        <v>2.5</v>
      </c>
      <c r="T401" s="1781">
        <v>22327591</v>
      </c>
      <c r="U401" s="1"/>
    </row>
    <row r="402" spans="1:21" ht="18" customHeight="1">
      <c r="A402" s="782"/>
      <c r="B402" s="783"/>
      <c r="C402" s="783"/>
      <c r="D402" s="783"/>
      <c r="E402" s="783"/>
      <c r="F402" s="783"/>
      <c r="G402" s="803"/>
      <c r="H402" s="1121"/>
      <c r="I402" s="1121"/>
      <c r="J402" s="474"/>
      <c r="K402" s="684" t="s">
        <v>1328</v>
      </c>
      <c r="L402" s="699" t="s">
        <v>6</v>
      </c>
      <c r="M402" s="700">
        <v>56277</v>
      </c>
      <c r="N402" s="1" t="s">
        <v>1310</v>
      </c>
      <c r="O402" s="1">
        <v>17</v>
      </c>
      <c r="P402" s="1781">
        <v>2046456</v>
      </c>
      <c r="Q402" s="1">
        <v>11</v>
      </c>
      <c r="R402" s="1"/>
      <c r="S402" s="1782">
        <v>2.5</v>
      </c>
      <c r="T402" s="1781">
        <v>56277539</v>
      </c>
      <c r="U402" s="1"/>
    </row>
    <row r="403" spans="1:21" ht="18" customHeight="1">
      <c r="A403" s="782"/>
      <c r="B403" s="783"/>
      <c r="C403" s="783"/>
      <c r="D403" s="783"/>
      <c r="E403" s="783"/>
      <c r="F403" s="783"/>
      <c r="G403" s="803"/>
      <c r="H403" s="1121"/>
      <c r="I403" s="1121"/>
      <c r="J403" s="474"/>
      <c r="K403" s="684" t="s">
        <v>1329</v>
      </c>
      <c r="L403" s="699" t="s">
        <v>6</v>
      </c>
      <c r="M403" s="700">
        <v>51780</v>
      </c>
      <c r="N403" s="1" t="s">
        <v>1312</v>
      </c>
      <c r="O403" s="1">
        <v>15</v>
      </c>
      <c r="P403" s="1781">
        <v>1726008</v>
      </c>
      <c r="Q403" s="1">
        <v>12</v>
      </c>
      <c r="R403" s="1"/>
      <c r="S403" s="1782">
        <v>2.5</v>
      </c>
      <c r="T403" s="1781">
        <v>51780227</v>
      </c>
      <c r="U403" s="1"/>
    </row>
    <row r="404" spans="1:21" ht="18" customHeight="1">
      <c r="A404" s="782"/>
      <c r="B404" s="783"/>
      <c r="C404" s="783"/>
      <c r="D404" s="783"/>
      <c r="E404" s="783"/>
      <c r="F404" s="783"/>
      <c r="G404" s="803"/>
      <c r="H404" s="1121"/>
      <c r="I404" s="1121"/>
      <c r="J404" s="474"/>
      <c r="K404" s="684" t="s">
        <v>1330</v>
      </c>
      <c r="L404" s="699" t="s">
        <v>6</v>
      </c>
      <c r="M404" s="700">
        <v>11501</v>
      </c>
      <c r="N404" s="1" t="s">
        <v>1314</v>
      </c>
      <c r="O404" s="1">
        <v>4</v>
      </c>
      <c r="P404" s="1781">
        <v>1150121</v>
      </c>
      <c r="Q404" s="1">
        <v>4</v>
      </c>
      <c r="R404" s="1"/>
      <c r="S404" s="1782">
        <v>2.5</v>
      </c>
      <c r="T404" s="1781">
        <v>11501211</v>
      </c>
      <c r="U404" s="1"/>
    </row>
    <row r="405" spans="1:21" ht="18" customHeight="1">
      <c r="A405" s="782"/>
      <c r="B405" s="783"/>
      <c r="C405" s="783"/>
      <c r="D405" s="783"/>
      <c r="E405" s="783"/>
      <c r="F405" s="783"/>
      <c r="G405" s="803"/>
      <c r="H405" s="1121"/>
      <c r="I405" s="1121"/>
      <c r="J405" s="474"/>
      <c r="K405" s="1601" t="s">
        <v>1240</v>
      </c>
      <c r="L405" s="739"/>
      <c r="M405" s="708">
        <v>52080</v>
      </c>
      <c r="N405" s="1"/>
      <c r="O405" s="1"/>
      <c r="P405" s="1"/>
      <c r="Q405" s="1"/>
      <c r="R405" s="1"/>
      <c r="S405" s="1"/>
      <c r="T405" s="1"/>
      <c r="U405" s="1"/>
    </row>
    <row r="406" spans="1:21" ht="18" customHeight="1">
      <c r="A406" s="782"/>
      <c r="B406" s="783"/>
      <c r="C406" s="783"/>
      <c r="D406" s="783"/>
      <c r="E406" s="783"/>
      <c r="F406" s="783"/>
      <c r="G406" s="803"/>
      <c r="H406" s="1121"/>
      <c r="I406" s="1121"/>
      <c r="J406" s="474"/>
      <c r="K406" s="684" t="s">
        <v>1331</v>
      </c>
      <c r="L406" s="699" t="s">
        <v>6</v>
      </c>
      <c r="M406" s="700">
        <v>6720</v>
      </c>
      <c r="N406" s="1" t="s">
        <v>1308</v>
      </c>
      <c r="O406" s="1">
        <v>16</v>
      </c>
      <c r="P406" s="1781">
        <v>140000</v>
      </c>
      <c r="Q406" s="1">
        <v>4</v>
      </c>
      <c r="R406" s="1">
        <v>12</v>
      </c>
      <c r="S406" s="1"/>
      <c r="T406" s="1781">
        <v>6720000</v>
      </c>
      <c r="U406" s="1"/>
    </row>
    <row r="407" spans="1:21" ht="18" customHeight="1">
      <c r="A407" s="782"/>
      <c r="B407" s="783"/>
      <c r="C407" s="783"/>
      <c r="D407" s="783"/>
      <c r="E407" s="783"/>
      <c r="F407" s="783"/>
      <c r="G407" s="803"/>
      <c r="H407" s="1121"/>
      <c r="I407" s="1121"/>
      <c r="J407" s="474"/>
      <c r="K407" s="684" t="s">
        <v>1332</v>
      </c>
      <c r="L407" s="699" t="s">
        <v>6</v>
      </c>
      <c r="M407" s="700">
        <v>18480</v>
      </c>
      <c r="N407" s="1" t="s">
        <v>1310</v>
      </c>
      <c r="O407" s="1">
        <v>17</v>
      </c>
      <c r="P407" s="1781">
        <v>140000</v>
      </c>
      <c r="Q407" s="1">
        <v>11</v>
      </c>
      <c r="R407" s="1">
        <v>12</v>
      </c>
      <c r="S407" s="1"/>
      <c r="T407" s="1781">
        <v>18480000</v>
      </c>
      <c r="U407" s="1"/>
    </row>
    <row r="408" spans="1:21" ht="18" customHeight="1">
      <c r="A408" s="782"/>
      <c r="B408" s="783"/>
      <c r="C408" s="783"/>
      <c r="D408" s="783"/>
      <c r="E408" s="783"/>
      <c r="F408" s="783"/>
      <c r="G408" s="803"/>
      <c r="H408" s="1121"/>
      <c r="I408" s="1121"/>
      <c r="J408" s="474"/>
      <c r="K408" s="684" t="s">
        <v>1333</v>
      </c>
      <c r="L408" s="699" t="s">
        <v>6</v>
      </c>
      <c r="M408" s="700">
        <v>20160</v>
      </c>
      <c r="N408" s="1" t="s">
        <v>1312</v>
      </c>
      <c r="O408" s="1">
        <v>15</v>
      </c>
      <c r="P408" s="1781">
        <v>140000</v>
      </c>
      <c r="Q408" s="1">
        <v>12</v>
      </c>
      <c r="R408" s="1">
        <v>12</v>
      </c>
      <c r="S408" s="1"/>
      <c r="T408" s="1781">
        <v>20160000</v>
      </c>
      <c r="U408" s="1"/>
    </row>
    <row r="409" spans="1:21" ht="18" customHeight="1">
      <c r="A409" s="782"/>
      <c r="B409" s="783"/>
      <c r="C409" s="783"/>
      <c r="D409" s="783"/>
      <c r="E409" s="783"/>
      <c r="F409" s="783"/>
      <c r="G409" s="803"/>
      <c r="H409" s="1121"/>
      <c r="I409" s="1121"/>
      <c r="J409" s="474"/>
      <c r="K409" s="684" t="s">
        <v>1334</v>
      </c>
      <c r="L409" s="699" t="s">
        <v>6</v>
      </c>
      <c r="M409" s="700">
        <v>6720</v>
      </c>
      <c r="N409" s="1" t="s">
        <v>1314</v>
      </c>
      <c r="O409" s="1">
        <v>4</v>
      </c>
      <c r="P409" s="1781">
        <v>140000</v>
      </c>
      <c r="Q409" s="1">
        <v>4</v>
      </c>
      <c r="R409" s="1">
        <v>12</v>
      </c>
      <c r="S409" s="1"/>
      <c r="T409" s="1781">
        <v>6720000</v>
      </c>
      <c r="U409" s="1"/>
    </row>
    <row r="410" spans="1:21" ht="18" customHeight="1">
      <c r="A410" s="782"/>
      <c r="B410" s="783"/>
      <c r="C410" s="783"/>
      <c r="D410" s="783"/>
      <c r="E410" s="783"/>
      <c r="F410" s="783"/>
      <c r="G410" s="803"/>
      <c r="H410" s="1121"/>
      <c r="I410" s="1121"/>
      <c r="J410" s="474"/>
      <c r="K410" s="1601" t="s">
        <v>1244</v>
      </c>
      <c r="L410" s="739"/>
      <c r="M410" s="708">
        <v>25440</v>
      </c>
      <c r="N410" s="1"/>
      <c r="O410" s="1"/>
      <c r="P410" s="1"/>
      <c r="Q410" s="1"/>
      <c r="R410" s="1"/>
      <c r="S410" s="1"/>
      <c r="T410" s="1"/>
      <c r="U410" s="1"/>
    </row>
    <row r="411" spans="1:21" ht="18" customHeight="1">
      <c r="A411" s="782"/>
      <c r="B411" s="783"/>
      <c r="C411" s="783"/>
      <c r="D411" s="783"/>
      <c r="E411" s="783"/>
      <c r="F411" s="783"/>
      <c r="G411" s="803"/>
      <c r="H411" s="1121"/>
      <c r="I411" s="1121"/>
      <c r="J411" s="474"/>
      <c r="K411" s="684" t="s">
        <v>1335</v>
      </c>
      <c r="L411" s="699" t="s">
        <v>6</v>
      </c>
      <c r="M411" s="700">
        <v>600</v>
      </c>
      <c r="N411" s="1" t="s">
        <v>1246</v>
      </c>
      <c r="O411" s="1"/>
      <c r="P411" s="1781">
        <v>50000</v>
      </c>
      <c r="Q411" s="1">
        <v>1</v>
      </c>
      <c r="R411" s="1">
        <v>12</v>
      </c>
      <c r="S411" s="1"/>
      <c r="T411" s="1781">
        <v>600000</v>
      </c>
      <c r="U411" s="1"/>
    </row>
    <row r="412" spans="1:21" ht="18" customHeight="1">
      <c r="A412" s="782"/>
      <c r="B412" s="783"/>
      <c r="C412" s="783"/>
      <c r="D412" s="783"/>
      <c r="E412" s="783"/>
      <c r="F412" s="783"/>
      <c r="G412" s="803"/>
      <c r="H412" s="1121"/>
      <c r="I412" s="1121"/>
      <c r="J412" s="474"/>
      <c r="K412" s="684" t="s">
        <v>1336</v>
      </c>
      <c r="L412" s="699" t="s">
        <v>6</v>
      </c>
      <c r="M412" s="700">
        <v>4320</v>
      </c>
      <c r="N412" s="1" t="s">
        <v>1248</v>
      </c>
      <c r="O412" s="1"/>
      <c r="P412" s="1781">
        <v>60000</v>
      </c>
      <c r="Q412" s="1">
        <v>6</v>
      </c>
      <c r="R412" s="1">
        <v>12</v>
      </c>
      <c r="S412" s="1"/>
      <c r="T412" s="1781">
        <v>4320000</v>
      </c>
      <c r="U412" s="1"/>
    </row>
    <row r="413" spans="1:21" ht="18" customHeight="1">
      <c r="A413" s="782"/>
      <c r="B413" s="783"/>
      <c r="C413" s="783"/>
      <c r="D413" s="783"/>
      <c r="E413" s="783"/>
      <c r="F413" s="783"/>
      <c r="G413" s="803"/>
      <c r="H413" s="1121"/>
      <c r="I413" s="1121"/>
      <c r="J413" s="474"/>
      <c r="K413" s="684" t="s">
        <v>1337</v>
      </c>
      <c r="L413" s="699" t="s">
        <v>6</v>
      </c>
      <c r="M413" s="700">
        <v>19200</v>
      </c>
      <c r="N413" s="1" t="s">
        <v>1250</v>
      </c>
      <c r="O413" s="1"/>
      <c r="P413" s="1781">
        <v>80000</v>
      </c>
      <c r="Q413" s="1">
        <v>20</v>
      </c>
      <c r="R413" s="1">
        <v>12</v>
      </c>
      <c r="S413" s="1"/>
      <c r="T413" s="1781">
        <v>19200000</v>
      </c>
      <c r="U413" s="1"/>
    </row>
    <row r="414" spans="1:21" ht="18" customHeight="1">
      <c r="A414" s="782"/>
      <c r="B414" s="783"/>
      <c r="C414" s="783"/>
      <c r="D414" s="783"/>
      <c r="E414" s="783"/>
      <c r="F414" s="783"/>
      <c r="G414" s="803"/>
      <c r="H414" s="1121"/>
      <c r="I414" s="1121"/>
      <c r="J414" s="474"/>
      <c r="K414" s="684" t="s">
        <v>1338</v>
      </c>
      <c r="L414" s="699" t="s">
        <v>6</v>
      </c>
      <c r="M414" s="700">
        <v>1320</v>
      </c>
      <c r="N414" s="1" t="s">
        <v>1339</v>
      </c>
      <c r="O414" s="1"/>
      <c r="P414" s="1781">
        <v>110000</v>
      </c>
      <c r="Q414" s="1">
        <v>1</v>
      </c>
      <c r="R414" s="1">
        <v>12</v>
      </c>
      <c r="S414" s="1"/>
      <c r="T414" s="1781">
        <v>1320000</v>
      </c>
      <c r="U414" s="1"/>
    </row>
    <row r="415" spans="1:21" ht="18" customHeight="1">
      <c r="A415" s="782"/>
      <c r="B415" s="783"/>
      <c r="C415" s="783"/>
      <c r="D415" s="783"/>
      <c r="E415" s="783"/>
      <c r="F415" s="783"/>
      <c r="G415" s="803"/>
      <c r="H415" s="1121"/>
      <c r="I415" s="1121"/>
      <c r="J415" s="474"/>
      <c r="K415" s="1601" t="s">
        <v>1340</v>
      </c>
      <c r="L415" s="739"/>
      <c r="M415" s="708">
        <v>11160</v>
      </c>
      <c r="N415" s="1"/>
      <c r="O415" s="1"/>
      <c r="P415" s="1"/>
      <c r="Q415" s="1"/>
      <c r="R415" s="1"/>
      <c r="S415" s="1"/>
      <c r="T415" s="1"/>
      <c r="U415" s="1"/>
    </row>
    <row r="416" spans="1:21" ht="18" customHeight="1">
      <c r="A416" s="782"/>
      <c r="B416" s="783"/>
      <c r="C416" s="783"/>
      <c r="D416" s="783"/>
      <c r="E416" s="783"/>
      <c r="F416" s="783"/>
      <c r="G416" s="803"/>
      <c r="H416" s="1121"/>
      <c r="I416" s="1121"/>
      <c r="J416" s="474"/>
      <c r="K416" s="684" t="s">
        <v>1341</v>
      </c>
      <c r="L416" s="699" t="s">
        <v>6</v>
      </c>
      <c r="M416" s="700">
        <v>1440</v>
      </c>
      <c r="N416" s="1" t="s">
        <v>1308</v>
      </c>
      <c r="O416" s="1">
        <v>16</v>
      </c>
      <c r="P416" s="1781">
        <v>30000</v>
      </c>
      <c r="Q416" s="1">
        <v>4</v>
      </c>
      <c r="R416" s="1">
        <v>12</v>
      </c>
      <c r="S416" s="1"/>
      <c r="T416" s="1781">
        <v>1440000</v>
      </c>
      <c r="U416" s="1"/>
    </row>
    <row r="417" spans="1:21" ht="18" customHeight="1">
      <c r="A417" s="782"/>
      <c r="B417" s="783"/>
      <c r="C417" s="783"/>
      <c r="D417" s="783"/>
      <c r="E417" s="783"/>
      <c r="F417" s="783"/>
      <c r="G417" s="803"/>
      <c r="H417" s="1121"/>
      <c r="I417" s="1121"/>
      <c r="J417" s="474"/>
      <c r="K417" s="684" t="s">
        <v>1342</v>
      </c>
      <c r="L417" s="699" t="s">
        <v>6</v>
      </c>
      <c r="M417" s="700">
        <v>3960</v>
      </c>
      <c r="N417" s="1" t="s">
        <v>1310</v>
      </c>
      <c r="O417" s="1">
        <v>17</v>
      </c>
      <c r="P417" s="1781">
        <v>30000</v>
      </c>
      <c r="Q417" s="1">
        <v>11</v>
      </c>
      <c r="R417" s="1">
        <v>12</v>
      </c>
      <c r="S417" s="1"/>
      <c r="T417" s="1781">
        <v>3960000</v>
      </c>
      <c r="U417" s="1"/>
    </row>
    <row r="418" spans="1:21" ht="18" customHeight="1">
      <c r="A418" s="782"/>
      <c r="B418" s="783"/>
      <c r="C418" s="783"/>
      <c r="D418" s="783"/>
      <c r="E418" s="783"/>
      <c r="F418" s="783"/>
      <c r="G418" s="803"/>
      <c r="H418" s="1121"/>
      <c r="I418" s="1121"/>
      <c r="J418" s="474"/>
      <c r="K418" s="684" t="s">
        <v>1343</v>
      </c>
      <c r="L418" s="699" t="s">
        <v>6</v>
      </c>
      <c r="M418" s="700">
        <v>4320</v>
      </c>
      <c r="N418" s="84" t="s">
        <v>1312</v>
      </c>
      <c r="O418" s="4">
        <v>15</v>
      </c>
      <c r="P418" s="39">
        <v>30000</v>
      </c>
      <c r="Q418" s="6">
        <v>12</v>
      </c>
      <c r="R418" s="6">
        <v>12</v>
      </c>
      <c r="T418" s="14">
        <v>4320000</v>
      </c>
    </row>
    <row r="419" spans="1:21" ht="18" customHeight="1">
      <c r="A419" s="782"/>
      <c r="B419" s="783"/>
      <c r="C419" s="783"/>
      <c r="D419" s="783"/>
      <c r="E419" s="783"/>
      <c r="F419" s="783"/>
      <c r="G419" s="803"/>
      <c r="H419" s="1121"/>
      <c r="I419" s="1121"/>
      <c r="J419" s="474"/>
      <c r="K419" s="684" t="s">
        <v>1344</v>
      </c>
      <c r="L419" s="699" t="s">
        <v>6</v>
      </c>
      <c r="M419" s="700">
        <v>1440</v>
      </c>
      <c r="N419" s="84" t="s">
        <v>1314</v>
      </c>
      <c r="O419" s="4">
        <v>4</v>
      </c>
      <c r="P419" s="39">
        <v>30000</v>
      </c>
      <c r="Q419" s="6">
        <v>4</v>
      </c>
      <c r="R419" s="6">
        <v>12</v>
      </c>
      <c r="T419" s="14">
        <v>1440000</v>
      </c>
    </row>
    <row r="420" spans="1:21" ht="18" customHeight="1">
      <c r="A420" s="782"/>
      <c r="B420" s="783"/>
      <c r="C420" s="783"/>
      <c r="D420" s="783"/>
      <c r="E420" s="783"/>
      <c r="F420" s="783"/>
      <c r="G420" s="803"/>
      <c r="H420" s="1121"/>
      <c r="I420" s="1121"/>
      <c r="J420" s="474"/>
      <c r="K420" s="1601" t="s">
        <v>1345</v>
      </c>
      <c r="L420" s="739"/>
      <c r="M420" s="708">
        <v>55800</v>
      </c>
    </row>
    <row r="421" spans="1:21" ht="18" customHeight="1">
      <c r="A421" s="782"/>
      <c r="B421" s="783"/>
      <c r="C421" s="783"/>
      <c r="D421" s="783"/>
      <c r="E421" s="783"/>
      <c r="F421" s="783"/>
      <c r="G421" s="803"/>
      <c r="H421" s="1121"/>
      <c r="I421" s="1121"/>
      <c r="J421" s="474"/>
      <c r="K421" s="684" t="s">
        <v>1319</v>
      </c>
      <c r="L421" s="699" t="s">
        <v>6</v>
      </c>
      <c r="M421" s="700">
        <v>7200</v>
      </c>
      <c r="N421" s="84" t="s">
        <v>1308</v>
      </c>
      <c r="O421" s="4">
        <v>16</v>
      </c>
      <c r="P421" s="39">
        <v>150000</v>
      </c>
      <c r="Q421" s="6">
        <v>4</v>
      </c>
      <c r="R421" s="6">
        <v>12</v>
      </c>
      <c r="T421" s="14">
        <v>7200000</v>
      </c>
    </row>
    <row r="422" spans="1:21" ht="18" customHeight="1">
      <c r="A422" s="782"/>
      <c r="B422" s="783"/>
      <c r="C422" s="783"/>
      <c r="D422" s="783"/>
      <c r="E422" s="783"/>
      <c r="F422" s="783"/>
      <c r="G422" s="803"/>
      <c r="H422" s="1121"/>
      <c r="I422" s="1121"/>
      <c r="J422" s="474"/>
      <c r="K422" s="684" t="s">
        <v>1320</v>
      </c>
      <c r="L422" s="699" t="s">
        <v>6</v>
      </c>
      <c r="M422" s="700">
        <v>19800</v>
      </c>
      <c r="N422" s="84" t="s">
        <v>1310</v>
      </c>
      <c r="O422" s="4">
        <v>17</v>
      </c>
      <c r="P422" s="39">
        <v>150000</v>
      </c>
      <c r="Q422" s="6">
        <v>11</v>
      </c>
      <c r="R422" s="6">
        <v>12</v>
      </c>
      <c r="T422" s="14">
        <v>19800000</v>
      </c>
    </row>
    <row r="423" spans="1:21" ht="18" customHeight="1">
      <c r="A423" s="782"/>
      <c r="B423" s="783"/>
      <c r="C423" s="783"/>
      <c r="D423" s="783"/>
      <c r="E423" s="783"/>
      <c r="F423" s="783"/>
      <c r="G423" s="803"/>
      <c r="H423" s="1121"/>
      <c r="I423" s="1121"/>
      <c r="J423" s="474"/>
      <c r="K423" s="684" t="s">
        <v>1321</v>
      </c>
      <c r="L423" s="699" t="s">
        <v>6</v>
      </c>
      <c r="M423" s="700">
        <v>21600</v>
      </c>
      <c r="N423" s="84" t="s">
        <v>1312</v>
      </c>
      <c r="O423" s="4">
        <v>15</v>
      </c>
      <c r="P423" s="39">
        <v>150000</v>
      </c>
      <c r="Q423" s="6">
        <v>12</v>
      </c>
      <c r="R423" s="6">
        <v>12</v>
      </c>
      <c r="T423" s="14">
        <v>21600000</v>
      </c>
    </row>
    <row r="424" spans="1:21" ht="18" customHeight="1">
      <c r="A424" s="782"/>
      <c r="B424" s="783"/>
      <c r="C424" s="783"/>
      <c r="D424" s="783"/>
      <c r="E424" s="783"/>
      <c r="F424" s="783"/>
      <c r="G424" s="803"/>
      <c r="H424" s="1121"/>
      <c r="I424" s="1121"/>
      <c r="J424" s="474"/>
      <c r="K424" s="684" t="s">
        <v>1322</v>
      </c>
      <c r="L424" s="699" t="s">
        <v>6</v>
      </c>
      <c r="M424" s="700">
        <v>7200</v>
      </c>
      <c r="N424" s="84" t="s">
        <v>1314</v>
      </c>
      <c r="O424" s="4">
        <v>4</v>
      </c>
      <c r="P424" s="39">
        <v>150000</v>
      </c>
      <c r="Q424" s="6">
        <v>4</v>
      </c>
      <c r="R424" s="6">
        <v>12</v>
      </c>
      <c r="T424" s="14">
        <v>7200000</v>
      </c>
    </row>
    <row r="425" spans="1:21" ht="18" customHeight="1">
      <c r="A425" s="782"/>
      <c r="B425" s="783"/>
      <c r="C425" s="783"/>
      <c r="D425" s="783"/>
      <c r="E425" s="783"/>
      <c r="F425" s="783"/>
      <c r="G425" s="803"/>
      <c r="H425" s="1121"/>
      <c r="I425" s="1121"/>
      <c r="J425" s="474"/>
      <c r="K425" s="1601" t="s">
        <v>99</v>
      </c>
      <c r="L425" s="1786"/>
      <c r="M425" s="708">
        <v>31560</v>
      </c>
    </row>
    <row r="426" spans="1:21" ht="18" customHeight="1">
      <c r="A426" s="782"/>
      <c r="B426" s="783"/>
      <c r="C426" s="783"/>
      <c r="D426" s="783"/>
      <c r="E426" s="783"/>
      <c r="F426" s="783"/>
      <c r="G426" s="803"/>
      <c r="H426" s="1121"/>
      <c r="I426" s="1121"/>
      <c r="J426" s="474"/>
      <c r="K426" s="684" t="s">
        <v>1346</v>
      </c>
      <c r="L426" s="1599" t="s">
        <v>6</v>
      </c>
      <c r="M426" s="700" t="s">
        <v>1347</v>
      </c>
      <c r="N426" s="84" t="s">
        <v>1254</v>
      </c>
      <c r="P426" s="39" t="s">
        <v>1255</v>
      </c>
      <c r="Q426" s="6">
        <v>20</v>
      </c>
      <c r="R426" s="6">
        <v>12</v>
      </c>
      <c r="T426" s="14">
        <v>9600000</v>
      </c>
    </row>
    <row r="427" spans="1:21" ht="18" customHeight="1">
      <c r="A427" s="782"/>
      <c r="B427" s="783"/>
      <c r="C427" s="783"/>
      <c r="D427" s="783"/>
      <c r="E427" s="783"/>
      <c r="F427" s="783"/>
      <c r="G427" s="803"/>
      <c r="H427" s="1121"/>
      <c r="I427" s="1121"/>
      <c r="J427" s="474"/>
      <c r="K427" s="684" t="s">
        <v>1348</v>
      </c>
      <c r="L427" s="1599" t="s">
        <v>6</v>
      </c>
      <c r="M427" s="700" t="s">
        <v>1349</v>
      </c>
      <c r="N427" s="1" t="s">
        <v>1258</v>
      </c>
      <c r="O427" s="1"/>
      <c r="P427" s="1" t="s">
        <v>1061</v>
      </c>
      <c r="Q427" s="1">
        <v>8</v>
      </c>
      <c r="R427" s="1">
        <v>12</v>
      </c>
      <c r="S427" s="1"/>
      <c r="T427" s="1781">
        <v>1920000</v>
      </c>
      <c r="U427" s="1"/>
    </row>
    <row r="428" spans="1:21" ht="18" customHeight="1">
      <c r="A428" s="782"/>
      <c r="B428" s="783"/>
      <c r="C428" s="783"/>
      <c r="D428" s="783"/>
      <c r="E428" s="783"/>
      <c r="F428" s="783"/>
      <c r="G428" s="803"/>
      <c r="H428" s="1121"/>
      <c r="I428" s="1121"/>
      <c r="J428" s="474"/>
      <c r="K428" s="684" t="s">
        <v>1350</v>
      </c>
      <c r="L428" s="699" t="s">
        <v>6</v>
      </c>
      <c r="M428" s="700" t="s">
        <v>1351</v>
      </c>
      <c r="N428" s="84" t="s">
        <v>1261</v>
      </c>
      <c r="P428" s="39" t="s">
        <v>1262</v>
      </c>
      <c r="Q428" s="6">
        <v>18</v>
      </c>
      <c r="R428" s="6">
        <v>12</v>
      </c>
      <c r="T428" s="14">
        <v>6480000</v>
      </c>
    </row>
    <row r="429" spans="1:21" ht="18" customHeight="1">
      <c r="A429" s="782"/>
      <c r="B429" s="783"/>
      <c r="C429" s="783"/>
      <c r="D429" s="783"/>
      <c r="E429" s="783"/>
      <c r="F429" s="783"/>
      <c r="G429" s="803"/>
      <c r="H429" s="1121"/>
      <c r="I429" s="1121"/>
      <c r="J429" s="474"/>
      <c r="K429" s="684" t="s">
        <v>1352</v>
      </c>
      <c r="L429" s="1599" t="s">
        <v>6</v>
      </c>
      <c r="M429" s="700" t="s">
        <v>1353</v>
      </c>
      <c r="N429" s="84" t="s">
        <v>1265</v>
      </c>
      <c r="P429" s="39" t="s">
        <v>1266</v>
      </c>
      <c r="Q429" s="6">
        <v>13</v>
      </c>
      <c r="R429" s="6">
        <v>12</v>
      </c>
      <c r="T429" s="14">
        <v>10920000</v>
      </c>
    </row>
    <row r="430" spans="1:21" ht="18" customHeight="1">
      <c r="A430" s="782"/>
      <c r="B430" s="783"/>
      <c r="C430" s="783"/>
      <c r="D430" s="783"/>
      <c r="E430" s="783"/>
      <c r="F430" s="783"/>
      <c r="G430" s="803"/>
      <c r="H430" s="1121"/>
      <c r="I430" s="1121"/>
      <c r="J430" s="474"/>
      <c r="K430" s="684" t="s">
        <v>1354</v>
      </c>
      <c r="L430" s="1599" t="s">
        <v>6</v>
      </c>
      <c r="M430" s="700" t="s">
        <v>1355</v>
      </c>
      <c r="N430" s="84" t="s">
        <v>1356</v>
      </c>
      <c r="P430" s="39" t="s">
        <v>1055</v>
      </c>
      <c r="Q430" s="6">
        <v>2</v>
      </c>
      <c r="R430" s="6">
        <v>12</v>
      </c>
      <c r="T430" s="14">
        <v>2640000</v>
      </c>
    </row>
    <row r="431" spans="1:21" ht="18" customHeight="1">
      <c r="A431" s="782"/>
      <c r="B431" s="783"/>
      <c r="C431" s="783"/>
      <c r="D431" s="783"/>
      <c r="E431" s="783"/>
      <c r="F431" s="783"/>
      <c r="G431" s="803"/>
      <c r="H431" s="1121"/>
      <c r="I431" s="1121"/>
      <c r="J431" s="474"/>
      <c r="K431" s="1601" t="s">
        <v>1269</v>
      </c>
      <c r="L431" s="1786"/>
      <c r="M431" s="708">
        <v>4560</v>
      </c>
    </row>
    <row r="432" spans="1:21" ht="18" customHeight="1">
      <c r="A432" s="782"/>
      <c r="B432" s="783"/>
      <c r="C432" s="783"/>
      <c r="D432" s="783"/>
      <c r="E432" s="783"/>
      <c r="F432" s="783"/>
      <c r="G432" s="803"/>
      <c r="H432" s="1121"/>
      <c r="I432" s="1121"/>
      <c r="J432" s="474"/>
      <c r="K432" s="684" t="s">
        <v>1357</v>
      </c>
      <c r="L432" s="699" t="s">
        <v>6</v>
      </c>
      <c r="M432" s="700" t="s">
        <v>1125</v>
      </c>
      <c r="N432" s="84" t="s">
        <v>1358</v>
      </c>
      <c r="P432" s="39" t="s">
        <v>1359</v>
      </c>
      <c r="Q432" s="6">
        <v>2</v>
      </c>
      <c r="R432" s="6">
        <v>12</v>
      </c>
      <c r="T432" s="14">
        <v>1200000</v>
      </c>
    </row>
    <row r="433" spans="1:21" ht="18" customHeight="1">
      <c r="A433" s="782"/>
      <c r="B433" s="783"/>
      <c r="C433" s="783"/>
      <c r="D433" s="783"/>
      <c r="E433" s="783"/>
      <c r="F433" s="783"/>
      <c r="G433" s="803"/>
      <c r="H433" s="1121"/>
      <c r="I433" s="1121"/>
      <c r="J433" s="474"/>
      <c r="K433" s="684" t="s">
        <v>1360</v>
      </c>
      <c r="L433" s="1599" t="s">
        <v>6</v>
      </c>
      <c r="M433" s="700" t="s">
        <v>1284</v>
      </c>
      <c r="N433" s="84" t="s">
        <v>1271</v>
      </c>
      <c r="P433" s="39" t="s">
        <v>1262</v>
      </c>
      <c r="Q433" s="6">
        <v>6</v>
      </c>
      <c r="R433" s="6">
        <v>12</v>
      </c>
      <c r="T433" s="14">
        <v>2160000</v>
      </c>
    </row>
    <row r="434" spans="1:21" ht="18" customHeight="1">
      <c r="A434" s="782"/>
      <c r="B434" s="783"/>
      <c r="C434" s="783"/>
      <c r="D434" s="783"/>
      <c r="E434" s="783"/>
      <c r="F434" s="783"/>
      <c r="G434" s="803"/>
      <c r="H434" s="1121"/>
      <c r="I434" s="1121"/>
      <c r="J434" s="474"/>
      <c r="K434" s="684" t="s">
        <v>1272</v>
      </c>
      <c r="L434" s="1599" t="s">
        <v>6</v>
      </c>
      <c r="M434" s="700" t="s">
        <v>1125</v>
      </c>
      <c r="N434" s="1" t="s">
        <v>1273</v>
      </c>
      <c r="O434" s="1"/>
      <c r="P434" s="1" t="s">
        <v>1274</v>
      </c>
      <c r="Q434" s="1">
        <v>4</v>
      </c>
      <c r="R434" s="1">
        <v>12</v>
      </c>
      <c r="S434" s="1"/>
      <c r="T434" s="1781">
        <v>1200000</v>
      </c>
      <c r="U434" s="1"/>
    </row>
    <row r="435" spans="1:21" ht="18" customHeight="1">
      <c r="A435" s="782"/>
      <c r="B435" s="783"/>
      <c r="C435" s="783"/>
      <c r="D435" s="783"/>
      <c r="E435" s="783"/>
      <c r="F435" s="783"/>
      <c r="G435" s="803"/>
      <c r="H435" s="1121"/>
      <c r="I435" s="1121"/>
      <c r="J435" s="474"/>
      <c r="K435" s="1601" t="s">
        <v>1279</v>
      </c>
      <c r="L435" s="1786"/>
      <c r="M435" s="708">
        <v>600</v>
      </c>
      <c r="N435" s="1"/>
      <c r="O435" s="1"/>
      <c r="P435" s="1"/>
      <c r="Q435" s="1"/>
      <c r="R435" s="1"/>
      <c r="S435" s="1"/>
      <c r="T435" s="1"/>
      <c r="U435" s="1"/>
    </row>
    <row r="436" spans="1:21" ht="18" customHeight="1">
      <c r="A436" s="782"/>
      <c r="B436" s="783"/>
      <c r="C436" s="783"/>
      <c r="D436" s="783"/>
      <c r="E436" s="783"/>
      <c r="F436" s="783"/>
      <c r="G436" s="803"/>
      <c r="H436" s="1121"/>
      <c r="I436" s="1121"/>
      <c r="J436" s="474"/>
      <c r="K436" s="684" t="s">
        <v>1361</v>
      </c>
      <c r="L436" s="1599" t="s">
        <v>6</v>
      </c>
      <c r="M436" s="700" t="s">
        <v>1073</v>
      </c>
      <c r="N436" s="1" t="s">
        <v>1362</v>
      </c>
      <c r="O436" s="1"/>
      <c r="P436" s="1" t="s">
        <v>1075</v>
      </c>
      <c r="Q436" s="1">
        <v>1</v>
      </c>
      <c r="R436" s="1">
        <v>12</v>
      </c>
      <c r="S436" s="1"/>
      <c r="T436" s="1781">
        <v>120000</v>
      </c>
      <c r="U436" s="1"/>
    </row>
    <row r="437" spans="1:21" ht="18" customHeight="1">
      <c r="A437" s="782"/>
      <c r="B437" s="783"/>
      <c r="C437" s="783"/>
      <c r="D437" s="783"/>
      <c r="E437" s="783"/>
      <c r="F437" s="783"/>
      <c r="G437" s="803"/>
      <c r="H437" s="1121"/>
      <c r="I437" s="1121"/>
      <c r="J437" s="474"/>
      <c r="K437" s="684" t="s">
        <v>1363</v>
      </c>
      <c r="L437" s="1599" t="s">
        <v>6</v>
      </c>
      <c r="M437" s="700" t="s">
        <v>1364</v>
      </c>
      <c r="N437" s="1" t="s">
        <v>1365</v>
      </c>
      <c r="O437" s="1"/>
      <c r="P437" s="1" t="s">
        <v>1075</v>
      </c>
      <c r="Q437" s="1">
        <v>3</v>
      </c>
      <c r="R437" s="1">
        <v>12</v>
      </c>
      <c r="S437" s="1"/>
      <c r="T437" s="1781">
        <v>360000</v>
      </c>
      <c r="U437" s="1"/>
    </row>
    <row r="438" spans="1:21" ht="18" customHeight="1">
      <c r="A438" s="782"/>
      <c r="B438" s="783"/>
      <c r="C438" s="783"/>
      <c r="D438" s="783"/>
      <c r="E438" s="783"/>
      <c r="F438" s="783"/>
      <c r="G438" s="803"/>
      <c r="H438" s="1121"/>
      <c r="I438" s="1121"/>
      <c r="J438" s="474"/>
      <c r="K438" s="684" t="s">
        <v>1366</v>
      </c>
      <c r="L438" s="699" t="s">
        <v>6</v>
      </c>
      <c r="M438" s="700" t="s">
        <v>1073</v>
      </c>
      <c r="N438" s="1" t="s">
        <v>1367</v>
      </c>
      <c r="O438" s="1"/>
      <c r="P438" s="1" t="s">
        <v>1075</v>
      </c>
      <c r="Q438" s="1">
        <v>1</v>
      </c>
      <c r="R438" s="1">
        <v>12</v>
      </c>
      <c r="S438" s="1"/>
      <c r="T438" s="1781">
        <v>120000</v>
      </c>
      <c r="U438" s="1"/>
    </row>
    <row r="439" spans="1:21" ht="18" customHeight="1">
      <c r="A439" s="782"/>
      <c r="B439" s="783"/>
      <c r="C439" s="783"/>
      <c r="D439" s="783"/>
      <c r="E439" s="783"/>
      <c r="F439" s="783"/>
      <c r="G439" s="803"/>
      <c r="H439" s="1121"/>
      <c r="I439" s="1121"/>
      <c r="J439" s="474"/>
      <c r="K439" s="1601" t="s">
        <v>1286</v>
      </c>
      <c r="L439" s="739"/>
      <c r="M439" s="708">
        <v>85133</v>
      </c>
      <c r="N439" s="1"/>
      <c r="O439" s="1"/>
      <c r="P439" s="1"/>
      <c r="Q439" s="1"/>
      <c r="R439" s="1"/>
      <c r="S439" s="1"/>
      <c r="T439" s="1"/>
      <c r="U439" s="1"/>
    </row>
    <row r="440" spans="1:21" ht="18" customHeight="1">
      <c r="A440" s="782"/>
      <c r="B440" s="783"/>
      <c r="C440" s="783"/>
      <c r="D440" s="783"/>
      <c r="E440" s="783"/>
      <c r="F440" s="783"/>
      <c r="G440" s="803"/>
      <c r="H440" s="1121"/>
      <c r="I440" s="1121"/>
      <c r="J440" s="474"/>
      <c r="K440" s="684" t="s">
        <v>1368</v>
      </c>
      <c r="L440" s="699" t="s">
        <v>6</v>
      </c>
      <c r="M440" s="700">
        <v>13397</v>
      </c>
      <c r="N440" s="1" t="s">
        <v>1308</v>
      </c>
      <c r="O440" s="1">
        <v>16</v>
      </c>
      <c r="P440" s="1781">
        <v>2232759</v>
      </c>
      <c r="Q440" s="1">
        <v>4</v>
      </c>
      <c r="R440" s="1"/>
      <c r="S440" s="1782">
        <v>1.5</v>
      </c>
      <c r="T440" s="1781">
        <v>13396554</v>
      </c>
      <c r="U440" s="1"/>
    </row>
    <row r="441" spans="1:21" ht="18" customHeight="1">
      <c r="A441" s="782"/>
      <c r="B441" s="783"/>
      <c r="C441" s="783"/>
      <c r="D441" s="783"/>
      <c r="E441" s="783"/>
      <c r="F441" s="784"/>
      <c r="G441" s="795"/>
      <c r="H441" s="474"/>
      <c r="I441" s="474"/>
      <c r="J441" s="474"/>
      <c r="K441" s="684" t="s">
        <v>1369</v>
      </c>
      <c r="L441" s="1599" t="s">
        <v>6</v>
      </c>
      <c r="M441" s="700">
        <v>33767</v>
      </c>
      <c r="N441" s="84" t="s">
        <v>1310</v>
      </c>
      <c r="O441" s="4">
        <v>17</v>
      </c>
      <c r="P441" s="39">
        <v>2046456</v>
      </c>
      <c r="Q441" s="6">
        <v>11</v>
      </c>
      <c r="S441" s="8">
        <v>1.5</v>
      </c>
      <c r="T441" s="14">
        <v>33766523</v>
      </c>
    </row>
    <row r="442" spans="1:21" ht="18" customHeight="1">
      <c r="A442" s="782"/>
      <c r="B442" s="783"/>
      <c r="C442" s="783"/>
      <c r="D442" s="783"/>
      <c r="E442" s="783"/>
      <c r="F442" s="784"/>
      <c r="G442" s="795"/>
      <c r="H442" s="474"/>
      <c r="I442" s="474"/>
      <c r="J442" s="474"/>
      <c r="K442" s="684" t="s">
        <v>1370</v>
      </c>
      <c r="L442" s="1599" t="s">
        <v>6</v>
      </c>
      <c r="M442" s="700">
        <v>31068</v>
      </c>
      <c r="N442" s="84" t="s">
        <v>1312</v>
      </c>
      <c r="O442" s="4">
        <v>15</v>
      </c>
      <c r="P442" s="39">
        <v>1726008</v>
      </c>
      <c r="Q442" s="6">
        <v>12</v>
      </c>
      <c r="S442" s="8">
        <v>1.5</v>
      </c>
      <c r="T442" s="14">
        <v>31068136</v>
      </c>
    </row>
    <row r="443" spans="1:21" ht="18" customHeight="1">
      <c r="A443" s="782"/>
      <c r="B443" s="783"/>
      <c r="C443" s="783"/>
      <c r="D443" s="783"/>
      <c r="E443" s="783"/>
      <c r="F443" s="784"/>
      <c r="G443" s="795"/>
      <c r="H443" s="474"/>
      <c r="I443" s="474"/>
      <c r="J443" s="474"/>
      <c r="K443" s="684" t="s">
        <v>1371</v>
      </c>
      <c r="L443" s="1599" t="s">
        <v>6</v>
      </c>
      <c r="M443" s="700">
        <v>6901</v>
      </c>
      <c r="N443" s="84" t="s">
        <v>1314</v>
      </c>
      <c r="O443" s="4">
        <v>4</v>
      </c>
      <c r="P443" s="39">
        <v>1150121</v>
      </c>
      <c r="Q443" s="6">
        <v>4</v>
      </c>
      <c r="S443" s="8">
        <v>1.5</v>
      </c>
      <c r="T443" s="14">
        <v>6900726</v>
      </c>
    </row>
    <row r="444" spans="1:21" ht="18" customHeight="1">
      <c r="A444" s="782"/>
      <c r="B444" s="783"/>
      <c r="C444" s="783"/>
      <c r="D444" s="783"/>
      <c r="E444" s="783"/>
      <c r="F444" s="784"/>
      <c r="G444" s="795"/>
      <c r="H444" s="474"/>
      <c r="I444" s="474"/>
      <c r="J444" s="474"/>
      <c r="K444" s="1601" t="s">
        <v>1372</v>
      </c>
      <c r="L444" s="1786"/>
      <c r="M444" s="708">
        <v>82698</v>
      </c>
    </row>
    <row r="445" spans="1:21" ht="18" customHeight="1">
      <c r="A445" s="782"/>
      <c r="B445" s="783"/>
      <c r="C445" s="783"/>
      <c r="D445" s="783"/>
      <c r="E445" s="783"/>
      <c r="F445" s="784"/>
      <c r="G445" s="795"/>
      <c r="H445" s="474"/>
      <c r="I445" s="474"/>
      <c r="J445" s="474"/>
      <c r="K445" s="684" t="s">
        <v>1373</v>
      </c>
      <c r="L445" s="1599" t="s">
        <v>6</v>
      </c>
      <c r="M445" s="700">
        <v>12693</v>
      </c>
      <c r="N445" s="89" t="s">
        <v>1308</v>
      </c>
      <c r="O445" s="1">
        <v>16</v>
      </c>
      <c r="P445" s="1781">
        <v>4093995</v>
      </c>
      <c r="Q445" s="1">
        <v>4</v>
      </c>
      <c r="R445" s="1">
        <v>12</v>
      </c>
      <c r="S445" s="1">
        <v>6.4593301000000006E-2</v>
      </c>
      <c r="T445" s="1781">
        <v>12693343</v>
      </c>
      <c r="U445" s="1"/>
    </row>
    <row r="446" spans="1:21" ht="18" customHeight="1">
      <c r="A446" s="782"/>
      <c r="B446" s="783"/>
      <c r="C446" s="783"/>
      <c r="D446" s="783"/>
      <c r="E446" s="783"/>
      <c r="F446" s="784"/>
      <c r="G446" s="795"/>
      <c r="H446" s="474"/>
      <c r="I446" s="474"/>
      <c r="J446" s="474"/>
      <c r="K446" s="684" t="s">
        <v>1374</v>
      </c>
      <c r="L446" s="1599" t="s">
        <v>6</v>
      </c>
      <c r="M446" s="700">
        <v>32701</v>
      </c>
      <c r="N446" s="89" t="s">
        <v>1310</v>
      </c>
      <c r="O446" s="1">
        <v>17</v>
      </c>
      <c r="P446" s="1781">
        <v>3835374</v>
      </c>
      <c r="Q446" s="1">
        <v>11</v>
      </c>
      <c r="R446" s="1">
        <v>12</v>
      </c>
      <c r="S446" s="1">
        <v>6.4593301000000006E-2</v>
      </c>
      <c r="T446" s="1781">
        <v>32701611</v>
      </c>
      <c r="U446" s="1"/>
    </row>
    <row r="447" spans="1:21" ht="18" customHeight="1">
      <c r="A447" s="782"/>
      <c r="B447" s="783"/>
      <c r="C447" s="783"/>
      <c r="D447" s="783"/>
      <c r="E447" s="783"/>
      <c r="F447" s="783"/>
      <c r="G447" s="803"/>
      <c r="H447" s="1121"/>
      <c r="I447" s="1121"/>
      <c r="J447" s="474"/>
      <c r="K447" s="684" t="s">
        <v>1375</v>
      </c>
      <c r="L447" s="1599" t="s">
        <v>6</v>
      </c>
      <c r="M447" s="700">
        <v>29900</v>
      </c>
      <c r="N447" s="89" t="s">
        <v>1312</v>
      </c>
      <c r="O447" s="1">
        <v>15</v>
      </c>
      <c r="P447" s="1781">
        <v>3214645</v>
      </c>
      <c r="Q447" s="1">
        <v>12</v>
      </c>
      <c r="R447" s="1">
        <v>12</v>
      </c>
      <c r="S447" s="1">
        <v>6.4593301000000006E-2</v>
      </c>
      <c r="T447" s="1781">
        <v>29900811</v>
      </c>
      <c r="U447" s="1"/>
    </row>
    <row r="448" spans="1:21" ht="18" customHeight="1">
      <c r="A448" s="782"/>
      <c r="B448" s="783"/>
      <c r="C448" s="783"/>
      <c r="D448" s="783"/>
      <c r="E448" s="783"/>
      <c r="F448" s="783"/>
      <c r="G448" s="803"/>
      <c r="H448" s="1121"/>
      <c r="I448" s="1121"/>
      <c r="J448" s="474"/>
      <c r="K448" s="684" t="s">
        <v>1376</v>
      </c>
      <c r="L448" s="699" t="s">
        <v>6</v>
      </c>
      <c r="M448" s="700">
        <v>7405</v>
      </c>
      <c r="N448" s="84" t="s">
        <v>1314</v>
      </c>
      <c r="O448" s="4">
        <v>4</v>
      </c>
      <c r="P448" s="39">
        <v>2388516</v>
      </c>
      <c r="Q448" s="6">
        <v>4</v>
      </c>
      <c r="R448" s="6">
        <v>12</v>
      </c>
      <c r="S448" s="6">
        <v>6.4593301000000006E-2</v>
      </c>
      <c r="T448" s="14">
        <v>7405542</v>
      </c>
    </row>
    <row r="449" spans="1:21" ht="18" customHeight="1">
      <c r="A449" s="782"/>
      <c r="B449" s="783"/>
      <c r="C449" s="783"/>
      <c r="D449" s="783"/>
      <c r="E449" s="783"/>
      <c r="F449" s="783"/>
      <c r="G449" s="803"/>
      <c r="H449" s="1121"/>
      <c r="I449" s="1121"/>
      <c r="J449" s="474"/>
      <c r="K449" s="1601" t="s">
        <v>1377</v>
      </c>
      <c r="L449" s="739"/>
      <c r="M449" s="708">
        <v>110168</v>
      </c>
      <c r="N449" s="1"/>
      <c r="O449" s="1"/>
      <c r="P449" s="1"/>
      <c r="Q449" s="1"/>
      <c r="R449" s="1"/>
      <c r="S449" s="1"/>
      <c r="T449" s="1"/>
      <c r="U449" s="1"/>
    </row>
    <row r="450" spans="1:21" ht="18" customHeight="1">
      <c r="A450" s="782"/>
      <c r="B450" s="783"/>
      <c r="C450" s="783"/>
      <c r="D450" s="783"/>
      <c r="E450" s="783"/>
      <c r="F450" s="783"/>
      <c r="G450" s="803"/>
      <c r="H450" s="1121"/>
      <c r="I450" s="1121"/>
      <c r="J450" s="474"/>
      <c r="K450" s="684" t="s">
        <v>1378</v>
      </c>
      <c r="L450" s="699" t="s">
        <v>6</v>
      </c>
      <c r="M450" s="700">
        <v>16817</v>
      </c>
      <c r="N450" s="1" t="s">
        <v>1308</v>
      </c>
      <c r="O450" s="1">
        <v>16</v>
      </c>
      <c r="P450" s="1781">
        <v>4093995</v>
      </c>
      <c r="Q450" s="1">
        <v>4</v>
      </c>
      <c r="R450" s="1">
        <v>12</v>
      </c>
      <c r="S450" s="1">
        <v>8.6124402000000003E-2</v>
      </c>
      <c r="T450" s="1781">
        <v>16924457</v>
      </c>
      <c r="U450" s="1"/>
    </row>
    <row r="451" spans="1:21" ht="18" customHeight="1">
      <c r="A451" s="782"/>
      <c r="B451" s="783"/>
      <c r="C451" s="783"/>
      <c r="D451" s="783"/>
      <c r="E451" s="783"/>
      <c r="F451" s="783"/>
      <c r="G451" s="803"/>
      <c r="H451" s="1121"/>
      <c r="I451" s="1121"/>
      <c r="J451" s="474"/>
      <c r="K451" s="684" t="s">
        <v>1379</v>
      </c>
      <c r="L451" s="699" t="s">
        <v>6</v>
      </c>
      <c r="M451" s="700">
        <v>43609</v>
      </c>
      <c r="N451" s="1" t="s">
        <v>1310</v>
      </c>
      <c r="O451" s="1">
        <v>17</v>
      </c>
      <c r="P451" s="1781">
        <v>3835374</v>
      </c>
      <c r="Q451" s="1">
        <v>11</v>
      </c>
      <c r="R451" s="1">
        <v>12</v>
      </c>
      <c r="S451" s="1">
        <v>8.6124402000000003E-2</v>
      </c>
      <c r="T451" s="1781">
        <v>43602148</v>
      </c>
      <c r="U451" s="1"/>
    </row>
    <row r="452" spans="1:21" ht="18" customHeight="1">
      <c r="A452" s="782"/>
      <c r="B452" s="783"/>
      <c r="C452" s="783"/>
      <c r="D452" s="783"/>
      <c r="E452" s="783"/>
      <c r="F452" s="783"/>
      <c r="G452" s="803"/>
      <c r="H452" s="1121"/>
      <c r="I452" s="1121"/>
      <c r="J452" s="474"/>
      <c r="K452" s="684" t="s">
        <v>1380</v>
      </c>
      <c r="L452" s="699" t="s">
        <v>6</v>
      </c>
      <c r="M452" s="700">
        <v>39868</v>
      </c>
      <c r="N452" s="1" t="s">
        <v>1312</v>
      </c>
      <c r="O452" s="1">
        <v>15</v>
      </c>
      <c r="P452" s="1781">
        <v>3214645</v>
      </c>
      <c r="Q452" s="1">
        <v>12</v>
      </c>
      <c r="R452" s="1">
        <v>12</v>
      </c>
      <c r="S452" s="1">
        <v>8.6124402000000003E-2</v>
      </c>
      <c r="T452" s="1781">
        <v>39867748</v>
      </c>
      <c r="U452" s="1"/>
    </row>
    <row r="453" spans="1:21" ht="18" customHeight="1">
      <c r="A453" s="782"/>
      <c r="B453" s="783"/>
      <c r="C453" s="783"/>
      <c r="D453" s="783"/>
      <c r="E453" s="783"/>
      <c r="F453" s="783"/>
      <c r="G453" s="803"/>
      <c r="H453" s="1121"/>
      <c r="I453" s="1121"/>
      <c r="J453" s="474"/>
      <c r="K453" s="684" t="s">
        <v>1381</v>
      </c>
      <c r="L453" s="699" t="s">
        <v>6</v>
      </c>
      <c r="M453" s="700">
        <v>9874</v>
      </c>
      <c r="N453" s="1" t="s">
        <v>1314</v>
      </c>
      <c r="O453" s="1">
        <v>4</v>
      </c>
      <c r="P453" s="1781">
        <v>2388516</v>
      </c>
      <c r="Q453" s="1">
        <v>4</v>
      </c>
      <c r="R453" s="1">
        <v>12</v>
      </c>
      <c r="S453" s="1">
        <v>8.6124402000000003E-2</v>
      </c>
      <c r="T453" s="1781">
        <v>9874056</v>
      </c>
      <c r="U453" s="1"/>
    </row>
    <row r="454" spans="1:21" ht="18" customHeight="1">
      <c r="A454" s="782"/>
      <c r="B454" s="783"/>
      <c r="C454" s="783"/>
      <c r="D454" s="783"/>
      <c r="E454" s="783"/>
      <c r="F454" s="783"/>
      <c r="G454" s="803"/>
      <c r="H454" s="1121"/>
      <c r="I454" s="1121"/>
      <c r="J454" s="474"/>
      <c r="K454" s="1601" t="s">
        <v>1382</v>
      </c>
      <c r="L454" s="739"/>
      <c r="M454" s="708">
        <v>186327</v>
      </c>
      <c r="N454" s="1"/>
      <c r="O454" s="1"/>
      <c r="P454" s="1"/>
      <c r="Q454" s="1"/>
      <c r="R454" s="1"/>
      <c r="S454" s="1"/>
      <c r="T454" s="1"/>
      <c r="U454" s="1"/>
    </row>
    <row r="455" spans="1:21" ht="18" customHeight="1">
      <c r="A455" s="782"/>
      <c r="B455" s="783"/>
      <c r="C455" s="783"/>
      <c r="D455" s="783"/>
      <c r="E455" s="783"/>
      <c r="F455" s="783"/>
      <c r="G455" s="803"/>
      <c r="H455" s="1121"/>
      <c r="I455" s="1121"/>
      <c r="J455" s="474"/>
      <c r="K455" s="684" t="s">
        <v>1383</v>
      </c>
      <c r="L455" s="699" t="s">
        <v>6</v>
      </c>
      <c r="M455" s="700">
        <v>28677</v>
      </c>
      <c r="N455" s="1" t="s">
        <v>1308</v>
      </c>
      <c r="O455" s="1">
        <v>16</v>
      </c>
      <c r="P455" s="1781">
        <v>4093995</v>
      </c>
      <c r="Q455" s="1">
        <v>4</v>
      </c>
      <c r="R455" s="1">
        <v>12</v>
      </c>
      <c r="S455" s="1">
        <v>0.145933014</v>
      </c>
      <c r="T455" s="1781">
        <v>28677553</v>
      </c>
      <c r="U455" s="1"/>
    </row>
    <row r="456" spans="1:21" ht="18" customHeight="1">
      <c r="A456" s="782"/>
      <c r="B456" s="783"/>
      <c r="C456" s="783"/>
      <c r="D456" s="783"/>
      <c r="E456" s="783"/>
      <c r="F456" s="783"/>
      <c r="G456" s="803"/>
      <c r="H456" s="1121"/>
      <c r="I456" s="1121"/>
      <c r="J456" s="474"/>
      <c r="K456" s="684" t="s">
        <v>1384</v>
      </c>
      <c r="L456" s="699" t="s">
        <v>6</v>
      </c>
      <c r="M456" s="700">
        <v>73881</v>
      </c>
      <c r="N456" s="1" t="s">
        <v>1310</v>
      </c>
      <c r="O456" s="1">
        <v>17</v>
      </c>
      <c r="P456" s="1781">
        <v>3835374</v>
      </c>
      <c r="Q456" s="1">
        <v>11</v>
      </c>
      <c r="R456" s="1">
        <v>12</v>
      </c>
      <c r="S456" s="1">
        <v>0.145933014</v>
      </c>
      <c r="T456" s="1781">
        <v>73881417</v>
      </c>
      <c r="U456" s="1"/>
    </row>
    <row r="457" spans="1:21" ht="18" customHeight="1">
      <c r="A457" s="782"/>
      <c r="B457" s="783"/>
      <c r="C457" s="783"/>
      <c r="D457" s="783"/>
      <c r="E457" s="783"/>
      <c r="F457" s="783"/>
      <c r="G457" s="803"/>
      <c r="H457" s="1121"/>
      <c r="I457" s="1121"/>
      <c r="J457" s="474"/>
      <c r="K457" s="684" t="s">
        <v>1385</v>
      </c>
      <c r="L457" s="699" t="s">
        <v>6</v>
      </c>
      <c r="M457" s="700">
        <v>67132</v>
      </c>
      <c r="N457" s="1" t="s">
        <v>1312</v>
      </c>
      <c r="O457" s="1">
        <v>15</v>
      </c>
      <c r="P457" s="1781">
        <v>3214645</v>
      </c>
      <c r="Q457" s="1">
        <v>12</v>
      </c>
      <c r="R457" s="1">
        <v>12</v>
      </c>
      <c r="S457" s="1">
        <v>0.145933014</v>
      </c>
      <c r="T457" s="1781">
        <v>67553683</v>
      </c>
      <c r="U457" s="1"/>
    </row>
    <row r="458" spans="1:21" ht="18" customHeight="1">
      <c r="A458" s="782"/>
      <c r="B458" s="783"/>
      <c r="C458" s="783"/>
      <c r="D458" s="783"/>
      <c r="E458" s="783"/>
      <c r="F458" s="783"/>
      <c r="G458" s="803"/>
      <c r="H458" s="1121"/>
      <c r="I458" s="1121"/>
      <c r="J458" s="474"/>
      <c r="K458" s="684" t="s">
        <v>1386</v>
      </c>
      <c r="L458" s="699" t="s">
        <v>6</v>
      </c>
      <c r="M458" s="700">
        <v>16637</v>
      </c>
      <c r="N458" s="1" t="s">
        <v>1314</v>
      </c>
      <c r="O458" s="1">
        <v>4</v>
      </c>
      <c r="P458" s="1781">
        <v>2388516</v>
      </c>
      <c r="Q458" s="1">
        <v>4</v>
      </c>
      <c r="R458" s="1">
        <v>12</v>
      </c>
      <c r="S458" s="1">
        <v>0.145933014</v>
      </c>
      <c r="T458" s="1781">
        <v>16731040</v>
      </c>
      <c r="U458" s="1"/>
    </row>
    <row r="459" spans="1:21" ht="18" customHeight="1">
      <c r="A459" s="782"/>
      <c r="B459" s="783"/>
      <c r="C459" s="783"/>
      <c r="D459" s="783"/>
      <c r="E459" s="783"/>
      <c r="F459" s="783"/>
      <c r="G459" s="803"/>
      <c r="H459" s="1121"/>
      <c r="I459" s="1121"/>
      <c r="J459" s="474"/>
      <c r="K459" s="1601" t="s">
        <v>1294</v>
      </c>
      <c r="L459" s="739"/>
      <c r="M459" s="708">
        <v>40840</v>
      </c>
      <c r="N459" s="1"/>
      <c r="O459" s="1"/>
      <c r="P459" s="1"/>
      <c r="Q459" s="1"/>
      <c r="R459" s="1"/>
      <c r="S459" s="1"/>
      <c r="T459" s="1"/>
      <c r="U459" s="1"/>
    </row>
    <row r="460" spans="1:21" ht="18" customHeight="1">
      <c r="A460" s="782"/>
      <c r="B460" s="783"/>
      <c r="C460" s="783"/>
      <c r="D460" s="783"/>
      <c r="E460" s="783"/>
      <c r="F460" s="783"/>
      <c r="G460" s="803"/>
      <c r="H460" s="1121"/>
      <c r="I460" s="1121"/>
      <c r="J460" s="474"/>
      <c r="K460" s="684" t="s">
        <v>1387</v>
      </c>
      <c r="L460" s="699" t="s">
        <v>6</v>
      </c>
      <c r="M460" s="700">
        <v>6268</v>
      </c>
      <c r="N460" s="1" t="s">
        <v>1308</v>
      </c>
      <c r="O460" s="1">
        <v>16</v>
      </c>
      <c r="P460" s="1781">
        <v>4093995</v>
      </c>
      <c r="Q460" s="1">
        <v>4</v>
      </c>
      <c r="R460" s="1">
        <v>10</v>
      </c>
      <c r="S460" s="1">
        <v>3.8277512E-2</v>
      </c>
      <c r="T460" s="1781">
        <v>6268318</v>
      </c>
      <c r="U460" s="1"/>
    </row>
    <row r="461" spans="1:21" ht="18" customHeight="1">
      <c r="A461" s="782"/>
      <c r="B461" s="783"/>
      <c r="C461" s="783"/>
      <c r="D461" s="783"/>
      <c r="E461" s="783"/>
      <c r="F461" s="783"/>
      <c r="G461" s="803"/>
      <c r="H461" s="1121"/>
      <c r="I461" s="1121"/>
      <c r="J461" s="474"/>
      <c r="K461" s="684" t="s">
        <v>1388</v>
      </c>
      <c r="L461" s="699" t="s">
        <v>6</v>
      </c>
      <c r="M461" s="700">
        <v>16149</v>
      </c>
      <c r="N461" s="1" t="s">
        <v>1310</v>
      </c>
      <c r="O461" s="1">
        <v>17</v>
      </c>
      <c r="P461" s="1781">
        <v>3835374</v>
      </c>
      <c r="Q461" s="1">
        <v>11</v>
      </c>
      <c r="R461" s="1">
        <v>10</v>
      </c>
      <c r="S461" s="1">
        <v>3.8277512E-2</v>
      </c>
      <c r="T461" s="1781">
        <v>16148944</v>
      </c>
      <c r="U461" s="1"/>
    </row>
    <row r="462" spans="1:21" ht="18" customHeight="1">
      <c r="A462" s="782"/>
      <c r="B462" s="783"/>
      <c r="C462" s="783"/>
      <c r="D462" s="783"/>
      <c r="E462" s="783"/>
      <c r="F462" s="783"/>
      <c r="G462" s="803"/>
      <c r="H462" s="1121"/>
      <c r="I462" s="1121"/>
      <c r="J462" s="474"/>
      <c r="K462" s="684" t="s">
        <v>1389</v>
      </c>
      <c r="L462" s="1599" t="s">
        <v>6</v>
      </c>
      <c r="M462" s="700">
        <v>14766</v>
      </c>
      <c r="N462" s="1" t="s">
        <v>1312</v>
      </c>
      <c r="O462" s="1">
        <v>15</v>
      </c>
      <c r="P462" s="1781">
        <v>3214645</v>
      </c>
      <c r="Q462" s="1">
        <v>12</v>
      </c>
      <c r="R462" s="1">
        <v>10</v>
      </c>
      <c r="S462" s="1">
        <v>3.8277512E-2</v>
      </c>
      <c r="T462" s="1781">
        <v>14765832</v>
      </c>
      <c r="U462" s="1"/>
    </row>
    <row r="463" spans="1:21" ht="18" customHeight="1">
      <c r="A463" s="782"/>
      <c r="B463" s="783"/>
      <c r="C463" s="783"/>
      <c r="D463" s="783"/>
      <c r="E463" s="783"/>
      <c r="F463" s="783"/>
      <c r="G463" s="803"/>
      <c r="H463" s="1121"/>
      <c r="I463" s="1121"/>
      <c r="J463" s="474"/>
      <c r="K463" s="684" t="s">
        <v>1390</v>
      </c>
      <c r="L463" s="1599" t="s">
        <v>6</v>
      </c>
      <c r="M463" s="700">
        <v>3657</v>
      </c>
      <c r="N463" s="1" t="s">
        <v>1314</v>
      </c>
      <c r="O463" s="1">
        <v>4</v>
      </c>
      <c r="P463" s="1781">
        <v>2388516</v>
      </c>
      <c r="Q463" s="1">
        <v>4</v>
      </c>
      <c r="R463" s="1">
        <v>10</v>
      </c>
      <c r="S463" s="1">
        <v>3.8277512E-2</v>
      </c>
      <c r="T463" s="1781">
        <v>3657058</v>
      </c>
      <c r="U463" s="1"/>
    </row>
    <row r="464" spans="1:21" ht="18" customHeight="1">
      <c r="A464" s="782"/>
      <c r="B464" s="783"/>
      <c r="C464" s="783"/>
      <c r="D464" s="783"/>
      <c r="E464" s="783"/>
      <c r="F464" s="783"/>
      <c r="G464" s="803"/>
      <c r="H464" s="1121"/>
      <c r="I464" s="1121"/>
      <c r="J464" s="474"/>
      <c r="K464" s="1601" t="s">
        <v>1391</v>
      </c>
      <c r="L464" s="739"/>
      <c r="M464" s="708">
        <v>2400</v>
      </c>
      <c r="N464" s="1"/>
      <c r="O464" s="1"/>
      <c r="P464" s="1"/>
      <c r="Q464" s="1"/>
      <c r="R464" s="1"/>
      <c r="S464" s="1"/>
      <c r="T464" s="1"/>
      <c r="U464" s="1"/>
    </row>
    <row r="465" spans="1:24" ht="18" customHeight="1">
      <c r="A465" s="782"/>
      <c r="B465" s="783"/>
      <c r="C465" s="783"/>
      <c r="D465" s="783"/>
      <c r="E465" s="783"/>
      <c r="F465" s="783"/>
      <c r="G465" s="803"/>
      <c r="H465" s="1121"/>
      <c r="I465" s="1121"/>
      <c r="J465" s="474"/>
      <c r="K465" s="684" t="s">
        <v>1392</v>
      </c>
      <c r="L465" s="699" t="s">
        <v>6</v>
      </c>
      <c r="M465" s="700">
        <v>2400</v>
      </c>
      <c r="N465" s="1" t="s">
        <v>1393</v>
      </c>
      <c r="O465" s="1"/>
      <c r="P465" s="1781">
        <v>50000</v>
      </c>
      <c r="Q465" s="1">
        <v>4</v>
      </c>
      <c r="R465" s="1">
        <v>12</v>
      </c>
      <c r="S465" s="1"/>
      <c r="T465" s="1781">
        <v>2400000</v>
      </c>
      <c r="U465" s="1"/>
    </row>
    <row r="466" spans="1:24" s="794" customFormat="1" ht="18" customHeight="1">
      <c r="A466" s="782"/>
      <c r="B466" s="803"/>
      <c r="C466" s="803"/>
      <c r="D466" s="803"/>
      <c r="E466" s="803"/>
      <c r="F466" s="803"/>
      <c r="G466" s="809" t="s">
        <v>69</v>
      </c>
      <c r="H466" s="476">
        <f>M466</f>
        <v>4558177</v>
      </c>
      <c r="I466" s="476">
        <v>4497485</v>
      </c>
      <c r="J466" s="476">
        <f>H466-I466</f>
        <v>60692</v>
      </c>
      <c r="K466" s="1600" t="s">
        <v>1461</v>
      </c>
      <c r="L466" s="810"/>
      <c r="M466" s="691">
        <f>SUM(M467,M469,M471,M473,M475,M477,M479,M485,M488,M491,M493,M495,M497,M499)</f>
        <v>4558177</v>
      </c>
      <c r="N466" s="796"/>
      <c r="O466" s="797"/>
      <c r="P466" s="798"/>
      <c r="Q466" s="799"/>
      <c r="R466" s="799"/>
      <c r="S466" s="799"/>
      <c r="T466" s="800"/>
      <c r="U466" s="792"/>
      <c r="V466" s="793"/>
      <c r="W466" s="793"/>
      <c r="X466" s="793"/>
    </row>
    <row r="467" spans="1:24" ht="18" customHeight="1">
      <c r="A467" s="782"/>
      <c r="B467" s="803"/>
      <c r="C467" s="803"/>
      <c r="D467" s="803"/>
      <c r="E467" s="803"/>
      <c r="F467" s="803"/>
      <c r="G467" s="785"/>
      <c r="H467" s="474"/>
      <c r="I467" s="474"/>
      <c r="J467" s="474"/>
      <c r="K467" s="684" t="s">
        <v>97</v>
      </c>
      <c r="L467" s="1599"/>
      <c r="M467" s="708">
        <v>2534685</v>
      </c>
      <c r="N467" s="1"/>
      <c r="O467" s="1"/>
      <c r="P467" s="1"/>
      <c r="Q467" s="1"/>
      <c r="R467" s="1"/>
      <c r="S467" s="1"/>
      <c r="T467" s="1"/>
      <c r="U467" s="1"/>
    </row>
    <row r="468" spans="1:24" ht="18" customHeight="1">
      <c r="A468" s="782"/>
      <c r="B468" s="803"/>
      <c r="C468" s="803"/>
      <c r="D468" s="803"/>
      <c r="E468" s="803"/>
      <c r="F468" s="803"/>
      <c r="G468" s="785"/>
      <c r="H468" s="474"/>
      <c r="I468" s="474"/>
      <c r="J468" s="474"/>
      <c r="K468" s="684" t="s">
        <v>1394</v>
      </c>
      <c r="L468" s="1599" t="s">
        <v>6</v>
      </c>
      <c r="M468" s="700" t="s">
        <v>1395</v>
      </c>
      <c r="N468" s="1" t="s">
        <v>1396</v>
      </c>
      <c r="O468" s="1" t="s">
        <v>1397</v>
      </c>
      <c r="P468" s="1781">
        <v>2223408</v>
      </c>
      <c r="Q468" s="1">
        <v>95</v>
      </c>
      <c r="R468" s="1">
        <v>12</v>
      </c>
      <c r="S468" s="1"/>
      <c r="T468" s="1781">
        <v>2534685177</v>
      </c>
      <c r="U468" s="1"/>
    </row>
    <row r="469" spans="1:24" ht="18" customHeight="1">
      <c r="A469" s="782"/>
      <c r="B469" s="803"/>
      <c r="C469" s="803"/>
      <c r="D469" s="803"/>
      <c r="E469" s="803"/>
      <c r="F469" s="803"/>
      <c r="G469" s="785"/>
      <c r="H469" s="474"/>
      <c r="I469" s="474"/>
      <c r="J469" s="474"/>
      <c r="K469" s="684" t="s">
        <v>1240</v>
      </c>
      <c r="L469" s="1599"/>
      <c r="M469" s="708">
        <v>159600</v>
      </c>
      <c r="N469" s="1"/>
      <c r="O469" s="1"/>
      <c r="P469" s="1"/>
      <c r="Q469" s="1"/>
      <c r="R469" s="1"/>
      <c r="S469" s="1"/>
      <c r="T469" s="1"/>
      <c r="U469" s="1"/>
    </row>
    <row r="470" spans="1:24" ht="18" customHeight="1">
      <c r="A470" s="782"/>
      <c r="B470" s="803"/>
      <c r="C470" s="803"/>
      <c r="D470" s="803"/>
      <c r="E470" s="803"/>
      <c r="F470" s="803"/>
      <c r="G470" s="785"/>
      <c r="H470" s="474"/>
      <c r="I470" s="474"/>
      <c r="J470" s="474"/>
      <c r="K470" s="684" t="s">
        <v>1398</v>
      </c>
      <c r="L470" s="1599" t="s">
        <v>6</v>
      </c>
      <c r="M470" s="700" t="s">
        <v>1399</v>
      </c>
      <c r="N470" s="1" t="s">
        <v>1400</v>
      </c>
      <c r="O470" s="1"/>
      <c r="P470" s="1" t="s">
        <v>1401</v>
      </c>
      <c r="Q470" s="1">
        <v>95</v>
      </c>
      <c r="R470" s="1">
        <v>12</v>
      </c>
      <c r="S470" s="1"/>
      <c r="T470" s="1781">
        <v>159600000</v>
      </c>
      <c r="U470" s="1"/>
    </row>
    <row r="471" spans="1:24" ht="18" customHeight="1">
      <c r="A471" s="782"/>
      <c r="B471" s="803"/>
      <c r="C471" s="803"/>
      <c r="D471" s="803"/>
      <c r="E471" s="803"/>
      <c r="F471" s="803"/>
      <c r="G471" s="785"/>
      <c r="H471" s="474"/>
      <c r="I471" s="474"/>
      <c r="J471" s="474"/>
      <c r="K471" s="684" t="s">
        <v>1402</v>
      </c>
      <c r="L471" s="1599"/>
      <c r="M471" s="708">
        <v>228000</v>
      </c>
      <c r="N471" s="1"/>
      <c r="O471" s="1"/>
      <c r="P471" s="1"/>
      <c r="Q471" s="1"/>
      <c r="R471" s="1"/>
      <c r="S471" s="1"/>
      <c r="T471" s="1"/>
      <c r="U471" s="1"/>
    </row>
    <row r="472" spans="1:24" ht="18" customHeight="1">
      <c r="A472" s="782"/>
      <c r="B472" s="803"/>
      <c r="C472" s="803"/>
      <c r="D472" s="803"/>
      <c r="E472" s="803"/>
      <c r="F472" s="803"/>
      <c r="G472" s="785"/>
      <c r="H472" s="474"/>
      <c r="I472" s="474"/>
      <c r="J472" s="474"/>
      <c r="K472" s="684" t="s">
        <v>1403</v>
      </c>
      <c r="L472" s="1599" t="s">
        <v>6</v>
      </c>
      <c r="M472" s="700" t="s">
        <v>1404</v>
      </c>
      <c r="N472" s="1" t="s">
        <v>1400</v>
      </c>
      <c r="O472" s="1"/>
      <c r="P472" s="1" t="s">
        <v>1050</v>
      </c>
      <c r="Q472" s="1">
        <v>95</v>
      </c>
      <c r="R472" s="1">
        <v>12</v>
      </c>
      <c r="S472" s="1"/>
      <c r="T472" s="1781">
        <v>228000000</v>
      </c>
      <c r="U472" s="1"/>
    </row>
    <row r="473" spans="1:24" ht="18" customHeight="1">
      <c r="A473" s="782"/>
      <c r="B473" s="803"/>
      <c r="C473" s="803"/>
      <c r="D473" s="803"/>
      <c r="E473" s="803"/>
      <c r="F473" s="803"/>
      <c r="G473" s="785"/>
      <c r="H473" s="474"/>
      <c r="I473" s="474"/>
      <c r="J473" s="474"/>
      <c r="K473" s="684" t="s">
        <v>1405</v>
      </c>
      <c r="L473" s="1599"/>
      <c r="M473" s="708">
        <v>91200</v>
      </c>
      <c r="N473" s="1"/>
      <c r="O473" s="1"/>
      <c r="P473" s="1"/>
      <c r="Q473" s="1"/>
      <c r="R473" s="1"/>
      <c r="S473" s="1"/>
      <c r="T473" s="1"/>
      <c r="U473" s="1"/>
    </row>
    <row r="474" spans="1:24" ht="18" customHeight="1">
      <c r="A474" s="782"/>
      <c r="B474" s="803"/>
      <c r="C474" s="803"/>
      <c r="D474" s="803"/>
      <c r="E474" s="803"/>
      <c r="F474" s="803"/>
      <c r="G474" s="785"/>
      <c r="H474" s="474"/>
      <c r="I474" s="474"/>
      <c r="J474" s="474"/>
      <c r="K474" s="684" t="s">
        <v>1406</v>
      </c>
      <c r="L474" s="1599" t="s">
        <v>6</v>
      </c>
      <c r="M474" s="700" t="s">
        <v>1407</v>
      </c>
      <c r="N474" s="1" t="s">
        <v>1400</v>
      </c>
      <c r="O474" s="1"/>
      <c r="P474" s="1" t="s">
        <v>1408</v>
      </c>
      <c r="Q474" s="1">
        <v>95</v>
      </c>
      <c r="R474" s="1">
        <v>12</v>
      </c>
      <c r="S474" s="1"/>
      <c r="T474" s="1781">
        <v>91200000</v>
      </c>
      <c r="U474" s="1"/>
    </row>
    <row r="475" spans="1:24" ht="18" customHeight="1">
      <c r="A475" s="782"/>
      <c r="B475" s="803"/>
      <c r="C475" s="803"/>
      <c r="D475" s="803"/>
      <c r="E475" s="803"/>
      <c r="F475" s="803"/>
      <c r="G475" s="785"/>
      <c r="H475" s="474"/>
      <c r="I475" s="474"/>
      <c r="J475" s="474"/>
      <c r="K475" s="684" t="s">
        <v>1409</v>
      </c>
      <c r="L475" s="1599"/>
      <c r="M475" s="708">
        <v>126734</v>
      </c>
      <c r="N475" s="1"/>
      <c r="O475" s="1"/>
      <c r="P475" s="1"/>
      <c r="Q475" s="1"/>
      <c r="R475" s="1"/>
      <c r="S475" s="1"/>
      <c r="T475" s="1"/>
      <c r="U475" s="1"/>
    </row>
    <row r="476" spans="1:24" ht="18" customHeight="1">
      <c r="A476" s="782"/>
      <c r="B476" s="803"/>
      <c r="C476" s="803"/>
      <c r="D476" s="803"/>
      <c r="E476" s="803"/>
      <c r="F476" s="803"/>
      <c r="G476" s="785"/>
      <c r="H476" s="474"/>
      <c r="I476" s="474"/>
      <c r="J476" s="474"/>
      <c r="K476" s="684" t="s">
        <v>1410</v>
      </c>
      <c r="L476" s="1599" t="s">
        <v>6</v>
      </c>
      <c r="M476" s="700" t="s">
        <v>1411</v>
      </c>
      <c r="N476" s="1" t="s">
        <v>1400</v>
      </c>
      <c r="O476" s="1"/>
      <c r="P476" s="1" t="s">
        <v>1412</v>
      </c>
      <c r="Q476" s="1">
        <v>95</v>
      </c>
      <c r="R476" s="1">
        <v>2</v>
      </c>
      <c r="S476" s="1782">
        <v>0.3</v>
      </c>
      <c r="T476" s="1781">
        <v>126734259</v>
      </c>
      <c r="U476" s="1"/>
    </row>
    <row r="477" spans="1:24" ht="18" customHeight="1">
      <c r="A477" s="782"/>
      <c r="B477" s="803"/>
      <c r="C477" s="803"/>
      <c r="D477" s="803"/>
      <c r="E477" s="803"/>
      <c r="F477" s="803"/>
      <c r="G477" s="785"/>
      <c r="H477" s="474"/>
      <c r="I477" s="474"/>
      <c r="J477" s="474"/>
      <c r="K477" s="684" t="s">
        <v>1413</v>
      </c>
      <c r="L477" s="1599"/>
      <c r="M477" s="708">
        <v>39600</v>
      </c>
      <c r="N477" s="1"/>
      <c r="O477" s="1"/>
      <c r="P477" s="1"/>
      <c r="Q477" s="1"/>
      <c r="R477" s="1"/>
      <c r="S477" s="1"/>
      <c r="T477" s="1"/>
      <c r="U477" s="1"/>
    </row>
    <row r="478" spans="1:24" ht="18" customHeight="1">
      <c r="A478" s="782"/>
      <c r="B478" s="803"/>
      <c r="C478" s="803"/>
      <c r="D478" s="803"/>
      <c r="E478" s="803"/>
      <c r="F478" s="803"/>
      <c r="G478" s="785"/>
      <c r="H478" s="474"/>
      <c r="I478" s="474"/>
      <c r="J478" s="474"/>
      <c r="K478" s="684" t="s">
        <v>1414</v>
      </c>
      <c r="L478" s="1599" t="s">
        <v>6</v>
      </c>
      <c r="M478" s="700" t="s">
        <v>1415</v>
      </c>
      <c r="N478" s="1" t="s">
        <v>1400</v>
      </c>
      <c r="O478" s="1"/>
      <c r="P478" s="1" t="s">
        <v>1359</v>
      </c>
      <c r="Q478" s="1">
        <v>66</v>
      </c>
      <c r="R478" s="1">
        <v>12</v>
      </c>
      <c r="S478" s="1"/>
      <c r="T478" s="1781">
        <v>39600000</v>
      </c>
      <c r="U478" s="1"/>
    </row>
    <row r="479" spans="1:24" ht="18" customHeight="1">
      <c r="A479" s="782"/>
      <c r="B479" s="803"/>
      <c r="C479" s="803"/>
      <c r="D479" s="803"/>
      <c r="E479" s="803"/>
      <c r="F479" s="803"/>
      <c r="G479" s="785"/>
      <c r="H479" s="474"/>
      <c r="I479" s="474"/>
      <c r="J479" s="474"/>
      <c r="K479" s="684" t="s">
        <v>99</v>
      </c>
      <c r="L479" s="699"/>
      <c r="M479" s="708">
        <v>60360</v>
      </c>
      <c r="N479" s="1"/>
      <c r="O479" s="1"/>
      <c r="P479" s="1"/>
      <c r="Q479" s="1"/>
      <c r="R479" s="1"/>
      <c r="S479" s="1"/>
      <c r="T479" s="1"/>
      <c r="U479" s="1"/>
    </row>
    <row r="480" spans="1:24" ht="18" customHeight="1">
      <c r="A480" s="782"/>
      <c r="B480" s="803"/>
      <c r="C480" s="803"/>
      <c r="D480" s="803"/>
      <c r="E480" s="803"/>
      <c r="F480" s="803"/>
      <c r="G480" s="785"/>
      <c r="H480" s="474"/>
      <c r="I480" s="474"/>
      <c r="J480" s="474"/>
      <c r="K480" s="684" t="s">
        <v>1416</v>
      </c>
      <c r="L480" s="699" t="s">
        <v>6</v>
      </c>
      <c r="M480" s="700" t="s">
        <v>1417</v>
      </c>
      <c r="N480" s="1" t="s">
        <v>1254</v>
      </c>
      <c r="O480" s="1"/>
      <c r="P480" s="1" t="s">
        <v>1255</v>
      </c>
      <c r="Q480" s="1">
        <v>43</v>
      </c>
      <c r="R480" s="1">
        <v>12</v>
      </c>
      <c r="S480" s="1"/>
      <c r="T480" s="1781">
        <v>20640000</v>
      </c>
      <c r="U480" s="1"/>
    </row>
    <row r="481" spans="1:21" ht="18" customHeight="1">
      <c r="A481" s="782"/>
      <c r="B481" s="803"/>
      <c r="C481" s="803"/>
      <c r="D481" s="803"/>
      <c r="E481" s="803"/>
      <c r="F481" s="803"/>
      <c r="G481" s="785"/>
      <c r="H481" s="474"/>
      <c r="I481" s="474"/>
      <c r="J481" s="474"/>
      <c r="K481" s="684" t="s">
        <v>1418</v>
      </c>
      <c r="L481" s="699" t="s">
        <v>6</v>
      </c>
      <c r="M481" s="700" t="s">
        <v>1419</v>
      </c>
      <c r="N481" s="1" t="s">
        <v>1258</v>
      </c>
      <c r="O481" s="1"/>
      <c r="P481" s="1" t="s">
        <v>1061</v>
      </c>
      <c r="Q481" s="1">
        <v>25</v>
      </c>
      <c r="R481" s="1">
        <v>12</v>
      </c>
      <c r="S481" s="1"/>
      <c r="T481" s="1781">
        <v>6000000</v>
      </c>
      <c r="U481" s="1"/>
    </row>
    <row r="482" spans="1:21" ht="18" customHeight="1">
      <c r="A482" s="782"/>
      <c r="B482" s="803"/>
      <c r="C482" s="803"/>
      <c r="D482" s="803"/>
      <c r="E482" s="803"/>
      <c r="F482" s="803"/>
      <c r="G482" s="785"/>
      <c r="H482" s="474"/>
      <c r="I482" s="474"/>
      <c r="J482" s="474"/>
      <c r="K482" s="684" t="s">
        <v>1420</v>
      </c>
      <c r="L482" s="699" t="s">
        <v>6</v>
      </c>
      <c r="M482" s="700" t="s">
        <v>1421</v>
      </c>
      <c r="N482" s="1" t="s">
        <v>1261</v>
      </c>
      <c r="O482" s="1"/>
      <c r="P482" s="1" t="s">
        <v>1262</v>
      </c>
      <c r="Q482" s="1">
        <v>20</v>
      </c>
      <c r="R482" s="1">
        <v>12</v>
      </c>
      <c r="S482" s="1"/>
      <c r="T482" s="1781">
        <v>7200000</v>
      </c>
      <c r="U482" s="1"/>
    </row>
    <row r="483" spans="1:21" ht="18" customHeight="1">
      <c r="A483" s="782"/>
      <c r="B483" s="803"/>
      <c r="C483" s="803"/>
      <c r="D483" s="803"/>
      <c r="E483" s="803"/>
      <c r="F483" s="803"/>
      <c r="G483" s="785"/>
      <c r="H483" s="474"/>
      <c r="I483" s="474"/>
      <c r="J483" s="474"/>
      <c r="K483" s="684" t="s">
        <v>1422</v>
      </c>
      <c r="L483" s="699" t="s">
        <v>6</v>
      </c>
      <c r="M483" s="700" t="s">
        <v>1423</v>
      </c>
      <c r="N483" s="1" t="s">
        <v>1265</v>
      </c>
      <c r="O483" s="1"/>
      <c r="P483" s="1" t="s">
        <v>1266</v>
      </c>
      <c r="Q483" s="1">
        <v>19</v>
      </c>
      <c r="R483" s="1">
        <v>12</v>
      </c>
      <c r="S483" s="1"/>
      <c r="T483" s="1781">
        <v>15960000</v>
      </c>
      <c r="U483" s="1"/>
    </row>
    <row r="484" spans="1:21" ht="18" customHeight="1">
      <c r="A484" s="782"/>
      <c r="B484" s="803"/>
      <c r="C484" s="803"/>
      <c r="D484" s="803"/>
      <c r="E484" s="803"/>
      <c r="F484" s="803"/>
      <c r="G484" s="785"/>
      <c r="H484" s="474"/>
      <c r="I484" s="474"/>
      <c r="J484" s="474"/>
      <c r="K484" s="684" t="s">
        <v>1424</v>
      </c>
      <c r="L484" s="699" t="s">
        <v>6</v>
      </c>
      <c r="M484" s="700" t="s">
        <v>1425</v>
      </c>
      <c r="N484" s="1" t="s">
        <v>1268</v>
      </c>
      <c r="O484" s="1"/>
      <c r="P484" s="1" t="s">
        <v>1055</v>
      </c>
      <c r="Q484" s="1">
        <v>8</v>
      </c>
      <c r="R484" s="1">
        <v>12</v>
      </c>
      <c r="S484" s="1"/>
      <c r="T484" s="1781">
        <v>10560000</v>
      </c>
      <c r="U484" s="1"/>
    </row>
    <row r="485" spans="1:21" ht="18" customHeight="1">
      <c r="A485" s="782"/>
      <c r="B485" s="803"/>
      <c r="C485" s="803"/>
      <c r="D485" s="803"/>
      <c r="E485" s="803"/>
      <c r="F485" s="803"/>
      <c r="G485" s="785"/>
      <c r="H485" s="474"/>
      <c r="I485" s="474"/>
      <c r="J485" s="474"/>
      <c r="K485" s="684" t="s">
        <v>1269</v>
      </c>
      <c r="L485" s="1599"/>
      <c r="M485" s="708">
        <v>18000</v>
      </c>
      <c r="N485" s="1"/>
      <c r="O485" s="1"/>
      <c r="P485" s="1"/>
      <c r="Q485" s="1"/>
      <c r="R485" s="1"/>
      <c r="S485" s="1"/>
      <c r="T485" s="1"/>
      <c r="U485" s="1"/>
    </row>
    <row r="486" spans="1:21" ht="18" customHeight="1">
      <c r="A486" s="782"/>
      <c r="B486" s="803"/>
      <c r="C486" s="803"/>
      <c r="D486" s="803"/>
      <c r="E486" s="803"/>
      <c r="F486" s="803"/>
      <c r="G486" s="785"/>
      <c r="H486" s="474"/>
      <c r="I486" s="474"/>
      <c r="J486" s="474"/>
      <c r="K486" s="684" t="s">
        <v>1426</v>
      </c>
      <c r="L486" s="1599" t="s">
        <v>6</v>
      </c>
      <c r="M486" s="700" t="s">
        <v>1427</v>
      </c>
      <c r="N486" s="1" t="s">
        <v>1428</v>
      </c>
      <c r="O486" s="1"/>
      <c r="P486" s="1" t="s">
        <v>1359</v>
      </c>
      <c r="Q486" s="1">
        <v>15</v>
      </c>
      <c r="R486" s="1"/>
      <c r="S486" s="1">
        <v>12</v>
      </c>
      <c r="T486" s="1781">
        <v>9000000</v>
      </c>
      <c r="U486" s="1"/>
    </row>
    <row r="487" spans="1:21" ht="18" customHeight="1">
      <c r="A487" s="782"/>
      <c r="B487" s="803"/>
      <c r="C487" s="803"/>
      <c r="D487" s="803"/>
      <c r="E487" s="803"/>
      <c r="F487" s="803"/>
      <c r="G487" s="785"/>
      <c r="H487" s="474"/>
      <c r="I487" s="474"/>
      <c r="J487" s="474"/>
      <c r="K487" s="684" t="s">
        <v>1429</v>
      </c>
      <c r="L487" s="1599" t="s">
        <v>6</v>
      </c>
      <c r="M487" s="700" t="s">
        <v>1427</v>
      </c>
      <c r="N487" s="1" t="s">
        <v>1430</v>
      </c>
      <c r="O487" s="1"/>
      <c r="P487" s="1" t="s">
        <v>1359</v>
      </c>
      <c r="Q487" s="1">
        <v>15</v>
      </c>
      <c r="R487" s="1"/>
      <c r="S487" s="1">
        <v>12</v>
      </c>
      <c r="T487" s="1781">
        <v>9000000</v>
      </c>
      <c r="U487" s="1"/>
    </row>
    <row r="488" spans="1:21" ht="18" customHeight="1">
      <c r="A488" s="782"/>
      <c r="B488" s="803"/>
      <c r="C488" s="803"/>
      <c r="D488" s="803"/>
      <c r="E488" s="803"/>
      <c r="F488" s="803"/>
      <c r="G488" s="785"/>
      <c r="H488" s="474"/>
      <c r="I488" s="474"/>
      <c r="J488" s="474"/>
      <c r="K488" s="684" t="s">
        <v>1279</v>
      </c>
      <c r="L488" s="1599"/>
      <c r="M488" s="708">
        <v>960</v>
      </c>
      <c r="N488" s="1"/>
      <c r="O488" s="1"/>
      <c r="P488" s="1"/>
      <c r="Q488" s="1"/>
      <c r="R488" s="1"/>
      <c r="S488" s="1"/>
      <c r="T488" s="1"/>
      <c r="U488" s="1"/>
    </row>
    <row r="489" spans="1:21" ht="18" customHeight="1">
      <c r="A489" s="782"/>
      <c r="B489" s="803"/>
      <c r="C489" s="803"/>
      <c r="D489" s="803"/>
      <c r="E489" s="803"/>
      <c r="F489" s="803"/>
      <c r="G489" s="785"/>
      <c r="H489" s="474"/>
      <c r="I489" s="474"/>
      <c r="J489" s="474"/>
      <c r="K489" s="684" t="s">
        <v>1431</v>
      </c>
      <c r="L489" s="1599" t="s">
        <v>6</v>
      </c>
      <c r="M489" s="700" t="s">
        <v>1073</v>
      </c>
      <c r="N489" s="1" t="s">
        <v>1432</v>
      </c>
      <c r="O489" s="1"/>
      <c r="P489" s="1" t="s">
        <v>1075</v>
      </c>
      <c r="Q489" s="1">
        <v>1</v>
      </c>
      <c r="R489" s="1"/>
      <c r="S489" s="1">
        <v>12</v>
      </c>
      <c r="T489" s="1781">
        <v>120000</v>
      </c>
      <c r="U489" s="1"/>
    </row>
    <row r="490" spans="1:21" ht="18" customHeight="1">
      <c r="A490" s="782"/>
      <c r="B490" s="803"/>
      <c r="C490" s="803"/>
      <c r="D490" s="803"/>
      <c r="E490" s="803"/>
      <c r="F490" s="803"/>
      <c r="G490" s="785"/>
      <c r="H490" s="474"/>
      <c r="I490" s="474"/>
      <c r="J490" s="474"/>
      <c r="K490" s="684" t="s">
        <v>1433</v>
      </c>
      <c r="L490" s="1599" t="s">
        <v>6</v>
      </c>
      <c r="M490" s="700" t="s">
        <v>1434</v>
      </c>
      <c r="N490" s="1" t="s">
        <v>1435</v>
      </c>
      <c r="O490" s="1"/>
      <c r="P490" s="1" t="s">
        <v>1075</v>
      </c>
      <c r="Q490" s="1">
        <v>7</v>
      </c>
      <c r="R490" s="1"/>
      <c r="S490" s="1">
        <v>12</v>
      </c>
      <c r="T490" s="1781">
        <v>840000</v>
      </c>
      <c r="U490" s="1"/>
    </row>
    <row r="491" spans="1:21" ht="18" customHeight="1">
      <c r="A491" s="782"/>
      <c r="B491" s="803"/>
      <c r="C491" s="803"/>
      <c r="D491" s="803"/>
      <c r="E491" s="803"/>
      <c r="F491" s="803"/>
      <c r="G491" s="785"/>
      <c r="H491" s="474"/>
      <c r="I491" s="474"/>
      <c r="J491" s="474"/>
      <c r="K491" s="684" t="s">
        <v>1286</v>
      </c>
      <c r="L491" s="1599"/>
      <c r="M491" s="708">
        <v>253468</v>
      </c>
      <c r="N491" s="1"/>
      <c r="O491" s="1"/>
      <c r="P491" s="1"/>
      <c r="Q491" s="1"/>
      <c r="R491" s="2668"/>
      <c r="S491" s="2668"/>
      <c r="T491" s="1"/>
      <c r="U491" s="1"/>
    </row>
    <row r="492" spans="1:21" ht="18" customHeight="1">
      <c r="A492" s="782"/>
      <c r="B492" s="803"/>
      <c r="C492" s="803"/>
      <c r="D492" s="803"/>
      <c r="E492" s="803"/>
      <c r="F492" s="803"/>
      <c r="G492" s="785"/>
      <c r="H492" s="474"/>
      <c r="I492" s="474"/>
      <c r="J492" s="474"/>
      <c r="K492" s="2670" t="s">
        <v>2334</v>
      </c>
      <c r="L492" s="1599" t="s">
        <v>6</v>
      </c>
      <c r="M492" s="700">
        <v>253468</v>
      </c>
      <c r="N492" s="1" t="s">
        <v>1400</v>
      </c>
      <c r="O492" s="1"/>
      <c r="P492" s="2669">
        <v>2223408</v>
      </c>
      <c r="Q492" s="1">
        <v>95</v>
      </c>
      <c r="R492" s="2668"/>
      <c r="S492" s="2668">
        <v>1.2</v>
      </c>
      <c r="T492" s="1781">
        <v>251516832</v>
      </c>
      <c r="U492" s="1"/>
    </row>
    <row r="493" spans="1:21" ht="18" customHeight="1">
      <c r="A493" s="782"/>
      <c r="B493" s="803"/>
      <c r="C493" s="803"/>
      <c r="D493" s="803"/>
      <c r="E493" s="803"/>
      <c r="F493" s="803"/>
      <c r="G493" s="785"/>
      <c r="H493" s="474"/>
      <c r="I493" s="474"/>
      <c r="J493" s="474"/>
      <c r="K493" s="684" t="s">
        <v>1372</v>
      </c>
      <c r="L493" s="1599"/>
      <c r="M493" s="708">
        <v>270180</v>
      </c>
      <c r="N493" s="1"/>
      <c r="O493" s="1"/>
      <c r="P493" s="1"/>
      <c r="Q493" s="1"/>
      <c r="R493" s="1"/>
      <c r="S493" s="1"/>
      <c r="T493" s="1"/>
      <c r="U493" s="1"/>
    </row>
    <row r="494" spans="1:21" ht="18" customHeight="1">
      <c r="A494" s="782"/>
      <c r="B494" s="803"/>
      <c r="C494" s="803"/>
      <c r="D494" s="803"/>
      <c r="E494" s="803"/>
      <c r="F494" s="803"/>
      <c r="G494" s="785"/>
      <c r="H494" s="474"/>
      <c r="I494" s="474"/>
      <c r="J494" s="474"/>
      <c r="K494" s="684" t="s">
        <v>1436</v>
      </c>
      <c r="L494" s="1599" t="s">
        <v>6</v>
      </c>
      <c r="M494" s="700" t="s">
        <v>1437</v>
      </c>
      <c r="N494" s="1" t="s">
        <v>1400</v>
      </c>
      <c r="O494" s="1"/>
      <c r="P494" s="1" t="s">
        <v>1438</v>
      </c>
      <c r="Q494" s="1">
        <v>95</v>
      </c>
      <c r="R494" s="1">
        <v>12</v>
      </c>
      <c r="S494" s="1">
        <v>12</v>
      </c>
      <c r="T494" s="1781">
        <v>270180000</v>
      </c>
      <c r="U494" s="1"/>
    </row>
    <row r="495" spans="1:21" ht="18" customHeight="1">
      <c r="A495" s="782"/>
      <c r="B495" s="803"/>
      <c r="C495" s="803"/>
      <c r="D495" s="803"/>
      <c r="E495" s="803"/>
      <c r="F495" s="803"/>
      <c r="G495" s="785"/>
      <c r="H495" s="474"/>
      <c r="I495" s="474"/>
      <c r="J495" s="474"/>
      <c r="K495" s="684" t="s">
        <v>1377</v>
      </c>
      <c r="L495" s="1599"/>
      <c r="M495" s="708">
        <v>375250</v>
      </c>
      <c r="N495" s="1"/>
      <c r="O495" s="1"/>
      <c r="P495" s="1"/>
      <c r="Q495" s="1"/>
      <c r="R495" s="1"/>
      <c r="S495" s="1"/>
      <c r="T495" s="1"/>
      <c r="U495" s="1"/>
    </row>
    <row r="496" spans="1:21" ht="18" customHeight="1">
      <c r="A496" s="782"/>
      <c r="B496" s="803"/>
      <c r="C496" s="803"/>
      <c r="D496" s="803"/>
      <c r="E496" s="803"/>
      <c r="F496" s="803"/>
      <c r="G496" s="785"/>
      <c r="H496" s="474"/>
      <c r="I496" s="474"/>
      <c r="J496" s="474"/>
      <c r="K496" s="684" t="s">
        <v>1439</v>
      </c>
      <c r="L496" s="1599" t="s">
        <v>6</v>
      </c>
      <c r="M496" s="700" t="s">
        <v>1440</v>
      </c>
      <c r="N496" s="1" t="s">
        <v>1400</v>
      </c>
      <c r="O496" s="1"/>
      <c r="P496" s="1" t="s">
        <v>1438</v>
      </c>
      <c r="Q496" s="1">
        <v>95</v>
      </c>
      <c r="R496" s="1">
        <v>8</v>
      </c>
      <c r="S496" s="1">
        <v>25</v>
      </c>
      <c r="T496" s="1781">
        <v>375250000</v>
      </c>
      <c r="U496" s="1"/>
    </row>
    <row r="497" spans="1:24" ht="18" customHeight="1">
      <c r="A497" s="782"/>
      <c r="B497" s="803"/>
      <c r="C497" s="803"/>
      <c r="D497" s="803"/>
      <c r="E497" s="803"/>
      <c r="F497" s="803"/>
      <c r="G497" s="785"/>
      <c r="H497" s="474"/>
      <c r="I497" s="474"/>
      <c r="J497" s="474"/>
      <c r="K497" s="684" t="s">
        <v>1382</v>
      </c>
      <c r="L497" s="1599"/>
      <c r="M497" s="708">
        <v>300048</v>
      </c>
      <c r="N497" s="1"/>
      <c r="O497" s="1"/>
      <c r="P497" s="1"/>
      <c r="Q497" s="1"/>
      <c r="R497" s="1"/>
      <c r="S497" s="1"/>
      <c r="T497" s="1"/>
      <c r="U497" s="1"/>
    </row>
    <row r="498" spans="1:24" ht="18" customHeight="1">
      <c r="A498" s="782"/>
      <c r="B498" s="803"/>
      <c r="C498" s="803"/>
      <c r="D498" s="803"/>
      <c r="E498" s="803"/>
      <c r="F498" s="803"/>
      <c r="G498" s="785"/>
      <c r="H498" s="474"/>
      <c r="I498" s="474"/>
      <c r="J498" s="474"/>
      <c r="K498" s="684" t="s">
        <v>1441</v>
      </c>
      <c r="L498" s="1599" t="s">
        <v>6</v>
      </c>
      <c r="M498" s="700" t="s">
        <v>1442</v>
      </c>
      <c r="N498" s="1" t="s">
        <v>1400</v>
      </c>
      <c r="O498" s="1"/>
      <c r="P498" s="1" t="s">
        <v>1443</v>
      </c>
      <c r="Q498" s="1">
        <v>95</v>
      </c>
      <c r="R498" s="1">
        <v>12</v>
      </c>
      <c r="S498" s="1">
        <v>40</v>
      </c>
      <c r="T498" s="1781">
        <v>300048000</v>
      </c>
      <c r="U498" s="1"/>
    </row>
    <row r="499" spans="1:24" ht="18" customHeight="1">
      <c r="A499" s="782"/>
      <c r="B499" s="803"/>
      <c r="C499" s="803"/>
      <c r="D499" s="803"/>
      <c r="E499" s="803"/>
      <c r="F499" s="803"/>
      <c r="G499" s="785"/>
      <c r="H499" s="474"/>
      <c r="I499" s="474"/>
      <c r="J499" s="474"/>
      <c r="K499" s="684" t="s">
        <v>1294</v>
      </c>
      <c r="L499" s="699"/>
      <c r="M499" s="708">
        <v>100092</v>
      </c>
      <c r="N499" s="1"/>
      <c r="O499" s="1"/>
      <c r="P499" s="1"/>
      <c r="Q499" s="1"/>
      <c r="R499" s="1"/>
      <c r="S499" s="1"/>
      <c r="T499" s="1"/>
      <c r="U499" s="1"/>
    </row>
    <row r="500" spans="1:24" ht="18" customHeight="1">
      <c r="A500" s="782"/>
      <c r="B500" s="803"/>
      <c r="C500" s="803"/>
      <c r="D500" s="803"/>
      <c r="E500" s="803"/>
      <c r="F500" s="803"/>
      <c r="G500" s="785"/>
      <c r="H500" s="474"/>
      <c r="I500" s="474"/>
      <c r="J500" s="474"/>
      <c r="K500" s="684" t="s">
        <v>1444</v>
      </c>
      <c r="L500" s="699" t="s">
        <v>6</v>
      </c>
      <c r="M500" s="700" t="s">
        <v>1445</v>
      </c>
      <c r="N500" s="1" t="s">
        <v>1400</v>
      </c>
      <c r="O500" s="1"/>
      <c r="P500" s="1" t="s">
        <v>1446</v>
      </c>
      <c r="Q500" s="1">
        <v>95</v>
      </c>
      <c r="R500" s="1"/>
      <c r="S500" s="1">
        <v>10</v>
      </c>
      <c r="T500" s="1781">
        <v>100092000</v>
      </c>
      <c r="U500" s="1"/>
    </row>
    <row r="501" spans="1:24" s="794" customFormat="1" ht="18" customHeight="1">
      <c r="A501" s="782"/>
      <c r="B501" s="803"/>
      <c r="C501" s="803"/>
      <c r="D501" s="803"/>
      <c r="E501" s="803"/>
      <c r="F501" s="803"/>
      <c r="G501" s="809" t="s">
        <v>39</v>
      </c>
      <c r="H501" s="476">
        <f>M501</f>
        <v>43099</v>
      </c>
      <c r="I501" s="476">
        <v>12456</v>
      </c>
      <c r="J501" s="757">
        <f>H501-I501</f>
        <v>30643</v>
      </c>
      <c r="K501" s="1600"/>
      <c r="L501" s="1603"/>
      <c r="M501" s="2754">
        <f>M502+M507</f>
        <v>43099</v>
      </c>
      <c r="N501" s="811" t="s">
        <v>17</v>
      </c>
      <c r="O501" s="811"/>
      <c r="P501" s="812"/>
      <c r="Q501" s="813"/>
      <c r="R501" s="813"/>
      <c r="S501" s="813"/>
      <c r="T501" s="814"/>
      <c r="U501" s="792"/>
      <c r="V501" s="906"/>
      <c r="W501" s="908"/>
      <c r="X501" s="793"/>
    </row>
    <row r="502" spans="1:24" s="794" customFormat="1" ht="18" customHeight="1">
      <c r="A502" s="782"/>
      <c r="B502" s="803"/>
      <c r="C502" s="803"/>
      <c r="D502" s="803"/>
      <c r="E502" s="803"/>
      <c r="F502" s="803"/>
      <c r="G502" s="1602"/>
      <c r="H502" s="474"/>
      <c r="I502" s="474"/>
      <c r="J502" s="756"/>
      <c r="K502" s="2755" t="s">
        <v>1518</v>
      </c>
      <c r="L502" s="787"/>
      <c r="M502" s="2756">
        <v>17136</v>
      </c>
      <c r="N502" s="1724" t="s">
        <v>1026</v>
      </c>
      <c r="O502" s="811"/>
      <c r="P502" s="812"/>
      <c r="Q502" s="813"/>
      <c r="R502" s="813"/>
      <c r="S502" s="813"/>
      <c r="T502" s="814"/>
      <c r="U502" s="792"/>
      <c r="V502" s="906"/>
      <c r="W502" s="908"/>
      <c r="X502" s="793"/>
    </row>
    <row r="503" spans="1:24" s="497" customFormat="1" ht="19.5" customHeight="1">
      <c r="A503" s="501"/>
      <c r="B503" s="499"/>
      <c r="C503" s="499"/>
      <c r="D503" s="499"/>
      <c r="E503" s="499"/>
      <c r="F503" s="498"/>
      <c r="G503" s="486"/>
      <c r="H503" s="1123"/>
      <c r="I503" s="1123"/>
      <c r="J503" s="1125"/>
      <c r="K503" s="2757" t="s">
        <v>1447</v>
      </c>
      <c r="L503" s="907" t="s">
        <v>6</v>
      </c>
      <c r="M503" s="933">
        <v>13709</v>
      </c>
      <c r="N503" s="1706"/>
      <c r="O503" s="493"/>
      <c r="P503" s="934">
        <v>10710</v>
      </c>
      <c r="Q503" s="935">
        <v>8</v>
      </c>
      <c r="R503" s="935">
        <v>4</v>
      </c>
      <c r="S503" s="935">
        <v>5</v>
      </c>
      <c r="T503" s="935">
        <v>8</v>
      </c>
    </row>
    <row r="504" spans="1:24" s="497" customFormat="1" ht="19.5" customHeight="1">
      <c r="A504" s="501"/>
      <c r="B504" s="499"/>
      <c r="C504" s="499"/>
      <c r="D504" s="499"/>
      <c r="E504" s="499"/>
      <c r="F504" s="498"/>
      <c r="G504" s="486"/>
      <c r="H504" s="1123"/>
      <c r="I504" s="1123"/>
      <c r="J504" s="1125"/>
      <c r="K504" s="1034" t="s">
        <v>1448</v>
      </c>
      <c r="L504" s="907" t="s">
        <v>6</v>
      </c>
      <c r="M504" s="933">
        <v>2742</v>
      </c>
      <c r="N504" s="1706"/>
      <c r="O504" s="493"/>
      <c r="P504" s="934">
        <v>10710</v>
      </c>
      <c r="Q504" s="935">
        <v>8</v>
      </c>
      <c r="R504" s="935">
        <v>4</v>
      </c>
      <c r="S504" s="935">
        <v>8</v>
      </c>
      <c r="T504" s="935"/>
    </row>
    <row r="505" spans="1:24" s="497" customFormat="1" ht="19.5" customHeight="1">
      <c r="A505" s="501"/>
      <c r="B505" s="499"/>
      <c r="C505" s="499"/>
      <c r="D505" s="499"/>
      <c r="E505" s="499"/>
      <c r="F505" s="498"/>
      <c r="G505" s="486"/>
      <c r="H505" s="1123"/>
      <c r="I505" s="1123"/>
      <c r="J505" s="1125"/>
      <c r="K505" s="1035" t="s">
        <v>1449</v>
      </c>
      <c r="L505" s="907" t="s">
        <v>6</v>
      </c>
      <c r="M505" s="933">
        <v>686</v>
      </c>
      <c r="N505" s="1706"/>
      <c r="O505" s="493"/>
      <c r="P505" s="934">
        <v>10710</v>
      </c>
      <c r="Q505" s="935">
        <v>8</v>
      </c>
      <c r="R505" s="935">
        <v>4</v>
      </c>
      <c r="S505" s="935">
        <v>2</v>
      </c>
      <c r="T505" s="935"/>
    </row>
    <row r="506" spans="1:24" s="497" customFormat="1" ht="19.5" customHeight="1">
      <c r="A506" s="501"/>
      <c r="B506" s="499"/>
      <c r="C506" s="499"/>
      <c r="D506" s="499"/>
      <c r="E506" s="499"/>
      <c r="F506" s="498"/>
      <c r="G506" s="486"/>
      <c r="H506" s="1123"/>
      <c r="I506" s="1123"/>
      <c r="J506" s="1125"/>
      <c r="K506" s="1792" t="s">
        <v>2320</v>
      </c>
      <c r="L506" s="907"/>
      <c r="M506" s="933"/>
      <c r="N506" s="523"/>
      <c r="O506" s="493"/>
      <c r="P506" s="934"/>
      <c r="Q506" s="935"/>
      <c r="R506" s="935"/>
      <c r="S506" s="935"/>
      <c r="T506" s="935"/>
    </row>
    <row r="507" spans="1:24" s="497" customFormat="1" ht="19.5" customHeight="1">
      <c r="A507" s="501"/>
      <c r="B507" s="499"/>
      <c r="C507" s="499"/>
      <c r="D507" s="499"/>
      <c r="E507" s="499"/>
      <c r="F507" s="498"/>
      <c r="G507" s="486"/>
      <c r="H507" s="1123"/>
      <c r="I507" s="1123"/>
      <c r="J507" s="1125"/>
      <c r="K507" s="1035" t="s">
        <v>2321</v>
      </c>
      <c r="L507" s="907"/>
      <c r="M507" s="1791">
        <f>M508+M509+M510</f>
        <v>25963</v>
      </c>
      <c r="N507" s="523"/>
      <c r="O507" s="493"/>
      <c r="P507" s="934"/>
      <c r="Q507" s="935"/>
      <c r="R507" s="935"/>
      <c r="S507" s="935"/>
      <c r="T507" s="935"/>
    </row>
    <row r="508" spans="1:24" s="497" customFormat="1" ht="19.5" customHeight="1">
      <c r="A508" s="501"/>
      <c r="B508" s="499"/>
      <c r="C508" s="499"/>
      <c r="D508" s="499"/>
      <c r="E508" s="499"/>
      <c r="F508" s="498"/>
      <c r="G508" s="486"/>
      <c r="H508" s="1123"/>
      <c r="I508" s="1123"/>
      <c r="J508" s="1125"/>
      <c r="K508" s="1124" t="s">
        <v>1464</v>
      </c>
      <c r="L508" s="907" t="s">
        <v>6</v>
      </c>
      <c r="M508" s="933">
        <v>20564</v>
      </c>
      <c r="N508" s="523"/>
      <c r="O508" s="493"/>
      <c r="P508" s="934"/>
      <c r="Q508" s="935"/>
      <c r="R508" s="935"/>
      <c r="S508" s="935"/>
      <c r="T508" s="935"/>
    </row>
    <row r="509" spans="1:24" s="497" customFormat="1" ht="19.5" customHeight="1">
      <c r="A509" s="501"/>
      <c r="B509" s="499"/>
      <c r="C509" s="499"/>
      <c r="D509" s="499"/>
      <c r="E509" s="499"/>
      <c r="F509" s="498"/>
      <c r="G509" s="486"/>
      <c r="H509" s="1123"/>
      <c r="I509" s="1123"/>
      <c r="J509" s="1125"/>
      <c r="K509" s="1034" t="s">
        <v>1465</v>
      </c>
      <c r="L509" s="907" t="s">
        <v>6</v>
      </c>
      <c r="M509" s="933">
        <v>4113</v>
      </c>
      <c r="N509" s="523"/>
      <c r="O509" s="493"/>
      <c r="P509" s="934"/>
      <c r="Q509" s="935"/>
      <c r="R509" s="935"/>
      <c r="S509" s="935"/>
      <c r="T509" s="935"/>
    </row>
    <row r="510" spans="1:24" s="497" customFormat="1" ht="19.5" customHeight="1">
      <c r="A510" s="501"/>
      <c r="B510" s="499"/>
      <c r="C510" s="499"/>
      <c r="D510" s="499"/>
      <c r="E510" s="499"/>
      <c r="F510" s="1788"/>
      <c r="G510" s="486"/>
      <c r="H510" s="1123"/>
      <c r="I510" s="1123"/>
      <c r="J510" s="1125"/>
      <c r="K510" s="1035" t="s">
        <v>1466</v>
      </c>
      <c r="L510" s="907" t="s">
        <v>6</v>
      </c>
      <c r="M510" s="933">
        <v>1286</v>
      </c>
      <c r="N510" s="523"/>
      <c r="O510" s="493"/>
      <c r="P510" s="934"/>
      <c r="Q510" s="935"/>
      <c r="R510" s="935"/>
      <c r="S510" s="935"/>
      <c r="T510" s="935"/>
    </row>
    <row r="511" spans="1:24" s="2" customFormat="1" ht="18" customHeight="1">
      <c r="A511" s="64"/>
      <c r="B511" s="23"/>
      <c r="C511" s="23"/>
      <c r="D511" s="23"/>
      <c r="E511" s="23"/>
      <c r="F511" s="2958" t="s">
        <v>34</v>
      </c>
      <c r="G511" s="2959"/>
      <c r="H511" s="755">
        <v>1000000</v>
      </c>
      <c r="I511" s="755">
        <v>1100000</v>
      </c>
      <c r="J511" s="755">
        <f>H511-I511</f>
        <v>-100000</v>
      </c>
      <c r="K511" s="692"/>
      <c r="L511" s="693"/>
      <c r="M511" s="694">
        <f>M512</f>
        <v>1000000</v>
      </c>
      <c r="N511" s="84"/>
      <c r="O511" s="4"/>
      <c r="P511" s="39"/>
      <c r="Q511" s="6"/>
      <c r="R511" s="6"/>
      <c r="S511" s="6"/>
      <c r="T511" s="14"/>
      <c r="U511" s="5" t="s">
        <v>652</v>
      </c>
    </row>
    <row r="512" spans="1:24" s="794" customFormat="1" ht="84">
      <c r="A512" s="782"/>
      <c r="B512" s="783"/>
      <c r="C512" s="783"/>
      <c r="D512" s="1126"/>
      <c r="E512" s="1126"/>
      <c r="F512" s="815"/>
      <c r="G512" s="816"/>
      <c r="H512" s="1127"/>
      <c r="I512" s="1127"/>
      <c r="J512" s="474"/>
      <c r="K512" s="909" t="s">
        <v>2319</v>
      </c>
      <c r="L512" s="817" t="s">
        <v>6</v>
      </c>
      <c r="M512" s="818">
        <v>1000000</v>
      </c>
      <c r="N512" s="819"/>
      <c r="O512" s="819"/>
      <c r="P512" s="820"/>
      <c r="Q512" s="820"/>
      <c r="R512" s="821"/>
      <c r="S512" s="821"/>
      <c r="T512" s="822">
        <f>P512-Q512</f>
        <v>0</v>
      </c>
      <c r="U512" s="792"/>
      <c r="V512" s="808"/>
      <c r="W512" s="793"/>
      <c r="X512" s="793"/>
    </row>
    <row r="513" spans="1:16147" s="2" customFormat="1" ht="18" customHeight="1">
      <c r="A513" s="64"/>
      <c r="B513" s="22"/>
      <c r="C513" s="22"/>
      <c r="D513" s="22"/>
      <c r="E513" s="22"/>
      <c r="F513" s="2960" t="s">
        <v>64</v>
      </c>
      <c r="G513" s="2961"/>
      <c r="H513" s="755">
        <f>H514+H517</f>
        <v>771533</v>
      </c>
      <c r="I513" s="755">
        <v>578665</v>
      </c>
      <c r="J513" s="477">
        <f>H513-I513</f>
        <v>192868</v>
      </c>
      <c r="K513" s="696"/>
      <c r="L513" s="693"/>
      <c r="M513" s="697">
        <f>T513/1000</f>
        <v>0</v>
      </c>
      <c r="N513" s="84"/>
      <c r="O513" s="4"/>
      <c r="P513" s="39"/>
      <c r="Q513" s="8"/>
      <c r="R513" s="6"/>
      <c r="S513" s="6"/>
      <c r="T513" s="14"/>
      <c r="U513" s="5"/>
      <c r="V513" s="44"/>
    </row>
    <row r="514" spans="1:16147" s="2" customFormat="1" ht="18" customHeight="1">
      <c r="A514" s="64"/>
      <c r="B514" s="22"/>
      <c r="C514" s="22"/>
      <c r="D514" s="22"/>
      <c r="E514" s="22"/>
      <c r="F514" s="24"/>
      <c r="G514" s="22" t="s">
        <v>36</v>
      </c>
      <c r="H514" s="756">
        <f>M514</f>
        <v>579733</v>
      </c>
      <c r="I514" s="756">
        <v>578665</v>
      </c>
      <c r="J514" s="474">
        <f>H514-I514</f>
        <v>1068</v>
      </c>
      <c r="K514" s="1600" t="s">
        <v>1499</v>
      </c>
      <c r="L514" s="1604"/>
      <c r="M514" s="1605">
        <v>579733</v>
      </c>
      <c r="N514" s="1724" t="s">
        <v>1026</v>
      </c>
      <c r="O514" s="4"/>
      <c r="P514" s="39"/>
      <c r="Q514" s="6"/>
      <c r="R514" s="6"/>
      <c r="S514" s="6"/>
      <c r="T514" s="14"/>
      <c r="U514" s="5"/>
    </row>
    <row r="515" spans="1:16147" s="2" customFormat="1" ht="18" customHeight="1">
      <c r="A515" s="64"/>
      <c r="B515" s="22"/>
      <c r="C515" s="22"/>
      <c r="D515" s="22"/>
      <c r="E515" s="22"/>
      <c r="F515" s="24"/>
      <c r="G515" s="22"/>
      <c r="H515" s="756"/>
      <c r="I515" s="756"/>
      <c r="J515" s="474"/>
      <c r="K515" s="709" t="s">
        <v>1510</v>
      </c>
      <c r="L515" s="699"/>
      <c r="M515" s="700">
        <f>M516</f>
        <v>579773.34</v>
      </c>
      <c r="N515" s="84"/>
      <c r="O515" s="4"/>
      <c r="P515" s="39"/>
      <c r="Q515" s="6"/>
      <c r="R515" s="6"/>
      <c r="S515" s="6"/>
      <c r="T515" s="14"/>
      <c r="U515" s="5"/>
    </row>
    <row r="516" spans="1:16147" s="2" customFormat="1" ht="18" customHeight="1">
      <c r="A516" s="64"/>
      <c r="B516" s="22"/>
      <c r="C516" s="22"/>
      <c r="D516" s="22"/>
      <c r="E516" s="22"/>
      <c r="F516" s="24"/>
      <c r="G516" s="27"/>
      <c r="H516" s="756"/>
      <c r="I516" s="756"/>
      <c r="J516" s="474"/>
      <c r="K516" s="698" t="s">
        <v>1511</v>
      </c>
      <c r="L516" s="699" t="s">
        <v>292</v>
      </c>
      <c r="M516" s="700">
        <f>T516/1000</f>
        <v>579773.34</v>
      </c>
      <c r="N516" s="84"/>
      <c r="O516" s="4"/>
      <c r="P516" s="39">
        <v>322096300</v>
      </c>
      <c r="Q516" s="8">
        <v>1.8</v>
      </c>
      <c r="R516" s="6">
        <v>1</v>
      </c>
      <c r="S516" s="6"/>
      <c r="T516" s="905">
        <f>P516*Q516*R516</f>
        <v>579773340</v>
      </c>
      <c r="U516" s="5"/>
      <c r="V516" s="44"/>
    </row>
    <row r="517" spans="1:16147" s="2" customFormat="1" ht="18" customHeight="1">
      <c r="A517" s="64"/>
      <c r="B517" s="22"/>
      <c r="C517" s="22"/>
      <c r="D517" s="22"/>
      <c r="E517" s="22"/>
      <c r="F517" s="24"/>
      <c r="G517" s="823" t="s">
        <v>68</v>
      </c>
      <c r="H517" s="757">
        <f>M517</f>
        <v>191800</v>
      </c>
      <c r="I517" s="757">
        <v>0</v>
      </c>
      <c r="J517" s="26">
        <f>H517-I517</f>
        <v>191800</v>
      </c>
      <c r="K517" s="1600" t="s">
        <v>1500</v>
      </c>
      <c r="L517" s="714"/>
      <c r="M517" s="824">
        <f>M518</f>
        <v>191800</v>
      </c>
      <c r="N517" s="84"/>
      <c r="O517" s="4"/>
      <c r="P517" s="39"/>
      <c r="Q517" s="6"/>
      <c r="R517" s="6"/>
      <c r="S517" s="6"/>
      <c r="T517" s="14"/>
      <c r="U517" s="5"/>
    </row>
    <row r="518" spans="1:16147" s="2" customFormat="1" ht="18" customHeight="1" thickBot="1">
      <c r="A518" s="64"/>
      <c r="B518" s="22"/>
      <c r="C518" s="22"/>
      <c r="D518" s="22"/>
      <c r="E518" s="22"/>
      <c r="F518" s="24"/>
      <c r="G518" s="27"/>
      <c r="H518" s="754"/>
      <c r="I518" s="754"/>
      <c r="J518" s="2758"/>
      <c r="K518" s="709" t="s">
        <v>1502</v>
      </c>
      <c r="L518" s="695" t="s">
        <v>1501</v>
      </c>
      <c r="M518" s="680">
        <f>700*274</f>
        <v>191800</v>
      </c>
      <c r="N518" s="84"/>
      <c r="O518" s="4"/>
      <c r="P518" s="858">
        <v>500000</v>
      </c>
      <c r="Q518" s="49">
        <v>274</v>
      </c>
      <c r="R518" s="49">
        <v>2</v>
      </c>
      <c r="S518" s="49"/>
      <c r="T518" s="905">
        <f>P518*Q518*R518</f>
        <v>274000000</v>
      </c>
      <c r="U518" s="5"/>
      <c r="V518" s="44"/>
    </row>
    <row r="519" spans="1:16147" s="840" customFormat="1" ht="18" customHeight="1">
      <c r="A519" s="2962" t="s">
        <v>86</v>
      </c>
      <c r="B519" s="2963"/>
      <c r="C519" s="2963"/>
      <c r="D519" s="2963"/>
      <c r="E519" s="2963"/>
      <c r="F519" s="2963"/>
      <c r="G519" s="2964"/>
      <c r="H519" s="968">
        <f>H520</f>
        <v>508000</v>
      </c>
      <c r="I519" s="968">
        <v>532396</v>
      </c>
      <c r="J519" s="480">
        <f>H519-I519</f>
        <v>-24396</v>
      </c>
      <c r="K519" s="969"/>
      <c r="L519" s="970"/>
      <c r="M519" s="971"/>
      <c r="N519" s="1764"/>
      <c r="O519" s="861"/>
      <c r="P519" s="972"/>
      <c r="Q519" s="973"/>
      <c r="R519" s="974"/>
      <c r="S519" s="974"/>
      <c r="T519" s="975"/>
      <c r="U519" s="976"/>
      <c r="V519" s="839"/>
    </row>
    <row r="520" spans="1:16147" s="2" customFormat="1" ht="18" customHeight="1">
      <c r="A520" s="64"/>
      <c r="B520" s="1026" t="s">
        <v>594</v>
      </c>
      <c r="C520" s="1027"/>
      <c r="D520" s="1027"/>
      <c r="E520" s="1027"/>
      <c r="F520" s="1027"/>
      <c r="G520" s="1028"/>
      <c r="H520" s="829">
        <f>H521</f>
        <v>508000</v>
      </c>
      <c r="I520" s="829">
        <v>532396</v>
      </c>
      <c r="J520" s="1128">
        <f>H520-I520</f>
        <v>-24396</v>
      </c>
      <c r="K520" s="678"/>
      <c r="L520" s="679"/>
      <c r="M520" s="680"/>
      <c r="N520" s="84"/>
      <c r="O520" s="4"/>
      <c r="P520" s="39"/>
      <c r="Q520" s="6"/>
      <c r="R520" s="6"/>
      <c r="S520" s="6"/>
      <c r="T520" s="14"/>
      <c r="U520" s="5"/>
    </row>
    <row r="521" spans="1:16147" s="2" customFormat="1" ht="18" customHeight="1">
      <c r="A521" s="64"/>
      <c r="B521" s="22"/>
      <c r="C521" s="1026" t="s">
        <v>595</v>
      </c>
      <c r="D521" s="1027"/>
      <c r="E521" s="1129"/>
      <c r="F521" s="1129"/>
      <c r="G521" s="1130"/>
      <c r="H521" s="1131">
        <f>H522+H529</f>
        <v>508000</v>
      </c>
      <c r="I521" s="1131">
        <v>532396</v>
      </c>
      <c r="J521" s="826">
        <f>H521-I521</f>
        <v>-24396</v>
      </c>
      <c r="K521" s="1132"/>
      <c r="L521" s="1030"/>
      <c r="M521" s="700"/>
      <c r="N521" s="2935"/>
      <c r="O521" s="2936"/>
      <c r="P521" s="2936"/>
      <c r="Q521" s="2936"/>
      <c r="R521" s="2936"/>
      <c r="S521" s="2936"/>
      <c r="T521" s="2936"/>
      <c r="U521" s="2936"/>
    </row>
    <row r="522" spans="1:16147" ht="18" customHeight="1">
      <c r="A522" s="1707"/>
      <c r="B522" s="22"/>
      <c r="C522" s="25"/>
      <c r="D522" s="1026" t="s">
        <v>1022</v>
      </c>
      <c r="E522" s="1133"/>
      <c r="F522" s="1133"/>
      <c r="G522" s="1134"/>
      <c r="H522" s="755">
        <f>H523</f>
        <v>8000</v>
      </c>
      <c r="I522" s="755">
        <v>32396</v>
      </c>
      <c r="J522" s="477">
        <f>H522-I522</f>
        <v>-24396</v>
      </c>
      <c r="K522" s="1135"/>
      <c r="L522" s="1136"/>
      <c r="M522" s="1137"/>
    </row>
    <row r="523" spans="1:16147" ht="18" customHeight="1">
      <c r="A523" s="64"/>
      <c r="B523" s="22"/>
      <c r="C523" s="22"/>
      <c r="D523" s="25"/>
      <c r="E523" s="1085" t="s">
        <v>795</v>
      </c>
      <c r="F523" s="1138"/>
      <c r="G523" s="1086"/>
      <c r="H523" s="755">
        <f>H524</f>
        <v>8000</v>
      </c>
      <c r="I523" s="755">
        <v>32396</v>
      </c>
      <c r="J523" s="477">
        <f>H519-I519</f>
        <v>-24396</v>
      </c>
      <c r="K523" s="696"/>
      <c r="L523" s="729"/>
      <c r="M523" s="697">
        <f>T523/1000</f>
        <v>0</v>
      </c>
      <c r="Q523" s="11"/>
      <c r="R523" s="11"/>
      <c r="S523" s="11"/>
      <c r="T523" s="48"/>
      <c r="U523" s="43"/>
      <c r="V523" s="2"/>
    </row>
    <row r="524" spans="1:16147" ht="18" customHeight="1">
      <c r="A524" s="64"/>
      <c r="B524" s="22"/>
      <c r="C524" s="23"/>
      <c r="D524" s="1139"/>
      <c r="E524" s="23"/>
      <c r="F524" s="2953" t="s">
        <v>58</v>
      </c>
      <c r="G524" s="2954"/>
      <c r="H524" s="755">
        <f>H525</f>
        <v>8000</v>
      </c>
      <c r="I524" s="755">
        <v>32396</v>
      </c>
      <c r="J524" s="477">
        <f>H519-I519</f>
        <v>-24396</v>
      </c>
      <c r="K524" s="728"/>
      <c r="L524" s="729"/>
      <c r="M524" s="697">
        <f>T524/1000</f>
        <v>0</v>
      </c>
      <c r="Q524" s="11"/>
      <c r="R524" s="4"/>
      <c r="S524" s="4"/>
      <c r="T524" s="48"/>
      <c r="U524" s="47"/>
      <c r="V524" s="2"/>
    </row>
    <row r="525" spans="1:16147" ht="18" customHeight="1">
      <c r="A525" s="64"/>
      <c r="B525" s="22"/>
      <c r="C525" s="23"/>
      <c r="D525" s="23"/>
      <c r="E525" s="23"/>
      <c r="F525" s="23"/>
      <c r="G525" s="22" t="s">
        <v>26</v>
      </c>
      <c r="H525" s="764">
        <f>M525</f>
        <v>8000</v>
      </c>
      <c r="I525" s="764">
        <v>32396</v>
      </c>
      <c r="J525" s="474">
        <f>H519-I519</f>
        <v>-24396</v>
      </c>
      <c r="K525" s="701" t="s">
        <v>1456</v>
      </c>
      <c r="L525" s="704"/>
      <c r="M525" s="475">
        <f>M526</f>
        <v>8000</v>
      </c>
      <c r="T525" s="45"/>
    </row>
    <row r="526" spans="1:16147" ht="18" customHeight="1">
      <c r="A526" s="878"/>
      <c r="B526" s="879"/>
      <c r="C526" s="898"/>
      <c r="D526" s="898"/>
      <c r="E526" s="898"/>
      <c r="F526" s="898"/>
      <c r="G526" s="879"/>
      <c r="H526" s="764"/>
      <c r="I526" s="764"/>
      <c r="J526" s="474"/>
      <c r="K526" s="899" t="s">
        <v>1462</v>
      </c>
      <c r="L526" s="880"/>
      <c r="M526" s="881">
        <f>M527+M528</f>
        <v>8000</v>
      </c>
      <c r="N526" s="4"/>
      <c r="Q526" s="882"/>
      <c r="R526" s="882"/>
      <c r="S526" s="882"/>
      <c r="T526" s="45">
        <f>SUM(T527:T528)</f>
        <v>13652000</v>
      </c>
      <c r="U526" s="883"/>
      <c r="V526" s="900"/>
      <c r="W526" s="900"/>
      <c r="X526" s="900"/>
      <c r="Y526" s="901"/>
      <c r="Z526" s="901"/>
      <c r="AA526" s="901"/>
      <c r="AB526" s="901"/>
      <c r="AC526" s="901"/>
      <c r="AD526" s="901"/>
      <c r="AE526" s="901"/>
      <c r="AF526" s="901"/>
      <c r="AG526" s="901"/>
      <c r="AH526" s="901"/>
      <c r="AI526" s="901"/>
      <c r="AJ526" s="901"/>
      <c r="AK526" s="901"/>
      <c r="AL526" s="901"/>
      <c r="AM526" s="901"/>
      <c r="AN526" s="901"/>
      <c r="AO526" s="901"/>
      <c r="AP526" s="901"/>
      <c r="AQ526" s="901"/>
      <c r="AR526" s="901"/>
      <c r="AS526" s="901"/>
      <c r="AT526" s="901"/>
      <c r="AU526" s="901"/>
      <c r="AV526" s="901"/>
      <c r="AW526" s="901"/>
      <c r="AX526" s="901"/>
      <c r="AY526" s="901"/>
      <c r="AZ526" s="901"/>
      <c r="BA526" s="901"/>
      <c r="BB526" s="901"/>
      <c r="BC526" s="901"/>
      <c r="BD526" s="901"/>
      <c r="BE526" s="901"/>
      <c r="BF526" s="901"/>
      <c r="BG526" s="901"/>
      <c r="BH526" s="901"/>
      <c r="BI526" s="901"/>
      <c r="BJ526" s="901"/>
      <c r="BK526" s="901"/>
      <c r="BL526" s="901"/>
      <c r="BM526" s="901"/>
      <c r="BN526" s="901"/>
      <c r="BO526" s="901"/>
      <c r="BP526" s="901"/>
      <c r="BQ526" s="901"/>
      <c r="BR526" s="901"/>
      <c r="BS526" s="901"/>
      <c r="BT526" s="901"/>
      <c r="BU526" s="901"/>
      <c r="BV526" s="901"/>
      <c r="BW526" s="901"/>
      <c r="BX526" s="901"/>
      <c r="BY526" s="901"/>
      <c r="BZ526" s="901"/>
      <c r="CA526" s="901"/>
      <c r="CB526" s="901"/>
      <c r="CC526" s="901"/>
      <c r="CD526" s="901"/>
      <c r="CE526" s="901"/>
      <c r="CF526" s="901"/>
      <c r="CG526" s="901"/>
      <c r="CH526" s="901"/>
      <c r="CI526" s="901"/>
      <c r="CJ526" s="901"/>
      <c r="CK526" s="901"/>
      <c r="CL526" s="901"/>
      <c r="CM526" s="901"/>
      <c r="CN526" s="901"/>
      <c r="CO526" s="901"/>
      <c r="CP526" s="901"/>
      <c r="CQ526" s="901"/>
      <c r="CR526" s="901"/>
      <c r="CS526" s="901"/>
      <c r="CT526" s="901"/>
      <c r="CU526" s="901"/>
      <c r="CV526" s="901"/>
      <c r="CW526" s="901"/>
      <c r="CX526" s="901"/>
      <c r="CY526" s="901"/>
      <c r="CZ526" s="901"/>
      <c r="DA526" s="901"/>
      <c r="DB526" s="901"/>
      <c r="DC526" s="901"/>
      <c r="DD526" s="901"/>
      <c r="DE526" s="901"/>
      <c r="DF526" s="901"/>
      <c r="DG526" s="901"/>
      <c r="DH526" s="901"/>
      <c r="DI526" s="901"/>
      <c r="DJ526" s="901"/>
      <c r="DK526" s="901"/>
      <c r="DL526" s="901"/>
      <c r="DM526" s="901"/>
      <c r="DN526" s="901"/>
      <c r="DO526" s="901"/>
      <c r="DP526" s="901"/>
      <c r="DQ526" s="901"/>
      <c r="DR526" s="901"/>
      <c r="DS526" s="901"/>
      <c r="DT526" s="901"/>
      <c r="DU526" s="901"/>
      <c r="DV526" s="901"/>
      <c r="DW526" s="901"/>
      <c r="DX526" s="901"/>
      <c r="DY526" s="901"/>
      <c r="DZ526" s="901"/>
      <c r="EA526" s="901"/>
      <c r="EB526" s="901"/>
      <c r="EC526" s="901"/>
      <c r="ED526" s="901"/>
      <c r="EE526" s="901"/>
      <c r="EF526" s="901"/>
      <c r="EG526" s="901"/>
      <c r="EH526" s="901"/>
      <c r="EI526" s="901"/>
      <c r="EJ526" s="901"/>
      <c r="EK526" s="901"/>
      <c r="EL526" s="901"/>
      <c r="EM526" s="901"/>
      <c r="EN526" s="901"/>
      <c r="EO526" s="901"/>
      <c r="EP526" s="901"/>
      <c r="EQ526" s="901"/>
      <c r="ER526" s="901"/>
      <c r="ES526" s="901"/>
      <c r="ET526" s="901"/>
      <c r="EU526" s="901"/>
      <c r="EV526" s="901"/>
      <c r="EW526" s="901"/>
      <c r="EX526" s="901"/>
      <c r="EY526" s="901"/>
      <c r="EZ526" s="901"/>
      <c r="FA526" s="901"/>
      <c r="FB526" s="901"/>
      <c r="FC526" s="901"/>
      <c r="FD526" s="901"/>
      <c r="FE526" s="901"/>
      <c r="FF526" s="901"/>
      <c r="FG526" s="901"/>
      <c r="FH526" s="901"/>
      <c r="FI526" s="901"/>
      <c r="FJ526" s="901"/>
      <c r="FK526" s="901"/>
      <c r="FL526" s="901"/>
      <c r="FM526" s="901"/>
      <c r="FN526" s="901"/>
      <c r="FO526" s="901"/>
      <c r="FP526" s="901"/>
      <c r="FQ526" s="901"/>
      <c r="FR526" s="901"/>
      <c r="FS526" s="901"/>
      <c r="FT526" s="901"/>
      <c r="FU526" s="901"/>
      <c r="FV526" s="901"/>
      <c r="FW526" s="901"/>
      <c r="FX526" s="901"/>
      <c r="FY526" s="901"/>
      <c r="FZ526" s="901"/>
      <c r="GA526" s="901"/>
      <c r="GB526" s="901"/>
      <c r="GC526" s="901"/>
      <c r="GD526" s="901"/>
      <c r="GE526" s="901"/>
      <c r="GF526" s="901"/>
      <c r="GG526" s="901"/>
      <c r="GH526" s="901"/>
      <c r="GI526" s="901"/>
      <c r="GJ526" s="901"/>
      <c r="GK526" s="901"/>
      <c r="GL526" s="901"/>
      <c r="GM526" s="901"/>
      <c r="GN526" s="901"/>
      <c r="GO526" s="901"/>
      <c r="GP526" s="901"/>
      <c r="GQ526" s="901"/>
      <c r="GR526" s="901"/>
      <c r="GS526" s="901"/>
      <c r="GT526" s="901"/>
      <c r="GU526" s="901"/>
      <c r="GV526" s="901"/>
      <c r="GW526" s="901"/>
      <c r="GX526" s="901"/>
      <c r="GY526" s="901"/>
      <c r="GZ526" s="901"/>
      <c r="HA526" s="901"/>
      <c r="HB526" s="901"/>
      <c r="HC526" s="901"/>
      <c r="HD526" s="901"/>
      <c r="HE526" s="901"/>
      <c r="HF526" s="901"/>
      <c r="HG526" s="901"/>
      <c r="HH526" s="901"/>
      <c r="HI526" s="901"/>
      <c r="HJ526" s="901"/>
      <c r="HK526" s="901"/>
      <c r="HL526" s="901"/>
      <c r="HM526" s="901"/>
      <c r="HN526" s="901"/>
      <c r="HO526" s="901"/>
      <c r="HP526" s="901"/>
      <c r="HQ526" s="901"/>
      <c r="HR526" s="901"/>
      <c r="HS526" s="901"/>
      <c r="HT526" s="901"/>
      <c r="HU526" s="901"/>
      <c r="HV526" s="901"/>
      <c r="HW526" s="901"/>
      <c r="HX526" s="901"/>
      <c r="HY526" s="901"/>
      <c r="HZ526" s="901"/>
      <c r="IA526" s="901"/>
      <c r="IB526" s="901"/>
      <c r="IC526" s="901"/>
      <c r="ID526" s="901"/>
      <c r="IE526" s="901"/>
      <c r="IF526" s="901"/>
      <c r="IG526" s="901"/>
      <c r="IH526" s="901"/>
      <c r="II526" s="901"/>
      <c r="IJ526" s="901"/>
      <c r="IK526" s="901"/>
      <c r="IL526" s="901"/>
      <c r="IM526" s="901"/>
      <c r="IN526" s="901"/>
      <c r="IO526" s="901"/>
      <c r="IP526" s="901"/>
      <c r="IQ526" s="901"/>
      <c r="IR526" s="901"/>
      <c r="IS526" s="901"/>
      <c r="IT526" s="901"/>
      <c r="IU526" s="901"/>
      <c r="IV526" s="901"/>
      <c r="IW526" s="901"/>
      <c r="IX526" s="901"/>
      <c r="IY526" s="901"/>
      <c r="IZ526" s="901"/>
      <c r="JA526" s="901"/>
      <c r="JB526" s="901"/>
      <c r="JC526" s="901"/>
      <c r="JD526" s="901"/>
      <c r="JE526" s="901"/>
      <c r="JF526" s="901"/>
      <c r="JG526" s="901"/>
      <c r="JH526" s="901"/>
      <c r="JI526" s="901"/>
      <c r="JJ526" s="901"/>
      <c r="JK526" s="901"/>
      <c r="JL526" s="901"/>
      <c r="JM526" s="901"/>
      <c r="JN526" s="901"/>
      <c r="JO526" s="901"/>
      <c r="JP526" s="901"/>
      <c r="JQ526" s="901"/>
      <c r="JR526" s="901"/>
      <c r="JS526" s="901"/>
      <c r="JT526" s="901"/>
      <c r="JU526" s="901"/>
      <c r="JV526" s="901"/>
      <c r="JW526" s="901"/>
      <c r="JX526" s="901"/>
      <c r="JY526" s="901"/>
      <c r="JZ526" s="901"/>
      <c r="KA526" s="901"/>
      <c r="KB526" s="901"/>
      <c r="KC526" s="901"/>
      <c r="KD526" s="901"/>
      <c r="KE526" s="901"/>
      <c r="KF526" s="901"/>
      <c r="KG526" s="901"/>
      <c r="KH526" s="901"/>
      <c r="KI526" s="901"/>
      <c r="KJ526" s="901"/>
      <c r="KK526" s="901"/>
      <c r="KL526" s="901"/>
      <c r="KM526" s="901"/>
      <c r="KN526" s="901"/>
      <c r="KO526" s="901"/>
      <c r="KP526" s="901"/>
      <c r="KQ526" s="901"/>
      <c r="KR526" s="901"/>
      <c r="KS526" s="901"/>
      <c r="KT526" s="901"/>
      <c r="KU526" s="901"/>
      <c r="KV526" s="901"/>
      <c r="KW526" s="901"/>
      <c r="KX526" s="901"/>
      <c r="KY526" s="901"/>
      <c r="KZ526" s="901"/>
      <c r="LA526" s="901"/>
      <c r="LB526" s="901"/>
      <c r="LC526" s="901"/>
      <c r="LD526" s="901"/>
      <c r="LE526" s="901"/>
      <c r="LF526" s="901"/>
      <c r="LG526" s="901"/>
      <c r="LH526" s="901"/>
      <c r="LI526" s="901"/>
      <c r="LJ526" s="901"/>
      <c r="LK526" s="901"/>
      <c r="LL526" s="901"/>
      <c r="LM526" s="901"/>
      <c r="LN526" s="901"/>
      <c r="LO526" s="901"/>
      <c r="LP526" s="901"/>
      <c r="LQ526" s="901"/>
      <c r="LR526" s="901"/>
      <c r="LS526" s="901"/>
      <c r="LT526" s="901"/>
      <c r="LU526" s="901"/>
      <c r="LV526" s="901"/>
      <c r="LW526" s="901"/>
      <c r="LX526" s="901"/>
      <c r="LY526" s="901"/>
      <c r="LZ526" s="901"/>
      <c r="MA526" s="901"/>
      <c r="MB526" s="901"/>
      <c r="MC526" s="901"/>
      <c r="MD526" s="901"/>
      <c r="ME526" s="901"/>
      <c r="MF526" s="901"/>
      <c r="MG526" s="901"/>
      <c r="MH526" s="901"/>
      <c r="MI526" s="901"/>
      <c r="MJ526" s="901"/>
      <c r="MK526" s="901"/>
      <c r="ML526" s="901"/>
      <c r="MM526" s="901"/>
      <c r="MN526" s="901"/>
      <c r="MO526" s="901"/>
      <c r="MP526" s="901"/>
      <c r="MQ526" s="901"/>
      <c r="MR526" s="901"/>
      <c r="MS526" s="901"/>
      <c r="MT526" s="901"/>
      <c r="MU526" s="901"/>
      <c r="MV526" s="901"/>
      <c r="MW526" s="901"/>
      <c r="MX526" s="901"/>
      <c r="MY526" s="901"/>
      <c r="MZ526" s="901"/>
      <c r="NA526" s="901"/>
      <c r="NB526" s="901"/>
      <c r="NC526" s="901"/>
      <c r="ND526" s="901"/>
      <c r="NE526" s="901"/>
      <c r="NF526" s="901"/>
      <c r="NG526" s="901"/>
      <c r="NH526" s="901"/>
      <c r="NI526" s="901"/>
      <c r="NJ526" s="901"/>
      <c r="NK526" s="901"/>
      <c r="NL526" s="901"/>
      <c r="NM526" s="901"/>
      <c r="NN526" s="901"/>
      <c r="NO526" s="901"/>
      <c r="NP526" s="901"/>
      <c r="NQ526" s="901"/>
      <c r="NR526" s="901"/>
      <c r="NS526" s="901"/>
      <c r="NT526" s="901"/>
      <c r="NU526" s="901"/>
      <c r="NV526" s="901"/>
      <c r="NW526" s="901"/>
      <c r="NX526" s="901"/>
      <c r="NY526" s="901"/>
      <c r="NZ526" s="901"/>
      <c r="OA526" s="901"/>
      <c r="OB526" s="901"/>
      <c r="OC526" s="901"/>
      <c r="OD526" s="901"/>
      <c r="OE526" s="901"/>
      <c r="OF526" s="901"/>
      <c r="OG526" s="901"/>
      <c r="OH526" s="901"/>
      <c r="OI526" s="901"/>
      <c r="OJ526" s="901"/>
      <c r="OK526" s="901"/>
      <c r="OL526" s="901"/>
      <c r="OM526" s="901"/>
      <c r="ON526" s="901"/>
      <c r="OO526" s="901"/>
      <c r="OP526" s="901"/>
      <c r="OQ526" s="901"/>
      <c r="OR526" s="901"/>
      <c r="OS526" s="901"/>
      <c r="OT526" s="901"/>
      <c r="OU526" s="901"/>
      <c r="OV526" s="901"/>
      <c r="OW526" s="901"/>
      <c r="OX526" s="901"/>
      <c r="OY526" s="901"/>
      <c r="OZ526" s="901"/>
      <c r="PA526" s="901"/>
      <c r="PB526" s="901"/>
      <c r="PC526" s="901"/>
      <c r="PD526" s="901"/>
      <c r="PE526" s="901"/>
      <c r="PF526" s="901"/>
      <c r="PG526" s="901"/>
      <c r="PH526" s="901"/>
      <c r="PI526" s="901"/>
      <c r="PJ526" s="901"/>
      <c r="PK526" s="901"/>
      <c r="PL526" s="901"/>
      <c r="PM526" s="901"/>
      <c r="PN526" s="901"/>
      <c r="PO526" s="901"/>
      <c r="PP526" s="901"/>
      <c r="PQ526" s="901"/>
      <c r="PR526" s="901"/>
      <c r="PS526" s="901"/>
      <c r="PT526" s="901"/>
      <c r="PU526" s="901"/>
      <c r="PV526" s="901"/>
      <c r="PW526" s="901"/>
      <c r="PX526" s="901"/>
      <c r="PY526" s="901"/>
      <c r="PZ526" s="901"/>
      <c r="QA526" s="901"/>
      <c r="QB526" s="901"/>
      <c r="QC526" s="901"/>
      <c r="QD526" s="901"/>
      <c r="QE526" s="901"/>
      <c r="QF526" s="901"/>
      <c r="QG526" s="901"/>
      <c r="QH526" s="901"/>
      <c r="QI526" s="901"/>
      <c r="QJ526" s="901"/>
      <c r="QK526" s="901"/>
      <c r="QL526" s="901"/>
      <c r="QM526" s="901"/>
      <c r="QN526" s="901"/>
      <c r="QO526" s="901"/>
      <c r="QP526" s="901"/>
      <c r="QQ526" s="901"/>
      <c r="QR526" s="901"/>
      <c r="QS526" s="901"/>
      <c r="QT526" s="901"/>
      <c r="QU526" s="901"/>
      <c r="QV526" s="901"/>
      <c r="QW526" s="901"/>
      <c r="QX526" s="901"/>
      <c r="QY526" s="901"/>
      <c r="QZ526" s="901"/>
      <c r="RA526" s="901"/>
      <c r="RB526" s="901"/>
      <c r="RC526" s="901"/>
      <c r="RD526" s="901"/>
      <c r="RE526" s="901"/>
      <c r="RF526" s="901"/>
      <c r="RG526" s="901"/>
      <c r="RH526" s="901"/>
      <c r="RI526" s="901"/>
      <c r="RJ526" s="901"/>
      <c r="RK526" s="901"/>
      <c r="RL526" s="901"/>
      <c r="RM526" s="901"/>
      <c r="RN526" s="901"/>
      <c r="RO526" s="901"/>
      <c r="RP526" s="901"/>
      <c r="RQ526" s="901"/>
      <c r="RR526" s="901"/>
      <c r="RS526" s="901"/>
      <c r="RT526" s="901"/>
      <c r="RU526" s="901"/>
      <c r="RV526" s="901"/>
      <c r="RW526" s="901"/>
      <c r="RX526" s="901"/>
      <c r="RY526" s="901"/>
      <c r="RZ526" s="901"/>
      <c r="SA526" s="901"/>
      <c r="SB526" s="901"/>
      <c r="SC526" s="901"/>
      <c r="SD526" s="901"/>
      <c r="SE526" s="901"/>
      <c r="SF526" s="901"/>
      <c r="SG526" s="901"/>
      <c r="SH526" s="901"/>
      <c r="SI526" s="901"/>
      <c r="SJ526" s="901"/>
      <c r="SK526" s="901"/>
      <c r="SL526" s="901"/>
      <c r="SM526" s="901"/>
      <c r="SN526" s="901"/>
      <c r="SO526" s="901"/>
      <c r="SP526" s="901"/>
      <c r="SQ526" s="901"/>
      <c r="SR526" s="901"/>
      <c r="SS526" s="901"/>
      <c r="ST526" s="901"/>
      <c r="SU526" s="901"/>
      <c r="SV526" s="901"/>
      <c r="SW526" s="901"/>
      <c r="SX526" s="901"/>
      <c r="SY526" s="901"/>
      <c r="SZ526" s="901"/>
      <c r="TA526" s="901"/>
      <c r="TB526" s="901"/>
      <c r="TC526" s="901"/>
      <c r="TD526" s="901"/>
      <c r="TE526" s="901"/>
      <c r="TF526" s="901"/>
      <c r="TG526" s="901"/>
      <c r="TH526" s="901"/>
      <c r="TI526" s="901"/>
      <c r="TJ526" s="901"/>
      <c r="TK526" s="901"/>
      <c r="TL526" s="901"/>
      <c r="TM526" s="901"/>
      <c r="TN526" s="901"/>
      <c r="TO526" s="901"/>
      <c r="TP526" s="901"/>
      <c r="TQ526" s="901"/>
      <c r="TR526" s="901"/>
      <c r="TS526" s="901"/>
      <c r="TT526" s="901"/>
      <c r="TU526" s="901"/>
      <c r="TV526" s="901"/>
      <c r="TW526" s="901"/>
      <c r="TX526" s="901"/>
      <c r="TY526" s="901"/>
      <c r="TZ526" s="901"/>
      <c r="UA526" s="901"/>
      <c r="UB526" s="901"/>
      <c r="UC526" s="901"/>
      <c r="UD526" s="901"/>
      <c r="UE526" s="901"/>
      <c r="UF526" s="901"/>
      <c r="UG526" s="901"/>
      <c r="UH526" s="901"/>
      <c r="UI526" s="901"/>
      <c r="UJ526" s="901"/>
      <c r="UK526" s="901"/>
      <c r="UL526" s="901"/>
      <c r="UM526" s="901"/>
      <c r="UN526" s="901"/>
      <c r="UO526" s="901"/>
      <c r="UP526" s="901"/>
      <c r="UQ526" s="901"/>
      <c r="UR526" s="901"/>
      <c r="US526" s="901"/>
      <c r="UT526" s="901"/>
      <c r="UU526" s="901"/>
      <c r="UV526" s="901"/>
      <c r="UW526" s="901"/>
      <c r="UX526" s="901"/>
      <c r="UY526" s="901"/>
      <c r="UZ526" s="901"/>
      <c r="VA526" s="901"/>
      <c r="VB526" s="901"/>
      <c r="VC526" s="901"/>
      <c r="VD526" s="901"/>
      <c r="VE526" s="901"/>
      <c r="VF526" s="901"/>
      <c r="VG526" s="901"/>
      <c r="VH526" s="901"/>
      <c r="VI526" s="901"/>
      <c r="VJ526" s="901"/>
      <c r="VK526" s="901"/>
      <c r="VL526" s="901"/>
      <c r="VM526" s="901"/>
      <c r="VN526" s="901"/>
      <c r="VO526" s="901"/>
      <c r="VP526" s="901"/>
      <c r="VQ526" s="901"/>
      <c r="VR526" s="901"/>
      <c r="VS526" s="901"/>
      <c r="VT526" s="901"/>
      <c r="VU526" s="901"/>
      <c r="VV526" s="901"/>
      <c r="VW526" s="901"/>
      <c r="VX526" s="901"/>
      <c r="VY526" s="901"/>
      <c r="VZ526" s="901"/>
      <c r="WA526" s="901"/>
      <c r="WB526" s="901"/>
      <c r="WC526" s="901"/>
      <c r="WD526" s="901"/>
      <c r="WE526" s="901"/>
      <c r="WF526" s="901"/>
      <c r="WG526" s="901"/>
      <c r="WH526" s="901"/>
      <c r="WI526" s="901"/>
      <c r="WJ526" s="901"/>
      <c r="WK526" s="901"/>
      <c r="WL526" s="901"/>
      <c r="WM526" s="901"/>
      <c r="WN526" s="901"/>
      <c r="WO526" s="901"/>
      <c r="WP526" s="901"/>
      <c r="WQ526" s="901"/>
      <c r="WR526" s="901"/>
      <c r="WS526" s="901"/>
      <c r="WT526" s="901"/>
      <c r="WU526" s="901"/>
      <c r="WV526" s="901"/>
      <c r="WW526" s="901"/>
      <c r="WX526" s="901"/>
      <c r="WY526" s="901"/>
      <c r="WZ526" s="901"/>
      <c r="XA526" s="901"/>
      <c r="XB526" s="901"/>
      <c r="XC526" s="901"/>
      <c r="XD526" s="901"/>
      <c r="XE526" s="901"/>
      <c r="XF526" s="901"/>
      <c r="XG526" s="901"/>
      <c r="XH526" s="901"/>
      <c r="XI526" s="901"/>
      <c r="XJ526" s="901"/>
      <c r="XK526" s="901"/>
      <c r="XL526" s="901"/>
      <c r="XM526" s="901"/>
      <c r="XN526" s="901"/>
      <c r="XO526" s="901"/>
      <c r="XP526" s="901"/>
      <c r="XQ526" s="901"/>
      <c r="XR526" s="901"/>
      <c r="XS526" s="901"/>
      <c r="XT526" s="901"/>
      <c r="XU526" s="901"/>
      <c r="XV526" s="901"/>
      <c r="XW526" s="901"/>
      <c r="XX526" s="901"/>
      <c r="XY526" s="901"/>
      <c r="XZ526" s="901"/>
      <c r="YA526" s="901"/>
      <c r="YB526" s="901"/>
      <c r="YC526" s="901"/>
      <c r="YD526" s="901"/>
      <c r="YE526" s="901"/>
      <c r="YF526" s="901"/>
      <c r="YG526" s="901"/>
      <c r="YH526" s="901"/>
      <c r="YI526" s="901"/>
      <c r="YJ526" s="901"/>
      <c r="YK526" s="901"/>
      <c r="YL526" s="901"/>
      <c r="YM526" s="901"/>
      <c r="YN526" s="901"/>
      <c r="YO526" s="901"/>
      <c r="YP526" s="901"/>
      <c r="YQ526" s="901"/>
      <c r="YR526" s="901"/>
      <c r="YS526" s="901"/>
      <c r="YT526" s="901"/>
      <c r="YU526" s="901"/>
      <c r="YV526" s="901"/>
      <c r="YW526" s="901"/>
      <c r="YX526" s="901"/>
      <c r="YY526" s="901"/>
      <c r="YZ526" s="901"/>
      <c r="ZA526" s="901"/>
      <c r="ZB526" s="901"/>
      <c r="ZC526" s="901"/>
      <c r="ZD526" s="901"/>
      <c r="ZE526" s="901"/>
      <c r="ZF526" s="901"/>
      <c r="ZG526" s="901"/>
      <c r="ZH526" s="901"/>
      <c r="ZI526" s="901"/>
      <c r="ZJ526" s="901"/>
      <c r="ZK526" s="901"/>
      <c r="ZL526" s="901"/>
      <c r="ZM526" s="901"/>
      <c r="ZN526" s="901"/>
      <c r="ZO526" s="901"/>
      <c r="ZP526" s="901"/>
      <c r="ZQ526" s="901"/>
      <c r="ZR526" s="901"/>
      <c r="ZS526" s="901"/>
      <c r="ZT526" s="901"/>
      <c r="ZU526" s="901"/>
      <c r="ZV526" s="901"/>
      <c r="ZW526" s="901"/>
      <c r="ZX526" s="901"/>
      <c r="ZY526" s="901"/>
      <c r="ZZ526" s="901"/>
      <c r="AAA526" s="901"/>
      <c r="AAB526" s="901"/>
      <c r="AAC526" s="901"/>
      <c r="AAD526" s="901"/>
      <c r="AAE526" s="901"/>
      <c r="AAF526" s="901"/>
      <c r="AAG526" s="901"/>
      <c r="AAH526" s="901"/>
      <c r="AAI526" s="901"/>
      <c r="AAJ526" s="901"/>
      <c r="AAK526" s="901"/>
      <c r="AAL526" s="901"/>
      <c r="AAM526" s="901"/>
      <c r="AAN526" s="901"/>
      <c r="AAO526" s="901"/>
      <c r="AAP526" s="901"/>
      <c r="AAQ526" s="901"/>
      <c r="AAR526" s="901"/>
      <c r="AAS526" s="901"/>
      <c r="AAT526" s="901"/>
      <c r="AAU526" s="901"/>
      <c r="AAV526" s="901"/>
      <c r="AAW526" s="901"/>
      <c r="AAX526" s="901"/>
      <c r="AAY526" s="901"/>
      <c r="AAZ526" s="901"/>
      <c r="ABA526" s="901"/>
      <c r="ABB526" s="901"/>
      <c r="ABC526" s="901"/>
      <c r="ABD526" s="901"/>
      <c r="ABE526" s="901"/>
      <c r="ABF526" s="901"/>
      <c r="ABG526" s="901"/>
      <c r="ABH526" s="901"/>
      <c r="ABI526" s="901"/>
      <c r="ABJ526" s="901"/>
      <c r="ABK526" s="901"/>
      <c r="ABL526" s="901"/>
      <c r="ABM526" s="901"/>
      <c r="ABN526" s="901"/>
      <c r="ABO526" s="901"/>
      <c r="ABP526" s="901"/>
      <c r="ABQ526" s="901"/>
      <c r="ABR526" s="901"/>
      <c r="ABS526" s="901"/>
      <c r="ABT526" s="901"/>
      <c r="ABU526" s="901"/>
      <c r="ABV526" s="901"/>
      <c r="ABW526" s="901"/>
      <c r="ABX526" s="901"/>
      <c r="ABY526" s="901"/>
      <c r="ABZ526" s="901"/>
      <c r="ACA526" s="901"/>
      <c r="ACB526" s="901"/>
      <c r="ACC526" s="901"/>
      <c r="ACD526" s="901"/>
      <c r="ACE526" s="901"/>
      <c r="ACF526" s="901"/>
      <c r="ACG526" s="901"/>
      <c r="ACH526" s="901"/>
      <c r="ACI526" s="901"/>
      <c r="ACJ526" s="901"/>
      <c r="ACK526" s="901"/>
      <c r="ACL526" s="901"/>
      <c r="ACM526" s="901"/>
      <c r="ACN526" s="901"/>
      <c r="ACO526" s="901"/>
      <c r="ACP526" s="901"/>
      <c r="ACQ526" s="901"/>
      <c r="ACR526" s="901"/>
      <c r="ACS526" s="901"/>
      <c r="ACT526" s="901"/>
      <c r="ACU526" s="901"/>
      <c r="ACV526" s="901"/>
      <c r="ACW526" s="901"/>
      <c r="ACX526" s="901"/>
      <c r="ACY526" s="901"/>
      <c r="ACZ526" s="901"/>
      <c r="ADA526" s="901"/>
      <c r="ADB526" s="901"/>
      <c r="ADC526" s="901"/>
      <c r="ADD526" s="901"/>
      <c r="ADE526" s="901"/>
      <c r="ADF526" s="901"/>
      <c r="ADG526" s="901"/>
      <c r="ADH526" s="901"/>
      <c r="ADI526" s="901"/>
      <c r="ADJ526" s="901"/>
      <c r="ADK526" s="901"/>
      <c r="ADL526" s="901"/>
      <c r="ADM526" s="901"/>
      <c r="ADN526" s="901"/>
      <c r="ADO526" s="901"/>
      <c r="ADP526" s="901"/>
      <c r="ADQ526" s="901"/>
      <c r="ADR526" s="901"/>
      <c r="ADS526" s="901"/>
      <c r="ADT526" s="901"/>
      <c r="ADU526" s="901"/>
      <c r="ADV526" s="901"/>
      <c r="ADW526" s="901"/>
      <c r="ADX526" s="901"/>
      <c r="ADY526" s="901"/>
      <c r="ADZ526" s="901"/>
      <c r="AEA526" s="901"/>
      <c r="AEB526" s="901"/>
      <c r="AEC526" s="901"/>
      <c r="AED526" s="901"/>
      <c r="AEE526" s="901"/>
      <c r="AEF526" s="901"/>
      <c r="AEG526" s="901"/>
      <c r="AEH526" s="901"/>
      <c r="AEI526" s="901"/>
      <c r="AEJ526" s="901"/>
      <c r="AEK526" s="901"/>
      <c r="AEL526" s="901"/>
      <c r="AEM526" s="901"/>
      <c r="AEN526" s="901"/>
      <c r="AEO526" s="901"/>
      <c r="AEP526" s="901"/>
      <c r="AEQ526" s="901"/>
      <c r="AER526" s="901"/>
      <c r="AES526" s="901"/>
      <c r="AET526" s="901"/>
      <c r="AEU526" s="901"/>
      <c r="AEV526" s="901"/>
      <c r="AEW526" s="901"/>
      <c r="AEX526" s="901"/>
      <c r="AEY526" s="901"/>
      <c r="AEZ526" s="901"/>
      <c r="AFA526" s="901"/>
      <c r="AFB526" s="901"/>
      <c r="AFC526" s="901"/>
      <c r="AFD526" s="901"/>
      <c r="AFE526" s="901"/>
      <c r="AFF526" s="901"/>
      <c r="AFG526" s="901"/>
      <c r="AFH526" s="901"/>
      <c r="AFI526" s="901"/>
      <c r="AFJ526" s="901"/>
      <c r="AFK526" s="901"/>
      <c r="AFL526" s="901"/>
      <c r="AFM526" s="901"/>
      <c r="AFN526" s="901"/>
      <c r="AFO526" s="901"/>
      <c r="AFP526" s="901"/>
      <c r="AFQ526" s="901"/>
      <c r="AFR526" s="901"/>
      <c r="AFS526" s="901"/>
      <c r="AFT526" s="901"/>
      <c r="AFU526" s="901"/>
      <c r="AFV526" s="901"/>
      <c r="AFW526" s="901"/>
      <c r="AFX526" s="901"/>
      <c r="AFY526" s="901"/>
      <c r="AFZ526" s="901"/>
      <c r="AGA526" s="901"/>
      <c r="AGB526" s="901"/>
      <c r="AGC526" s="901"/>
      <c r="AGD526" s="901"/>
      <c r="AGE526" s="901"/>
      <c r="AGF526" s="901"/>
      <c r="AGG526" s="901"/>
      <c r="AGH526" s="901"/>
      <c r="AGI526" s="901"/>
      <c r="AGJ526" s="901"/>
      <c r="AGK526" s="901"/>
      <c r="AGL526" s="901"/>
      <c r="AGM526" s="901"/>
      <c r="AGN526" s="901"/>
      <c r="AGO526" s="901"/>
      <c r="AGP526" s="901"/>
      <c r="AGQ526" s="901"/>
      <c r="AGR526" s="901"/>
      <c r="AGS526" s="901"/>
      <c r="AGT526" s="901"/>
      <c r="AGU526" s="901"/>
      <c r="AGV526" s="901"/>
      <c r="AGW526" s="901"/>
      <c r="AGX526" s="901"/>
      <c r="AGY526" s="901"/>
      <c r="AGZ526" s="901"/>
      <c r="AHA526" s="901"/>
      <c r="AHB526" s="901"/>
      <c r="AHC526" s="901"/>
      <c r="AHD526" s="901"/>
      <c r="AHE526" s="901"/>
      <c r="AHF526" s="901"/>
      <c r="AHG526" s="901"/>
      <c r="AHH526" s="901"/>
      <c r="AHI526" s="901"/>
      <c r="AHJ526" s="901"/>
      <c r="AHK526" s="901"/>
      <c r="AHL526" s="901"/>
      <c r="AHM526" s="901"/>
      <c r="AHN526" s="901"/>
      <c r="AHO526" s="901"/>
      <c r="AHP526" s="901"/>
      <c r="AHQ526" s="901"/>
      <c r="AHR526" s="901"/>
      <c r="AHS526" s="901"/>
      <c r="AHT526" s="901"/>
      <c r="AHU526" s="901"/>
      <c r="AHV526" s="901"/>
      <c r="AHW526" s="901"/>
      <c r="AHX526" s="901"/>
      <c r="AHY526" s="901"/>
      <c r="AHZ526" s="901"/>
      <c r="AIA526" s="901"/>
      <c r="AIB526" s="901"/>
      <c r="AIC526" s="901"/>
      <c r="AID526" s="901"/>
      <c r="AIE526" s="901"/>
      <c r="AIF526" s="901"/>
      <c r="AIG526" s="901"/>
      <c r="AIH526" s="901"/>
      <c r="AII526" s="901"/>
      <c r="AIJ526" s="901"/>
      <c r="AIK526" s="901"/>
      <c r="AIL526" s="901"/>
      <c r="AIM526" s="901"/>
      <c r="AIN526" s="901"/>
      <c r="AIO526" s="901"/>
      <c r="AIP526" s="901"/>
      <c r="AIQ526" s="901"/>
      <c r="AIR526" s="901"/>
      <c r="AIS526" s="901"/>
      <c r="AIT526" s="901"/>
      <c r="AIU526" s="901"/>
      <c r="AIV526" s="901"/>
      <c r="AIW526" s="901"/>
      <c r="AIX526" s="901"/>
      <c r="AIY526" s="901"/>
      <c r="AIZ526" s="901"/>
      <c r="AJA526" s="901"/>
      <c r="AJB526" s="901"/>
      <c r="AJC526" s="901"/>
      <c r="AJD526" s="901"/>
      <c r="AJE526" s="901"/>
      <c r="AJF526" s="901"/>
      <c r="AJG526" s="901"/>
      <c r="AJH526" s="901"/>
      <c r="AJI526" s="901"/>
      <c r="AJJ526" s="901"/>
      <c r="AJK526" s="901"/>
      <c r="AJL526" s="901"/>
      <c r="AJM526" s="901"/>
      <c r="AJN526" s="901"/>
      <c r="AJO526" s="901"/>
      <c r="AJP526" s="901"/>
      <c r="AJQ526" s="901"/>
      <c r="AJR526" s="901"/>
      <c r="AJS526" s="901"/>
      <c r="AJT526" s="901"/>
      <c r="AJU526" s="901"/>
      <c r="AJV526" s="901"/>
      <c r="AJW526" s="901"/>
      <c r="AJX526" s="901"/>
      <c r="AJY526" s="901"/>
      <c r="AJZ526" s="901"/>
      <c r="AKA526" s="901"/>
      <c r="AKB526" s="901"/>
      <c r="AKC526" s="901"/>
      <c r="AKD526" s="901"/>
      <c r="AKE526" s="901"/>
      <c r="AKF526" s="901"/>
      <c r="AKG526" s="901"/>
      <c r="AKH526" s="901"/>
      <c r="AKI526" s="901"/>
      <c r="AKJ526" s="901"/>
      <c r="AKK526" s="901"/>
      <c r="AKL526" s="901"/>
      <c r="AKM526" s="901"/>
      <c r="AKN526" s="901"/>
      <c r="AKO526" s="901"/>
      <c r="AKP526" s="901"/>
      <c r="AKQ526" s="901"/>
      <c r="AKR526" s="901"/>
      <c r="AKS526" s="901"/>
      <c r="AKT526" s="901"/>
      <c r="AKU526" s="901"/>
      <c r="AKV526" s="901"/>
      <c r="AKW526" s="901"/>
      <c r="AKX526" s="901"/>
      <c r="AKY526" s="901"/>
      <c r="AKZ526" s="901"/>
      <c r="ALA526" s="901"/>
      <c r="ALB526" s="901"/>
      <c r="ALC526" s="901"/>
      <c r="ALD526" s="901"/>
      <c r="ALE526" s="901"/>
      <c r="ALF526" s="901"/>
      <c r="ALG526" s="901"/>
      <c r="ALH526" s="901"/>
      <c r="ALI526" s="901"/>
      <c r="ALJ526" s="901"/>
      <c r="ALK526" s="901"/>
      <c r="ALL526" s="901"/>
      <c r="ALM526" s="901"/>
      <c r="ALN526" s="901"/>
      <c r="ALO526" s="901"/>
      <c r="ALP526" s="901"/>
      <c r="ALQ526" s="901"/>
      <c r="ALR526" s="901"/>
      <c r="ALS526" s="901"/>
      <c r="ALT526" s="901"/>
      <c r="ALU526" s="901"/>
      <c r="ALV526" s="901"/>
      <c r="ALW526" s="901"/>
      <c r="ALX526" s="901"/>
      <c r="ALY526" s="901"/>
      <c r="ALZ526" s="901"/>
      <c r="AMA526" s="901"/>
      <c r="AMB526" s="901"/>
      <c r="AMC526" s="901"/>
      <c r="AMD526" s="901"/>
      <c r="AME526" s="901"/>
      <c r="AMF526" s="901"/>
      <c r="AMG526" s="901"/>
      <c r="AMH526" s="901"/>
      <c r="AMI526" s="901"/>
      <c r="AMJ526" s="901"/>
      <c r="AMK526" s="901"/>
      <c r="AML526" s="901"/>
      <c r="AMM526" s="901"/>
      <c r="AMN526" s="901"/>
      <c r="AMO526" s="901"/>
      <c r="AMP526" s="901"/>
      <c r="AMQ526" s="901"/>
      <c r="AMR526" s="901"/>
      <c r="AMS526" s="901"/>
      <c r="AMT526" s="901"/>
      <c r="AMU526" s="901"/>
      <c r="AMV526" s="901"/>
      <c r="AMW526" s="901"/>
      <c r="AMX526" s="901"/>
      <c r="AMY526" s="901"/>
      <c r="AMZ526" s="901"/>
      <c r="ANA526" s="901"/>
      <c r="ANB526" s="901"/>
      <c r="ANC526" s="901"/>
      <c r="AND526" s="901"/>
      <c r="ANE526" s="901"/>
      <c r="ANF526" s="901"/>
      <c r="ANG526" s="901"/>
      <c r="ANH526" s="901"/>
      <c r="ANI526" s="901"/>
      <c r="ANJ526" s="901"/>
      <c r="ANK526" s="901"/>
      <c r="ANL526" s="901"/>
      <c r="ANM526" s="901"/>
      <c r="ANN526" s="901"/>
      <c r="ANO526" s="901"/>
      <c r="ANP526" s="901"/>
      <c r="ANQ526" s="901"/>
      <c r="ANR526" s="901"/>
      <c r="ANS526" s="901"/>
      <c r="ANT526" s="901"/>
      <c r="ANU526" s="901"/>
      <c r="ANV526" s="901"/>
      <c r="ANW526" s="901"/>
      <c r="ANX526" s="901"/>
      <c r="ANY526" s="901"/>
      <c r="ANZ526" s="901"/>
      <c r="AOA526" s="901"/>
      <c r="AOB526" s="901"/>
      <c r="AOC526" s="901"/>
      <c r="AOD526" s="901"/>
      <c r="AOE526" s="901"/>
      <c r="AOF526" s="901"/>
      <c r="AOG526" s="901"/>
      <c r="AOH526" s="901"/>
      <c r="AOI526" s="901"/>
      <c r="AOJ526" s="901"/>
      <c r="AOK526" s="901"/>
      <c r="AOL526" s="901"/>
      <c r="AOM526" s="901"/>
      <c r="AON526" s="901"/>
      <c r="AOO526" s="901"/>
      <c r="AOP526" s="901"/>
      <c r="AOQ526" s="901"/>
      <c r="AOR526" s="901"/>
      <c r="AOS526" s="901"/>
      <c r="AOT526" s="901"/>
      <c r="AOU526" s="901"/>
      <c r="AOV526" s="901"/>
      <c r="AOW526" s="901"/>
      <c r="AOX526" s="901"/>
      <c r="AOY526" s="901"/>
      <c r="AOZ526" s="901"/>
      <c r="APA526" s="901"/>
      <c r="APB526" s="901"/>
      <c r="APC526" s="901"/>
      <c r="APD526" s="901"/>
      <c r="APE526" s="901"/>
      <c r="APF526" s="901"/>
      <c r="APG526" s="901"/>
      <c r="APH526" s="901"/>
      <c r="API526" s="901"/>
      <c r="APJ526" s="901"/>
      <c r="APK526" s="901"/>
      <c r="APL526" s="901"/>
      <c r="APM526" s="901"/>
      <c r="APN526" s="901"/>
      <c r="APO526" s="901"/>
      <c r="APP526" s="901"/>
      <c r="APQ526" s="901"/>
      <c r="APR526" s="901"/>
      <c r="APS526" s="901"/>
      <c r="APT526" s="901"/>
      <c r="APU526" s="901"/>
      <c r="APV526" s="901"/>
      <c r="APW526" s="901"/>
      <c r="APX526" s="901"/>
      <c r="APY526" s="901"/>
      <c r="APZ526" s="901"/>
      <c r="AQA526" s="901"/>
      <c r="AQB526" s="901"/>
      <c r="AQC526" s="901"/>
      <c r="AQD526" s="901"/>
      <c r="AQE526" s="901"/>
      <c r="AQF526" s="901"/>
      <c r="AQG526" s="901"/>
      <c r="AQH526" s="901"/>
      <c r="AQI526" s="901"/>
      <c r="AQJ526" s="901"/>
      <c r="AQK526" s="901"/>
      <c r="AQL526" s="901"/>
      <c r="AQM526" s="901"/>
      <c r="AQN526" s="901"/>
      <c r="AQO526" s="901"/>
      <c r="AQP526" s="901"/>
      <c r="AQQ526" s="901"/>
      <c r="AQR526" s="901"/>
      <c r="AQS526" s="901"/>
      <c r="AQT526" s="901"/>
      <c r="AQU526" s="901"/>
      <c r="AQV526" s="901"/>
      <c r="AQW526" s="901"/>
      <c r="AQX526" s="901"/>
      <c r="AQY526" s="901"/>
      <c r="AQZ526" s="901"/>
      <c r="ARA526" s="901"/>
      <c r="ARB526" s="901"/>
      <c r="ARC526" s="901"/>
      <c r="ARD526" s="901"/>
      <c r="ARE526" s="901"/>
      <c r="ARF526" s="901"/>
      <c r="ARG526" s="901"/>
      <c r="ARH526" s="901"/>
      <c r="ARI526" s="901"/>
      <c r="ARJ526" s="901"/>
      <c r="ARK526" s="901"/>
      <c r="ARL526" s="901"/>
      <c r="ARM526" s="901"/>
      <c r="ARN526" s="901"/>
      <c r="ARO526" s="901"/>
      <c r="ARP526" s="901"/>
      <c r="ARQ526" s="901"/>
      <c r="ARR526" s="901"/>
      <c r="ARS526" s="901"/>
      <c r="ART526" s="901"/>
      <c r="ARU526" s="901"/>
      <c r="ARV526" s="901"/>
      <c r="ARW526" s="901"/>
      <c r="ARX526" s="901"/>
      <c r="ARY526" s="901"/>
      <c r="ARZ526" s="901"/>
      <c r="ASA526" s="901"/>
      <c r="ASB526" s="901"/>
      <c r="ASC526" s="901"/>
      <c r="ASD526" s="901"/>
      <c r="ASE526" s="901"/>
      <c r="ASF526" s="901"/>
      <c r="ASG526" s="901"/>
      <c r="ASH526" s="901"/>
      <c r="ASI526" s="901"/>
      <c r="ASJ526" s="901"/>
      <c r="ASK526" s="901"/>
      <c r="ASL526" s="901"/>
      <c r="ASM526" s="901"/>
      <c r="ASN526" s="901"/>
      <c r="ASO526" s="901"/>
      <c r="ASP526" s="901"/>
      <c r="ASQ526" s="901"/>
      <c r="ASR526" s="901"/>
      <c r="ASS526" s="901"/>
      <c r="AST526" s="901"/>
      <c r="ASU526" s="901"/>
      <c r="ASV526" s="901"/>
      <c r="ASW526" s="901"/>
      <c r="ASX526" s="901"/>
      <c r="ASY526" s="901"/>
      <c r="ASZ526" s="901"/>
      <c r="ATA526" s="901"/>
      <c r="ATB526" s="901"/>
      <c r="ATC526" s="901"/>
      <c r="ATD526" s="901"/>
      <c r="ATE526" s="901"/>
      <c r="ATF526" s="901"/>
      <c r="ATG526" s="901"/>
      <c r="ATH526" s="901"/>
      <c r="ATI526" s="901"/>
      <c r="ATJ526" s="901"/>
      <c r="ATK526" s="901"/>
      <c r="ATL526" s="901"/>
      <c r="ATM526" s="901"/>
      <c r="ATN526" s="901"/>
      <c r="ATO526" s="901"/>
      <c r="ATP526" s="901"/>
      <c r="ATQ526" s="901"/>
      <c r="ATR526" s="901"/>
      <c r="ATS526" s="901"/>
      <c r="ATT526" s="901"/>
      <c r="ATU526" s="901"/>
      <c r="ATV526" s="901"/>
      <c r="ATW526" s="901"/>
      <c r="ATX526" s="901"/>
      <c r="ATY526" s="901"/>
      <c r="ATZ526" s="901"/>
      <c r="AUA526" s="901"/>
      <c r="AUB526" s="901"/>
      <c r="AUC526" s="901"/>
      <c r="AUD526" s="901"/>
      <c r="AUE526" s="901"/>
      <c r="AUF526" s="901"/>
      <c r="AUG526" s="901"/>
      <c r="AUH526" s="901"/>
      <c r="AUI526" s="901"/>
      <c r="AUJ526" s="901"/>
      <c r="AUK526" s="901"/>
      <c r="AUL526" s="901"/>
      <c r="AUM526" s="901"/>
      <c r="AUN526" s="901"/>
      <c r="AUO526" s="901"/>
      <c r="AUP526" s="901"/>
      <c r="AUQ526" s="901"/>
      <c r="AUR526" s="901"/>
      <c r="AUS526" s="901"/>
      <c r="AUT526" s="901"/>
      <c r="AUU526" s="901"/>
      <c r="AUV526" s="901"/>
      <c r="AUW526" s="901"/>
      <c r="AUX526" s="901"/>
      <c r="AUY526" s="901"/>
      <c r="AUZ526" s="901"/>
      <c r="AVA526" s="901"/>
      <c r="AVB526" s="901"/>
      <c r="AVC526" s="901"/>
      <c r="AVD526" s="901"/>
      <c r="AVE526" s="901"/>
      <c r="AVF526" s="901"/>
      <c r="AVG526" s="901"/>
      <c r="AVH526" s="901"/>
      <c r="AVI526" s="901"/>
      <c r="AVJ526" s="901"/>
      <c r="AVK526" s="901"/>
      <c r="AVL526" s="901"/>
      <c r="AVM526" s="901"/>
      <c r="AVN526" s="901"/>
      <c r="AVO526" s="901"/>
      <c r="AVP526" s="901"/>
      <c r="AVQ526" s="901"/>
      <c r="AVR526" s="901"/>
      <c r="AVS526" s="901"/>
      <c r="AVT526" s="901"/>
      <c r="AVU526" s="901"/>
      <c r="AVV526" s="901"/>
      <c r="AVW526" s="901"/>
      <c r="AVX526" s="901"/>
      <c r="AVY526" s="901"/>
      <c r="AVZ526" s="901"/>
      <c r="AWA526" s="901"/>
      <c r="AWB526" s="901"/>
      <c r="AWC526" s="901"/>
      <c r="AWD526" s="901"/>
      <c r="AWE526" s="901"/>
      <c r="AWF526" s="901"/>
      <c r="AWG526" s="901"/>
      <c r="AWH526" s="901"/>
      <c r="AWI526" s="901"/>
      <c r="AWJ526" s="901"/>
      <c r="AWK526" s="901"/>
      <c r="AWL526" s="901"/>
      <c r="AWM526" s="901"/>
      <c r="AWN526" s="901"/>
      <c r="AWO526" s="901"/>
      <c r="AWP526" s="901"/>
      <c r="AWQ526" s="901"/>
      <c r="AWR526" s="901"/>
      <c r="AWS526" s="901"/>
      <c r="AWT526" s="901"/>
      <c r="AWU526" s="901"/>
      <c r="AWV526" s="901"/>
      <c r="AWW526" s="901"/>
      <c r="AWX526" s="901"/>
      <c r="AWY526" s="901"/>
      <c r="AWZ526" s="901"/>
      <c r="AXA526" s="901"/>
      <c r="AXB526" s="901"/>
      <c r="AXC526" s="901"/>
      <c r="AXD526" s="901"/>
      <c r="AXE526" s="901"/>
      <c r="AXF526" s="901"/>
      <c r="AXG526" s="901"/>
      <c r="AXH526" s="901"/>
      <c r="AXI526" s="901"/>
      <c r="AXJ526" s="901"/>
      <c r="AXK526" s="901"/>
      <c r="AXL526" s="901"/>
      <c r="AXM526" s="901"/>
      <c r="AXN526" s="901"/>
      <c r="AXO526" s="901"/>
      <c r="AXP526" s="901"/>
      <c r="AXQ526" s="901"/>
      <c r="AXR526" s="901"/>
      <c r="AXS526" s="901"/>
      <c r="AXT526" s="901"/>
      <c r="AXU526" s="901"/>
      <c r="AXV526" s="901"/>
      <c r="AXW526" s="901"/>
      <c r="AXX526" s="901"/>
      <c r="AXY526" s="901"/>
      <c r="AXZ526" s="901"/>
      <c r="AYA526" s="901"/>
      <c r="AYB526" s="901"/>
      <c r="AYC526" s="901"/>
      <c r="AYD526" s="901"/>
      <c r="AYE526" s="901"/>
      <c r="AYF526" s="901"/>
      <c r="AYG526" s="901"/>
      <c r="AYH526" s="901"/>
      <c r="AYI526" s="901"/>
      <c r="AYJ526" s="901"/>
      <c r="AYK526" s="901"/>
      <c r="AYL526" s="901"/>
      <c r="AYM526" s="901"/>
      <c r="AYN526" s="901"/>
      <c r="AYO526" s="901"/>
      <c r="AYP526" s="901"/>
      <c r="AYQ526" s="901"/>
      <c r="AYR526" s="901"/>
      <c r="AYS526" s="901"/>
      <c r="AYT526" s="901"/>
      <c r="AYU526" s="901"/>
      <c r="AYV526" s="901"/>
      <c r="AYW526" s="901"/>
      <c r="AYX526" s="901"/>
      <c r="AYY526" s="901"/>
      <c r="AYZ526" s="901"/>
      <c r="AZA526" s="901"/>
      <c r="AZB526" s="901"/>
      <c r="AZC526" s="901"/>
      <c r="AZD526" s="901"/>
      <c r="AZE526" s="901"/>
      <c r="AZF526" s="901"/>
      <c r="AZG526" s="901"/>
      <c r="AZH526" s="901"/>
      <c r="AZI526" s="901"/>
      <c r="AZJ526" s="901"/>
      <c r="AZK526" s="901"/>
      <c r="AZL526" s="901"/>
      <c r="AZM526" s="901"/>
      <c r="AZN526" s="901"/>
      <c r="AZO526" s="901"/>
      <c r="AZP526" s="901"/>
      <c r="AZQ526" s="901"/>
      <c r="AZR526" s="901"/>
      <c r="AZS526" s="901"/>
      <c r="AZT526" s="901"/>
      <c r="AZU526" s="901"/>
      <c r="AZV526" s="901"/>
      <c r="AZW526" s="901"/>
      <c r="AZX526" s="901"/>
      <c r="AZY526" s="901"/>
      <c r="AZZ526" s="901"/>
      <c r="BAA526" s="901"/>
      <c r="BAB526" s="901"/>
      <c r="BAC526" s="901"/>
      <c r="BAD526" s="901"/>
      <c r="BAE526" s="901"/>
      <c r="BAF526" s="901"/>
      <c r="BAG526" s="901"/>
      <c r="BAH526" s="901"/>
      <c r="BAI526" s="901"/>
      <c r="BAJ526" s="901"/>
      <c r="BAK526" s="901"/>
      <c r="BAL526" s="901"/>
      <c r="BAM526" s="901"/>
      <c r="BAN526" s="901"/>
      <c r="BAO526" s="901"/>
      <c r="BAP526" s="901"/>
      <c r="BAQ526" s="901"/>
      <c r="BAR526" s="901"/>
      <c r="BAS526" s="901"/>
      <c r="BAT526" s="901"/>
      <c r="BAU526" s="901"/>
      <c r="BAV526" s="901"/>
      <c r="BAW526" s="901"/>
      <c r="BAX526" s="901"/>
      <c r="BAY526" s="901"/>
      <c r="BAZ526" s="901"/>
      <c r="BBA526" s="901"/>
      <c r="BBB526" s="901"/>
      <c r="BBC526" s="901"/>
      <c r="BBD526" s="901"/>
      <c r="BBE526" s="901"/>
      <c r="BBF526" s="901"/>
      <c r="BBG526" s="901"/>
      <c r="BBH526" s="901"/>
      <c r="BBI526" s="901"/>
      <c r="BBJ526" s="901"/>
      <c r="BBK526" s="901"/>
      <c r="BBL526" s="901"/>
      <c r="BBM526" s="901"/>
      <c r="BBN526" s="901"/>
      <c r="BBO526" s="901"/>
      <c r="BBP526" s="901"/>
      <c r="BBQ526" s="901"/>
      <c r="BBR526" s="901"/>
      <c r="BBS526" s="901"/>
      <c r="BBT526" s="901"/>
      <c r="BBU526" s="901"/>
      <c r="BBV526" s="901"/>
      <c r="BBW526" s="901"/>
      <c r="BBX526" s="901"/>
      <c r="BBY526" s="901"/>
      <c r="BBZ526" s="901"/>
      <c r="BCA526" s="901"/>
      <c r="BCB526" s="901"/>
      <c r="BCC526" s="901"/>
      <c r="BCD526" s="901"/>
      <c r="BCE526" s="901"/>
      <c r="BCF526" s="901"/>
      <c r="BCG526" s="901"/>
      <c r="BCH526" s="901"/>
      <c r="BCI526" s="901"/>
      <c r="BCJ526" s="901"/>
      <c r="BCK526" s="901"/>
      <c r="BCL526" s="901"/>
      <c r="BCM526" s="901"/>
      <c r="BCN526" s="901"/>
      <c r="BCO526" s="901"/>
      <c r="BCP526" s="901"/>
      <c r="BCQ526" s="901"/>
      <c r="BCR526" s="901"/>
      <c r="BCS526" s="901"/>
      <c r="BCT526" s="901"/>
      <c r="BCU526" s="901"/>
      <c r="BCV526" s="901"/>
      <c r="BCW526" s="901"/>
      <c r="BCX526" s="901"/>
      <c r="BCY526" s="901"/>
      <c r="BCZ526" s="901"/>
      <c r="BDA526" s="901"/>
      <c r="BDB526" s="901"/>
      <c r="BDC526" s="901"/>
      <c r="BDD526" s="901"/>
      <c r="BDE526" s="901"/>
      <c r="BDF526" s="901"/>
      <c r="BDG526" s="901"/>
      <c r="BDH526" s="901"/>
      <c r="BDI526" s="901"/>
      <c r="BDJ526" s="901"/>
      <c r="BDK526" s="901"/>
      <c r="BDL526" s="901"/>
      <c r="BDM526" s="901"/>
      <c r="BDN526" s="901"/>
      <c r="BDO526" s="901"/>
      <c r="BDP526" s="901"/>
      <c r="BDQ526" s="901"/>
      <c r="BDR526" s="901"/>
      <c r="BDS526" s="901"/>
      <c r="BDT526" s="901"/>
      <c r="BDU526" s="901"/>
      <c r="BDV526" s="901"/>
      <c r="BDW526" s="901"/>
      <c r="BDX526" s="901"/>
      <c r="BDY526" s="901"/>
      <c r="BDZ526" s="901"/>
      <c r="BEA526" s="901"/>
      <c r="BEB526" s="901"/>
      <c r="BEC526" s="901"/>
      <c r="BED526" s="901"/>
      <c r="BEE526" s="901"/>
      <c r="BEF526" s="901"/>
      <c r="BEG526" s="901"/>
      <c r="BEH526" s="901"/>
      <c r="BEI526" s="901"/>
      <c r="BEJ526" s="901"/>
      <c r="BEK526" s="901"/>
      <c r="BEL526" s="901"/>
      <c r="BEM526" s="901"/>
      <c r="BEN526" s="901"/>
      <c r="BEO526" s="901"/>
      <c r="BEP526" s="901"/>
      <c r="BEQ526" s="901"/>
      <c r="BER526" s="901"/>
      <c r="BES526" s="901"/>
      <c r="BET526" s="901"/>
      <c r="BEU526" s="901"/>
      <c r="BEV526" s="901"/>
      <c r="BEW526" s="901"/>
      <c r="BEX526" s="901"/>
      <c r="BEY526" s="901"/>
      <c r="BEZ526" s="901"/>
      <c r="BFA526" s="901"/>
      <c r="BFB526" s="901"/>
      <c r="BFC526" s="901"/>
      <c r="BFD526" s="901"/>
      <c r="BFE526" s="901"/>
      <c r="BFF526" s="901"/>
      <c r="BFG526" s="901"/>
      <c r="BFH526" s="901"/>
      <c r="BFI526" s="901"/>
      <c r="BFJ526" s="901"/>
      <c r="BFK526" s="901"/>
      <c r="BFL526" s="901"/>
      <c r="BFM526" s="901"/>
      <c r="BFN526" s="901"/>
      <c r="BFO526" s="901"/>
      <c r="BFP526" s="901"/>
      <c r="BFQ526" s="901"/>
      <c r="BFR526" s="901"/>
      <c r="BFS526" s="901"/>
      <c r="BFT526" s="901"/>
      <c r="BFU526" s="901"/>
      <c r="BFV526" s="901"/>
      <c r="BFW526" s="901"/>
      <c r="BFX526" s="901"/>
      <c r="BFY526" s="901"/>
      <c r="BFZ526" s="901"/>
      <c r="BGA526" s="901"/>
      <c r="BGB526" s="901"/>
      <c r="BGC526" s="901"/>
      <c r="BGD526" s="901"/>
      <c r="BGE526" s="901"/>
      <c r="BGF526" s="901"/>
      <c r="BGG526" s="901"/>
      <c r="BGH526" s="901"/>
      <c r="BGI526" s="901"/>
      <c r="BGJ526" s="901"/>
      <c r="BGK526" s="901"/>
      <c r="BGL526" s="901"/>
      <c r="BGM526" s="901"/>
      <c r="BGN526" s="901"/>
      <c r="BGO526" s="901"/>
      <c r="BGP526" s="901"/>
      <c r="BGQ526" s="901"/>
      <c r="BGR526" s="901"/>
      <c r="BGS526" s="901"/>
      <c r="BGT526" s="901"/>
      <c r="BGU526" s="901"/>
      <c r="BGV526" s="901"/>
      <c r="BGW526" s="901"/>
      <c r="BGX526" s="901"/>
      <c r="BGY526" s="901"/>
      <c r="BGZ526" s="901"/>
      <c r="BHA526" s="901"/>
      <c r="BHB526" s="901"/>
      <c r="BHC526" s="901"/>
      <c r="BHD526" s="901"/>
      <c r="BHE526" s="901"/>
      <c r="BHF526" s="901"/>
      <c r="BHG526" s="901"/>
      <c r="BHH526" s="901"/>
      <c r="BHI526" s="901"/>
      <c r="BHJ526" s="901"/>
      <c r="BHK526" s="901"/>
      <c r="BHL526" s="901"/>
      <c r="BHM526" s="901"/>
      <c r="BHN526" s="901"/>
      <c r="BHO526" s="901"/>
      <c r="BHP526" s="901"/>
      <c r="BHQ526" s="901"/>
      <c r="BHR526" s="901"/>
      <c r="BHS526" s="901"/>
      <c r="BHT526" s="901"/>
      <c r="BHU526" s="901"/>
      <c r="BHV526" s="901"/>
      <c r="BHW526" s="901"/>
      <c r="BHX526" s="901"/>
      <c r="BHY526" s="901"/>
      <c r="BHZ526" s="901"/>
      <c r="BIA526" s="901"/>
      <c r="BIB526" s="901"/>
      <c r="BIC526" s="901"/>
      <c r="BID526" s="901"/>
      <c r="BIE526" s="901"/>
      <c r="BIF526" s="901"/>
      <c r="BIG526" s="901"/>
      <c r="BIH526" s="901"/>
      <c r="BII526" s="901"/>
      <c r="BIJ526" s="901"/>
      <c r="BIK526" s="901"/>
      <c r="BIL526" s="901"/>
      <c r="BIM526" s="901"/>
      <c r="BIN526" s="901"/>
      <c r="BIO526" s="901"/>
      <c r="BIP526" s="901"/>
      <c r="BIQ526" s="901"/>
      <c r="BIR526" s="901"/>
      <c r="BIS526" s="901"/>
      <c r="BIT526" s="901"/>
      <c r="BIU526" s="901"/>
      <c r="BIV526" s="901"/>
      <c r="BIW526" s="901"/>
      <c r="BIX526" s="901"/>
      <c r="BIY526" s="901"/>
      <c r="BIZ526" s="901"/>
      <c r="BJA526" s="901"/>
      <c r="BJB526" s="901"/>
      <c r="BJC526" s="901"/>
      <c r="BJD526" s="901"/>
      <c r="BJE526" s="901"/>
      <c r="BJF526" s="901"/>
      <c r="BJG526" s="901"/>
      <c r="BJH526" s="901"/>
      <c r="BJI526" s="901"/>
      <c r="BJJ526" s="901"/>
      <c r="BJK526" s="901"/>
      <c r="BJL526" s="901"/>
      <c r="BJM526" s="901"/>
      <c r="BJN526" s="901"/>
      <c r="BJO526" s="901"/>
      <c r="BJP526" s="901"/>
      <c r="BJQ526" s="901"/>
      <c r="BJR526" s="901"/>
      <c r="BJS526" s="901"/>
      <c r="BJT526" s="901"/>
      <c r="BJU526" s="901"/>
      <c r="BJV526" s="901"/>
      <c r="BJW526" s="901"/>
      <c r="BJX526" s="901"/>
      <c r="BJY526" s="901"/>
      <c r="BJZ526" s="901"/>
      <c r="BKA526" s="901"/>
      <c r="BKB526" s="901"/>
      <c r="BKC526" s="901"/>
      <c r="BKD526" s="901"/>
      <c r="BKE526" s="901"/>
      <c r="BKF526" s="901"/>
      <c r="BKG526" s="901"/>
      <c r="BKH526" s="901"/>
      <c r="BKI526" s="901"/>
      <c r="BKJ526" s="901"/>
      <c r="BKK526" s="901"/>
      <c r="BKL526" s="901"/>
      <c r="BKM526" s="901"/>
      <c r="BKN526" s="901"/>
      <c r="BKO526" s="901"/>
      <c r="BKP526" s="901"/>
      <c r="BKQ526" s="901"/>
      <c r="BKR526" s="901"/>
      <c r="BKS526" s="901"/>
      <c r="BKT526" s="901"/>
      <c r="BKU526" s="901"/>
      <c r="BKV526" s="901"/>
      <c r="BKW526" s="901"/>
      <c r="BKX526" s="901"/>
      <c r="BKY526" s="901"/>
      <c r="BKZ526" s="901"/>
      <c r="BLA526" s="901"/>
      <c r="BLB526" s="901"/>
      <c r="BLC526" s="901"/>
      <c r="BLD526" s="901"/>
      <c r="BLE526" s="901"/>
      <c r="BLF526" s="901"/>
      <c r="BLG526" s="901"/>
      <c r="BLH526" s="901"/>
      <c r="BLI526" s="901"/>
      <c r="BLJ526" s="901"/>
      <c r="BLK526" s="901"/>
      <c r="BLL526" s="901"/>
      <c r="BLM526" s="901"/>
      <c r="BLN526" s="901"/>
      <c r="BLO526" s="901"/>
      <c r="BLP526" s="901"/>
      <c r="BLQ526" s="901"/>
      <c r="BLR526" s="901"/>
      <c r="BLS526" s="901"/>
      <c r="BLT526" s="901"/>
      <c r="BLU526" s="901"/>
      <c r="BLV526" s="901"/>
      <c r="BLW526" s="901"/>
      <c r="BLX526" s="901"/>
      <c r="BLY526" s="901"/>
      <c r="BLZ526" s="901"/>
      <c r="BMA526" s="901"/>
      <c r="BMB526" s="901"/>
      <c r="BMC526" s="901"/>
      <c r="BMD526" s="901"/>
      <c r="BME526" s="901"/>
      <c r="BMF526" s="901"/>
      <c r="BMG526" s="901"/>
      <c r="BMH526" s="901"/>
      <c r="BMI526" s="901"/>
      <c r="BMJ526" s="901"/>
      <c r="BMK526" s="901"/>
      <c r="BML526" s="901"/>
      <c r="BMM526" s="901"/>
      <c r="BMN526" s="901"/>
      <c r="BMO526" s="901"/>
      <c r="BMP526" s="901"/>
      <c r="BMQ526" s="901"/>
      <c r="BMR526" s="901"/>
      <c r="BMS526" s="901"/>
      <c r="BMT526" s="901"/>
      <c r="BMU526" s="901"/>
      <c r="BMV526" s="901"/>
      <c r="BMW526" s="901"/>
      <c r="BMX526" s="901"/>
      <c r="BMY526" s="901"/>
      <c r="BMZ526" s="901"/>
      <c r="BNA526" s="901"/>
      <c r="BNB526" s="901"/>
      <c r="BNC526" s="901"/>
      <c r="BND526" s="901"/>
      <c r="BNE526" s="901"/>
      <c r="BNF526" s="901"/>
      <c r="BNG526" s="901"/>
      <c r="BNH526" s="901"/>
      <c r="BNI526" s="901"/>
      <c r="BNJ526" s="901"/>
      <c r="BNK526" s="901"/>
      <c r="BNL526" s="901"/>
      <c r="BNM526" s="901"/>
      <c r="BNN526" s="901"/>
      <c r="BNO526" s="901"/>
      <c r="BNP526" s="901"/>
      <c r="BNQ526" s="901"/>
      <c r="BNR526" s="901"/>
      <c r="BNS526" s="901"/>
      <c r="BNT526" s="901"/>
      <c r="BNU526" s="901"/>
      <c r="BNV526" s="901"/>
      <c r="BNW526" s="901"/>
      <c r="BNX526" s="901"/>
      <c r="BNY526" s="901"/>
      <c r="BNZ526" s="901"/>
      <c r="BOA526" s="901"/>
      <c r="BOB526" s="901"/>
      <c r="BOC526" s="901"/>
      <c r="BOD526" s="901"/>
      <c r="BOE526" s="901"/>
      <c r="BOF526" s="901"/>
      <c r="BOG526" s="901"/>
      <c r="BOH526" s="901"/>
      <c r="BOI526" s="901"/>
      <c r="BOJ526" s="901"/>
      <c r="BOK526" s="901"/>
      <c r="BOL526" s="901"/>
      <c r="BOM526" s="901"/>
      <c r="BON526" s="901"/>
      <c r="BOO526" s="901"/>
      <c r="BOP526" s="901"/>
      <c r="BOQ526" s="901"/>
      <c r="BOR526" s="901"/>
      <c r="BOS526" s="901"/>
      <c r="BOT526" s="901"/>
      <c r="BOU526" s="901"/>
      <c r="BOV526" s="901"/>
      <c r="BOW526" s="901"/>
      <c r="BOX526" s="901"/>
      <c r="BOY526" s="901"/>
      <c r="BOZ526" s="901"/>
      <c r="BPA526" s="901"/>
      <c r="BPB526" s="901"/>
      <c r="BPC526" s="901"/>
      <c r="BPD526" s="901"/>
      <c r="BPE526" s="901"/>
      <c r="BPF526" s="901"/>
      <c r="BPG526" s="901"/>
      <c r="BPH526" s="901"/>
      <c r="BPI526" s="901"/>
      <c r="BPJ526" s="901"/>
      <c r="BPK526" s="901"/>
      <c r="BPL526" s="901"/>
      <c r="BPM526" s="901"/>
      <c r="BPN526" s="901"/>
      <c r="BPO526" s="901"/>
      <c r="BPP526" s="901"/>
      <c r="BPQ526" s="901"/>
      <c r="BPR526" s="901"/>
      <c r="BPS526" s="901"/>
      <c r="BPT526" s="901"/>
      <c r="BPU526" s="901"/>
      <c r="BPV526" s="901"/>
      <c r="BPW526" s="901"/>
      <c r="BPX526" s="901"/>
      <c r="BPY526" s="901"/>
      <c r="BPZ526" s="901"/>
      <c r="BQA526" s="901"/>
      <c r="BQB526" s="901"/>
      <c r="BQC526" s="901"/>
      <c r="BQD526" s="901"/>
      <c r="BQE526" s="901"/>
      <c r="BQF526" s="901"/>
      <c r="BQG526" s="901"/>
      <c r="BQH526" s="901"/>
      <c r="BQI526" s="901"/>
      <c r="BQJ526" s="901"/>
      <c r="BQK526" s="901"/>
      <c r="BQL526" s="901"/>
      <c r="BQM526" s="901"/>
      <c r="BQN526" s="901"/>
      <c r="BQO526" s="901"/>
      <c r="BQP526" s="901"/>
      <c r="BQQ526" s="901"/>
      <c r="BQR526" s="901"/>
      <c r="BQS526" s="901"/>
      <c r="BQT526" s="901"/>
      <c r="BQU526" s="901"/>
      <c r="BQV526" s="901"/>
      <c r="BQW526" s="901"/>
      <c r="BQX526" s="901"/>
      <c r="BQY526" s="901"/>
      <c r="BQZ526" s="901"/>
      <c r="BRA526" s="901"/>
      <c r="BRB526" s="901"/>
      <c r="BRC526" s="901"/>
      <c r="BRD526" s="901"/>
      <c r="BRE526" s="901"/>
      <c r="BRF526" s="901"/>
      <c r="BRG526" s="901"/>
      <c r="BRH526" s="901"/>
      <c r="BRI526" s="901"/>
      <c r="BRJ526" s="901"/>
      <c r="BRK526" s="901"/>
      <c r="BRL526" s="901"/>
      <c r="BRM526" s="901"/>
      <c r="BRN526" s="901"/>
      <c r="BRO526" s="901"/>
      <c r="BRP526" s="901"/>
      <c r="BRQ526" s="901"/>
      <c r="BRR526" s="901"/>
      <c r="BRS526" s="901"/>
      <c r="BRT526" s="901"/>
      <c r="BRU526" s="901"/>
      <c r="BRV526" s="901"/>
      <c r="BRW526" s="901"/>
      <c r="BRX526" s="901"/>
      <c r="BRY526" s="901"/>
      <c r="BRZ526" s="901"/>
      <c r="BSA526" s="901"/>
      <c r="BSB526" s="901"/>
      <c r="BSC526" s="901"/>
      <c r="BSD526" s="901"/>
      <c r="BSE526" s="901"/>
      <c r="BSF526" s="901"/>
      <c r="BSG526" s="901"/>
      <c r="BSH526" s="901"/>
      <c r="BSI526" s="901"/>
      <c r="BSJ526" s="901"/>
      <c r="BSK526" s="901"/>
      <c r="BSL526" s="901"/>
      <c r="BSM526" s="901"/>
      <c r="BSN526" s="901"/>
      <c r="BSO526" s="901"/>
      <c r="BSP526" s="901"/>
      <c r="BSQ526" s="901"/>
      <c r="BSR526" s="901"/>
      <c r="BSS526" s="901"/>
      <c r="BST526" s="901"/>
      <c r="BSU526" s="901"/>
      <c r="BSV526" s="901"/>
      <c r="BSW526" s="901"/>
      <c r="BSX526" s="901"/>
      <c r="BSY526" s="901"/>
      <c r="BSZ526" s="901"/>
      <c r="BTA526" s="901"/>
      <c r="BTB526" s="901"/>
      <c r="BTC526" s="901"/>
      <c r="BTD526" s="901"/>
      <c r="BTE526" s="901"/>
      <c r="BTF526" s="901"/>
      <c r="BTG526" s="901"/>
      <c r="BTH526" s="901"/>
      <c r="BTI526" s="901"/>
      <c r="BTJ526" s="901"/>
      <c r="BTK526" s="901"/>
      <c r="BTL526" s="901"/>
      <c r="BTM526" s="901"/>
      <c r="BTN526" s="901"/>
      <c r="BTO526" s="901"/>
      <c r="BTP526" s="901"/>
      <c r="BTQ526" s="901"/>
      <c r="BTR526" s="901"/>
      <c r="BTS526" s="901"/>
      <c r="BTT526" s="901"/>
      <c r="BTU526" s="901"/>
      <c r="BTV526" s="901"/>
      <c r="BTW526" s="901"/>
      <c r="BTX526" s="901"/>
      <c r="BTY526" s="901"/>
      <c r="BTZ526" s="901"/>
      <c r="BUA526" s="901"/>
      <c r="BUB526" s="901"/>
      <c r="BUC526" s="901"/>
      <c r="BUD526" s="901"/>
      <c r="BUE526" s="901"/>
      <c r="BUF526" s="901"/>
      <c r="BUG526" s="901"/>
      <c r="BUH526" s="901"/>
      <c r="BUI526" s="901"/>
      <c r="BUJ526" s="901"/>
      <c r="BUK526" s="901"/>
      <c r="BUL526" s="901"/>
      <c r="BUM526" s="901"/>
      <c r="BUN526" s="901"/>
      <c r="BUO526" s="901"/>
      <c r="BUP526" s="901"/>
      <c r="BUQ526" s="901"/>
      <c r="BUR526" s="901"/>
      <c r="BUS526" s="901"/>
      <c r="BUT526" s="901"/>
      <c r="BUU526" s="901"/>
      <c r="BUV526" s="901"/>
      <c r="BUW526" s="901"/>
      <c r="BUX526" s="901"/>
      <c r="BUY526" s="901"/>
      <c r="BUZ526" s="901"/>
      <c r="BVA526" s="901"/>
      <c r="BVB526" s="901"/>
      <c r="BVC526" s="901"/>
      <c r="BVD526" s="901"/>
      <c r="BVE526" s="901"/>
      <c r="BVF526" s="901"/>
      <c r="BVG526" s="901"/>
      <c r="BVH526" s="901"/>
      <c r="BVI526" s="901"/>
      <c r="BVJ526" s="901"/>
      <c r="BVK526" s="901"/>
      <c r="BVL526" s="901"/>
      <c r="BVM526" s="901"/>
      <c r="BVN526" s="901"/>
      <c r="BVO526" s="901"/>
      <c r="BVP526" s="901"/>
      <c r="BVQ526" s="901"/>
      <c r="BVR526" s="901"/>
      <c r="BVS526" s="901"/>
      <c r="BVT526" s="901"/>
      <c r="BVU526" s="901"/>
      <c r="BVV526" s="901"/>
      <c r="BVW526" s="901"/>
      <c r="BVX526" s="901"/>
      <c r="BVY526" s="901"/>
      <c r="BVZ526" s="901"/>
      <c r="BWA526" s="901"/>
      <c r="BWB526" s="901"/>
      <c r="BWC526" s="901"/>
      <c r="BWD526" s="901"/>
      <c r="BWE526" s="901"/>
      <c r="BWF526" s="901"/>
      <c r="BWG526" s="901"/>
      <c r="BWH526" s="901"/>
      <c r="BWI526" s="901"/>
      <c r="BWJ526" s="901"/>
      <c r="BWK526" s="901"/>
      <c r="BWL526" s="901"/>
      <c r="BWM526" s="901"/>
      <c r="BWN526" s="901"/>
      <c r="BWO526" s="901"/>
      <c r="BWP526" s="901"/>
      <c r="BWQ526" s="901"/>
      <c r="BWR526" s="901"/>
      <c r="BWS526" s="901"/>
      <c r="BWT526" s="901"/>
      <c r="BWU526" s="901"/>
      <c r="BWV526" s="901"/>
      <c r="BWW526" s="901"/>
      <c r="BWX526" s="901"/>
      <c r="BWY526" s="901"/>
      <c r="BWZ526" s="901"/>
      <c r="BXA526" s="901"/>
      <c r="BXB526" s="901"/>
      <c r="BXC526" s="901"/>
      <c r="BXD526" s="901"/>
      <c r="BXE526" s="901"/>
      <c r="BXF526" s="901"/>
      <c r="BXG526" s="901"/>
      <c r="BXH526" s="901"/>
      <c r="BXI526" s="901"/>
      <c r="BXJ526" s="901"/>
      <c r="BXK526" s="901"/>
      <c r="BXL526" s="901"/>
      <c r="BXM526" s="901"/>
      <c r="BXN526" s="901"/>
      <c r="BXO526" s="901"/>
      <c r="BXP526" s="901"/>
      <c r="BXQ526" s="901"/>
      <c r="BXR526" s="901"/>
      <c r="BXS526" s="901"/>
      <c r="BXT526" s="901"/>
      <c r="BXU526" s="901"/>
      <c r="BXV526" s="901"/>
      <c r="BXW526" s="901"/>
      <c r="BXX526" s="901"/>
      <c r="BXY526" s="901"/>
      <c r="BXZ526" s="901"/>
      <c r="BYA526" s="901"/>
      <c r="BYB526" s="901"/>
      <c r="BYC526" s="901"/>
      <c r="BYD526" s="901"/>
      <c r="BYE526" s="901"/>
      <c r="BYF526" s="901"/>
      <c r="BYG526" s="901"/>
      <c r="BYH526" s="901"/>
      <c r="BYI526" s="901"/>
      <c r="BYJ526" s="901"/>
      <c r="BYK526" s="901"/>
      <c r="BYL526" s="901"/>
      <c r="BYM526" s="901"/>
      <c r="BYN526" s="901"/>
      <c r="BYO526" s="901"/>
      <c r="BYP526" s="901"/>
      <c r="BYQ526" s="901"/>
      <c r="BYR526" s="901"/>
      <c r="BYS526" s="901"/>
      <c r="BYT526" s="901"/>
      <c r="BYU526" s="901"/>
      <c r="BYV526" s="901"/>
      <c r="BYW526" s="901"/>
      <c r="BYX526" s="901"/>
      <c r="BYY526" s="901"/>
      <c r="BYZ526" s="901"/>
      <c r="BZA526" s="901"/>
      <c r="BZB526" s="901"/>
      <c r="BZC526" s="901"/>
      <c r="BZD526" s="901"/>
      <c r="BZE526" s="901"/>
      <c r="BZF526" s="901"/>
      <c r="BZG526" s="901"/>
      <c r="BZH526" s="901"/>
      <c r="BZI526" s="901"/>
      <c r="BZJ526" s="901"/>
      <c r="BZK526" s="901"/>
      <c r="BZL526" s="901"/>
      <c r="BZM526" s="901"/>
      <c r="BZN526" s="901"/>
      <c r="BZO526" s="901"/>
      <c r="BZP526" s="901"/>
      <c r="BZQ526" s="901"/>
      <c r="BZR526" s="901"/>
      <c r="BZS526" s="901"/>
      <c r="BZT526" s="901"/>
      <c r="BZU526" s="901"/>
      <c r="BZV526" s="901"/>
      <c r="BZW526" s="901"/>
      <c r="BZX526" s="901"/>
      <c r="BZY526" s="901"/>
      <c r="BZZ526" s="901"/>
      <c r="CAA526" s="901"/>
      <c r="CAB526" s="901"/>
      <c r="CAC526" s="901"/>
      <c r="CAD526" s="901"/>
      <c r="CAE526" s="901"/>
      <c r="CAF526" s="901"/>
      <c r="CAG526" s="901"/>
      <c r="CAH526" s="901"/>
      <c r="CAI526" s="901"/>
      <c r="CAJ526" s="901"/>
      <c r="CAK526" s="901"/>
      <c r="CAL526" s="901"/>
      <c r="CAM526" s="901"/>
      <c r="CAN526" s="901"/>
      <c r="CAO526" s="901"/>
      <c r="CAP526" s="901"/>
      <c r="CAQ526" s="901"/>
      <c r="CAR526" s="901"/>
      <c r="CAS526" s="901"/>
      <c r="CAT526" s="901"/>
      <c r="CAU526" s="901"/>
      <c r="CAV526" s="901"/>
      <c r="CAW526" s="901"/>
      <c r="CAX526" s="901"/>
      <c r="CAY526" s="901"/>
      <c r="CAZ526" s="901"/>
      <c r="CBA526" s="901"/>
      <c r="CBB526" s="901"/>
      <c r="CBC526" s="901"/>
      <c r="CBD526" s="901"/>
      <c r="CBE526" s="901"/>
      <c r="CBF526" s="901"/>
      <c r="CBG526" s="901"/>
      <c r="CBH526" s="901"/>
      <c r="CBI526" s="901"/>
      <c r="CBJ526" s="901"/>
      <c r="CBK526" s="901"/>
      <c r="CBL526" s="901"/>
      <c r="CBM526" s="901"/>
      <c r="CBN526" s="901"/>
      <c r="CBO526" s="901"/>
      <c r="CBP526" s="901"/>
      <c r="CBQ526" s="901"/>
      <c r="CBR526" s="901"/>
      <c r="CBS526" s="901"/>
      <c r="CBT526" s="901"/>
      <c r="CBU526" s="901"/>
      <c r="CBV526" s="901"/>
      <c r="CBW526" s="901"/>
      <c r="CBX526" s="901"/>
      <c r="CBY526" s="901"/>
      <c r="CBZ526" s="901"/>
      <c r="CCA526" s="901"/>
      <c r="CCB526" s="901"/>
      <c r="CCC526" s="901"/>
      <c r="CCD526" s="901"/>
      <c r="CCE526" s="901"/>
      <c r="CCF526" s="901"/>
      <c r="CCG526" s="901"/>
      <c r="CCH526" s="901"/>
      <c r="CCI526" s="901"/>
      <c r="CCJ526" s="901"/>
      <c r="CCK526" s="901"/>
      <c r="CCL526" s="901"/>
      <c r="CCM526" s="901"/>
      <c r="CCN526" s="901"/>
      <c r="CCO526" s="901"/>
      <c r="CCP526" s="901"/>
      <c r="CCQ526" s="901"/>
      <c r="CCR526" s="901"/>
      <c r="CCS526" s="901"/>
      <c r="CCT526" s="901"/>
      <c r="CCU526" s="901"/>
      <c r="CCV526" s="901"/>
      <c r="CCW526" s="901"/>
      <c r="CCX526" s="901"/>
      <c r="CCY526" s="901"/>
      <c r="CCZ526" s="901"/>
      <c r="CDA526" s="901"/>
      <c r="CDB526" s="901"/>
      <c r="CDC526" s="901"/>
      <c r="CDD526" s="901"/>
      <c r="CDE526" s="901"/>
      <c r="CDF526" s="901"/>
      <c r="CDG526" s="901"/>
      <c r="CDH526" s="901"/>
      <c r="CDI526" s="901"/>
      <c r="CDJ526" s="901"/>
      <c r="CDK526" s="901"/>
      <c r="CDL526" s="901"/>
      <c r="CDM526" s="901"/>
      <c r="CDN526" s="901"/>
      <c r="CDO526" s="901"/>
      <c r="CDP526" s="901"/>
      <c r="CDQ526" s="901"/>
      <c r="CDR526" s="901"/>
      <c r="CDS526" s="901"/>
      <c r="CDT526" s="901"/>
      <c r="CDU526" s="901"/>
      <c r="CDV526" s="901"/>
      <c r="CDW526" s="901"/>
      <c r="CDX526" s="901"/>
      <c r="CDY526" s="901"/>
      <c r="CDZ526" s="901"/>
      <c r="CEA526" s="901"/>
      <c r="CEB526" s="901"/>
      <c r="CEC526" s="901"/>
      <c r="CED526" s="901"/>
      <c r="CEE526" s="901"/>
      <c r="CEF526" s="901"/>
      <c r="CEG526" s="901"/>
      <c r="CEH526" s="901"/>
      <c r="CEI526" s="901"/>
      <c r="CEJ526" s="901"/>
      <c r="CEK526" s="901"/>
      <c r="CEL526" s="901"/>
      <c r="CEM526" s="901"/>
      <c r="CEN526" s="901"/>
      <c r="CEO526" s="901"/>
      <c r="CEP526" s="901"/>
      <c r="CEQ526" s="901"/>
      <c r="CER526" s="901"/>
      <c r="CES526" s="901"/>
      <c r="CET526" s="901"/>
      <c r="CEU526" s="901"/>
      <c r="CEV526" s="901"/>
      <c r="CEW526" s="901"/>
      <c r="CEX526" s="901"/>
      <c r="CEY526" s="901"/>
      <c r="CEZ526" s="901"/>
      <c r="CFA526" s="901"/>
      <c r="CFB526" s="901"/>
      <c r="CFC526" s="901"/>
      <c r="CFD526" s="901"/>
      <c r="CFE526" s="901"/>
      <c r="CFF526" s="901"/>
      <c r="CFG526" s="901"/>
      <c r="CFH526" s="901"/>
      <c r="CFI526" s="901"/>
      <c r="CFJ526" s="901"/>
      <c r="CFK526" s="901"/>
      <c r="CFL526" s="901"/>
      <c r="CFM526" s="901"/>
      <c r="CFN526" s="901"/>
      <c r="CFO526" s="901"/>
      <c r="CFP526" s="901"/>
      <c r="CFQ526" s="901"/>
      <c r="CFR526" s="901"/>
      <c r="CFS526" s="901"/>
      <c r="CFT526" s="901"/>
      <c r="CFU526" s="901"/>
      <c r="CFV526" s="901"/>
      <c r="CFW526" s="901"/>
      <c r="CFX526" s="901"/>
      <c r="CFY526" s="901"/>
      <c r="CFZ526" s="901"/>
      <c r="CGA526" s="901"/>
      <c r="CGB526" s="901"/>
      <c r="CGC526" s="901"/>
      <c r="CGD526" s="901"/>
      <c r="CGE526" s="901"/>
      <c r="CGF526" s="901"/>
      <c r="CGG526" s="901"/>
      <c r="CGH526" s="901"/>
      <c r="CGI526" s="901"/>
      <c r="CGJ526" s="901"/>
      <c r="CGK526" s="901"/>
      <c r="CGL526" s="901"/>
      <c r="CGM526" s="901"/>
      <c r="CGN526" s="901"/>
      <c r="CGO526" s="901"/>
      <c r="CGP526" s="901"/>
      <c r="CGQ526" s="901"/>
      <c r="CGR526" s="901"/>
      <c r="CGS526" s="901"/>
      <c r="CGT526" s="901"/>
      <c r="CGU526" s="901"/>
      <c r="CGV526" s="901"/>
      <c r="CGW526" s="901"/>
      <c r="CGX526" s="901"/>
      <c r="CGY526" s="901"/>
      <c r="CGZ526" s="901"/>
      <c r="CHA526" s="901"/>
      <c r="CHB526" s="901"/>
      <c r="CHC526" s="901"/>
      <c r="CHD526" s="901"/>
      <c r="CHE526" s="901"/>
      <c r="CHF526" s="901"/>
      <c r="CHG526" s="901"/>
      <c r="CHH526" s="901"/>
      <c r="CHI526" s="901"/>
      <c r="CHJ526" s="901"/>
      <c r="CHK526" s="901"/>
      <c r="CHL526" s="901"/>
      <c r="CHM526" s="901"/>
      <c r="CHN526" s="901"/>
      <c r="CHO526" s="901"/>
      <c r="CHP526" s="901"/>
      <c r="CHQ526" s="901"/>
      <c r="CHR526" s="901"/>
      <c r="CHS526" s="901"/>
      <c r="CHT526" s="901"/>
      <c r="CHU526" s="901"/>
      <c r="CHV526" s="901"/>
      <c r="CHW526" s="901"/>
      <c r="CHX526" s="901"/>
      <c r="CHY526" s="901"/>
      <c r="CHZ526" s="901"/>
      <c r="CIA526" s="901"/>
      <c r="CIB526" s="901"/>
      <c r="CIC526" s="901"/>
      <c r="CID526" s="901"/>
      <c r="CIE526" s="901"/>
      <c r="CIF526" s="901"/>
      <c r="CIG526" s="901"/>
      <c r="CIH526" s="901"/>
      <c r="CII526" s="901"/>
      <c r="CIJ526" s="901"/>
      <c r="CIK526" s="901"/>
      <c r="CIL526" s="901"/>
      <c r="CIM526" s="901"/>
      <c r="CIN526" s="901"/>
      <c r="CIO526" s="901"/>
      <c r="CIP526" s="901"/>
      <c r="CIQ526" s="901"/>
      <c r="CIR526" s="901"/>
      <c r="CIS526" s="901"/>
      <c r="CIT526" s="901"/>
      <c r="CIU526" s="901"/>
      <c r="CIV526" s="901"/>
      <c r="CIW526" s="901"/>
      <c r="CIX526" s="901"/>
      <c r="CIY526" s="901"/>
      <c r="CIZ526" s="901"/>
      <c r="CJA526" s="901"/>
      <c r="CJB526" s="901"/>
      <c r="CJC526" s="901"/>
      <c r="CJD526" s="901"/>
      <c r="CJE526" s="901"/>
      <c r="CJF526" s="901"/>
      <c r="CJG526" s="901"/>
      <c r="CJH526" s="901"/>
      <c r="CJI526" s="901"/>
      <c r="CJJ526" s="901"/>
      <c r="CJK526" s="901"/>
      <c r="CJL526" s="901"/>
      <c r="CJM526" s="901"/>
      <c r="CJN526" s="901"/>
      <c r="CJO526" s="901"/>
      <c r="CJP526" s="901"/>
      <c r="CJQ526" s="901"/>
      <c r="CJR526" s="901"/>
      <c r="CJS526" s="901"/>
      <c r="CJT526" s="901"/>
      <c r="CJU526" s="901"/>
      <c r="CJV526" s="901"/>
      <c r="CJW526" s="901"/>
      <c r="CJX526" s="901"/>
      <c r="CJY526" s="901"/>
      <c r="CJZ526" s="901"/>
      <c r="CKA526" s="901"/>
      <c r="CKB526" s="901"/>
      <c r="CKC526" s="901"/>
      <c r="CKD526" s="901"/>
      <c r="CKE526" s="901"/>
      <c r="CKF526" s="901"/>
      <c r="CKG526" s="901"/>
      <c r="CKH526" s="901"/>
      <c r="CKI526" s="901"/>
      <c r="CKJ526" s="901"/>
      <c r="CKK526" s="901"/>
      <c r="CKL526" s="901"/>
      <c r="CKM526" s="901"/>
      <c r="CKN526" s="901"/>
      <c r="CKO526" s="901"/>
      <c r="CKP526" s="901"/>
      <c r="CKQ526" s="901"/>
      <c r="CKR526" s="901"/>
      <c r="CKS526" s="901"/>
      <c r="CKT526" s="901"/>
      <c r="CKU526" s="901"/>
      <c r="CKV526" s="901"/>
      <c r="CKW526" s="901"/>
      <c r="CKX526" s="901"/>
      <c r="CKY526" s="901"/>
      <c r="CKZ526" s="901"/>
      <c r="CLA526" s="901"/>
      <c r="CLB526" s="901"/>
      <c r="CLC526" s="901"/>
      <c r="CLD526" s="901"/>
      <c r="CLE526" s="901"/>
      <c r="CLF526" s="901"/>
      <c r="CLG526" s="901"/>
      <c r="CLH526" s="901"/>
      <c r="CLI526" s="901"/>
      <c r="CLJ526" s="901"/>
      <c r="CLK526" s="901"/>
      <c r="CLL526" s="901"/>
      <c r="CLM526" s="901"/>
      <c r="CLN526" s="901"/>
      <c r="CLO526" s="901"/>
      <c r="CLP526" s="901"/>
      <c r="CLQ526" s="901"/>
      <c r="CLR526" s="901"/>
      <c r="CLS526" s="901"/>
      <c r="CLT526" s="901"/>
      <c r="CLU526" s="901"/>
      <c r="CLV526" s="901"/>
      <c r="CLW526" s="901"/>
      <c r="CLX526" s="901"/>
      <c r="CLY526" s="901"/>
      <c r="CLZ526" s="901"/>
      <c r="CMA526" s="901"/>
      <c r="CMB526" s="901"/>
      <c r="CMC526" s="901"/>
      <c r="CMD526" s="901"/>
      <c r="CME526" s="901"/>
      <c r="CMF526" s="901"/>
      <c r="CMG526" s="901"/>
      <c r="CMH526" s="901"/>
      <c r="CMI526" s="901"/>
      <c r="CMJ526" s="901"/>
      <c r="CMK526" s="901"/>
      <c r="CML526" s="901"/>
      <c r="CMM526" s="901"/>
      <c r="CMN526" s="901"/>
      <c r="CMO526" s="901"/>
      <c r="CMP526" s="901"/>
      <c r="CMQ526" s="901"/>
      <c r="CMR526" s="901"/>
      <c r="CMS526" s="901"/>
      <c r="CMT526" s="901"/>
      <c r="CMU526" s="901"/>
      <c r="CMV526" s="901"/>
      <c r="CMW526" s="901"/>
      <c r="CMX526" s="901"/>
      <c r="CMY526" s="901"/>
      <c r="CMZ526" s="901"/>
      <c r="CNA526" s="901"/>
      <c r="CNB526" s="901"/>
      <c r="CNC526" s="901"/>
      <c r="CND526" s="901"/>
      <c r="CNE526" s="901"/>
      <c r="CNF526" s="901"/>
      <c r="CNG526" s="901"/>
      <c r="CNH526" s="901"/>
      <c r="CNI526" s="901"/>
      <c r="CNJ526" s="901"/>
      <c r="CNK526" s="901"/>
      <c r="CNL526" s="901"/>
      <c r="CNM526" s="901"/>
      <c r="CNN526" s="901"/>
      <c r="CNO526" s="901"/>
      <c r="CNP526" s="901"/>
      <c r="CNQ526" s="901"/>
      <c r="CNR526" s="901"/>
      <c r="CNS526" s="901"/>
      <c r="CNT526" s="901"/>
      <c r="CNU526" s="901"/>
      <c r="CNV526" s="901"/>
      <c r="CNW526" s="901"/>
      <c r="CNX526" s="901"/>
      <c r="CNY526" s="901"/>
      <c r="CNZ526" s="901"/>
      <c r="COA526" s="901"/>
      <c r="COB526" s="901"/>
      <c r="COC526" s="901"/>
      <c r="COD526" s="901"/>
      <c r="COE526" s="901"/>
      <c r="COF526" s="901"/>
      <c r="COG526" s="901"/>
      <c r="COH526" s="901"/>
      <c r="COI526" s="901"/>
      <c r="COJ526" s="901"/>
      <c r="COK526" s="901"/>
      <c r="COL526" s="901"/>
      <c r="COM526" s="901"/>
      <c r="CON526" s="901"/>
      <c r="COO526" s="901"/>
      <c r="COP526" s="901"/>
      <c r="COQ526" s="901"/>
      <c r="COR526" s="901"/>
      <c r="COS526" s="901"/>
      <c r="COT526" s="901"/>
      <c r="COU526" s="901"/>
      <c r="COV526" s="901"/>
      <c r="COW526" s="901"/>
      <c r="COX526" s="901"/>
      <c r="COY526" s="901"/>
      <c r="COZ526" s="901"/>
      <c r="CPA526" s="901"/>
      <c r="CPB526" s="901"/>
      <c r="CPC526" s="901"/>
      <c r="CPD526" s="901"/>
      <c r="CPE526" s="901"/>
      <c r="CPF526" s="901"/>
      <c r="CPG526" s="901"/>
      <c r="CPH526" s="901"/>
      <c r="CPI526" s="901"/>
      <c r="CPJ526" s="901"/>
      <c r="CPK526" s="901"/>
      <c r="CPL526" s="901"/>
      <c r="CPM526" s="901"/>
      <c r="CPN526" s="901"/>
      <c r="CPO526" s="901"/>
      <c r="CPP526" s="901"/>
      <c r="CPQ526" s="901"/>
      <c r="CPR526" s="901"/>
      <c r="CPS526" s="901"/>
      <c r="CPT526" s="901"/>
      <c r="CPU526" s="901"/>
      <c r="CPV526" s="901"/>
      <c r="CPW526" s="901"/>
      <c r="CPX526" s="901"/>
      <c r="CPY526" s="901"/>
      <c r="CPZ526" s="901"/>
      <c r="CQA526" s="901"/>
      <c r="CQB526" s="901"/>
      <c r="CQC526" s="901"/>
      <c r="CQD526" s="901"/>
      <c r="CQE526" s="901"/>
      <c r="CQF526" s="901"/>
      <c r="CQG526" s="901"/>
      <c r="CQH526" s="901"/>
      <c r="CQI526" s="901"/>
      <c r="CQJ526" s="901"/>
      <c r="CQK526" s="901"/>
      <c r="CQL526" s="901"/>
      <c r="CQM526" s="901"/>
      <c r="CQN526" s="901"/>
      <c r="CQO526" s="901"/>
      <c r="CQP526" s="901"/>
      <c r="CQQ526" s="901"/>
      <c r="CQR526" s="901"/>
      <c r="CQS526" s="901"/>
      <c r="CQT526" s="901"/>
      <c r="CQU526" s="901"/>
      <c r="CQV526" s="901"/>
      <c r="CQW526" s="901"/>
      <c r="CQX526" s="901"/>
      <c r="CQY526" s="901"/>
      <c r="CQZ526" s="901"/>
      <c r="CRA526" s="901"/>
      <c r="CRB526" s="901"/>
      <c r="CRC526" s="901"/>
      <c r="CRD526" s="901"/>
      <c r="CRE526" s="901"/>
      <c r="CRF526" s="901"/>
      <c r="CRG526" s="901"/>
      <c r="CRH526" s="901"/>
      <c r="CRI526" s="901"/>
      <c r="CRJ526" s="901"/>
      <c r="CRK526" s="901"/>
      <c r="CRL526" s="901"/>
      <c r="CRM526" s="901"/>
      <c r="CRN526" s="901"/>
      <c r="CRO526" s="901"/>
      <c r="CRP526" s="901"/>
      <c r="CRQ526" s="901"/>
      <c r="CRR526" s="901"/>
      <c r="CRS526" s="901"/>
      <c r="CRT526" s="901"/>
      <c r="CRU526" s="901"/>
      <c r="CRV526" s="901"/>
      <c r="CRW526" s="901"/>
      <c r="CRX526" s="901"/>
      <c r="CRY526" s="901"/>
      <c r="CRZ526" s="901"/>
      <c r="CSA526" s="901"/>
      <c r="CSB526" s="901"/>
      <c r="CSC526" s="901"/>
      <c r="CSD526" s="901"/>
      <c r="CSE526" s="901"/>
      <c r="CSF526" s="901"/>
      <c r="CSG526" s="901"/>
      <c r="CSH526" s="901"/>
      <c r="CSI526" s="901"/>
      <c r="CSJ526" s="901"/>
      <c r="CSK526" s="901"/>
      <c r="CSL526" s="901"/>
      <c r="CSM526" s="901"/>
      <c r="CSN526" s="901"/>
      <c r="CSO526" s="901"/>
      <c r="CSP526" s="901"/>
      <c r="CSQ526" s="901"/>
      <c r="CSR526" s="901"/>
      <c r="CSS526" s="901"/>
      <c r="CST526" s="901"/>
      <c r="CSU526" s="901"/>
      <c r="CSV526" s="901"/>
      <c r="CSW526" s="901"/>
      <c r="CSX526" s="901"/>
      <c r="CSY526" s="901"/>
      <c r="CSZ526" s="901"/>
      <c r="CTA526" s="901"/>
      <c r="CTB526" s="901"/>
      <c r="CTC526" s="901"/>
      <c r="CTD526" s="901"/>
      <c r="CTE526" s="901"/>
      <c r="CTF526" s="901"/>
      <c r="CTG526" s="901"/>
      <c r="CTH526" s="901"/>
      <c r="CTI526" s="901"/>
      <c r="CTJ526" s="901"/>
      <c r="CTK526" s="901"/>
      <c r="CTL526" s="901"/>
      <c r="CTM526" s="901"/>
      <c r="CTN526" s="901"/>
      <c r="CTO526" s="901"/>
      <c r="CTP526" s="901"/>
      <c r="CTQ526" s="901"/>
      <c r="CTR526" s="901"/>
      <c r="CTS526" s="901"/>
      <c r="CTT526" s="901"/>
      <c r="CTU526" s="901"/>
      <c r="CTV526" s="901"/>
      <c r="CTW526" s="901"/>
      <c r="CTX526" s="901"/>
      <c r="CTY526" s="901"/>
      <c r="CTZ526" s="901"/>
      <c r="CUA526" s="901"/>
      <c r="CUB526" s="901"/>
      <c r="CUC526" s="901"/>
      <c r="CUD526" s="901"/>
      <c r="CUE526" s="901"/>
      <c r="CUF526" s="901"/>
      <c r="CUG526" s="901"/>
      <c r="CUH526" s="901"/>
      <c r="CUI526" s="901"/>
      <c r="CUJ526" s="901"/>
      <c r="CUK526" s="901"/>
      <c r="CUL526" s="901"/>
      <c r="CUM526" s="901"/>
      <c r="CUN526" s="901"/>
      <c r="CUO526" s="901"/>
      <c r="CUP526" s="901"/>
      <c r="CUQ526" s="901"/>
      <c r="CUR526" s="901"/>
      <c r="CUS526" s="901"/>
      <c r="CUT526" s="901"/>
      <c r="CUU526" s="901"/>
      <c r="CUV526" s="901"/>
      <c r="CUW526" s="901"/>
      <c r="CUX526" s="901"/>
      <c r="CUY526" s="901"/>
      <c r="CUZ526" s="901"/>
      <c r="CVA526" s="901"/>
      <c r="CVB526" s="901"/>
      <c r="CVC526" s="901"/>
      <c r="CVD526" s="901"/>
      <c r="CVE526" s="901"/>
      <c r="CVF526" s="901"/>
      <c r="CVG526" s="901"/>
      <c r="CVH526" s="901"/>
      <c r="CVI526" s="901"/>
      <c r="CVJ526" s="901"/>
      <c r="CVK526" s="901"/>
      <c r="CVL526" s="901"/>
      <c r="CVM526" s="901"/>
      <c r="CVN526" s="901"/>
      <c r="CVO526" s="901"/>
      <c r="CVP526" s="901"/>
      <c r="CVQ526" s="901"/>
      <c r="CVR526" s="901"/>
      <c r="CVS526" s="901"/>
      <c r="CVT526" s="901"/>
      <c r="CVU526" s="901"/>
      <c r="CVV526" s="901"/>
      <c r="CVW526" s="901"/>
      <c r="CVX526" s="901"/>
      <c r="CVY526" s="901"/>
      <c r="CVZ526" s="901"/>
      <c r="CWA526" s="901"/>
      <c r="CWB526" s="901"/>
      <c r="CWC526" s="901"/>
      <c r="CWD526" s="901"/>
      <c r="CWE526" s="901"/>
      <c r="CWF526" s="901"/>
      <c r="CWG526" s="901"/>
      <c r="CWH526" s="901"/>
      <c r="CWI526" s="901"/>
      <c r="CWJ526" s="901"/>
      <c r="CWK526" s="901"/>
      <c r="CWL526" s="901"/>
      <c r="CWM526" s="901"/>
      <c r="CWN526" s="901"/>
      <c r="CWO526" s="901"/>
      <c r="CWP526" s="901"/>
      <c r="CWQ526" s="901"/>
      <c r="CWR526" s="901"/>
      <c r="CWS526" s="901"/>
      <c r="CWT526" s="901"/>
      <c r="CWU526" s="901"/>
      <c r="CWV526" s="901"/>
      <c r="CWW526" s="901"/>
      <c r="CWX526" s="901"/>
      <c r="CWY526" s="901"/>
      <c r="CWZ526" s="901"/>
      <c r="CXA526" s="901"/>
      <c r="CXB526" s="901"/>
      <c r="CXC526" s="901"/>
      <c r="CXD526" s="901"/>
      <c r="CXE526" s="901"/>
      <c r="CXF526" s="901"/>
      <c r="CXG526" s="901"/>
      <c r="CXH526" s="901"/>
      <c r="CXI526" s="901"/>
      <c r="CXJ526" s="901"/>
      <c r="CXK526" s="901"/>
      <c r="CXL526" s="901"/>
      <c r="CXM526" s="901"/>
      <c r="CXN526" s="901"/>
      <c r="CXO526" s="901"/>
      <c r="CXP526" s="901"/>
      <c r="CXQ526" s="901"/>
      <c r="CXR526" s="901"/>
      <c r="CXS526" s="901"/>
      <c r="CXT526" s="901"/>
      <c r="CXU526" s="901"/>
      <c r="CXV526" s="901"/>
      <c r="CXW526" s="901"/>
      <c r="CXX526" s="901"/>
      <c r="CXY526" s="901"/>
      <c r="CXZ526" s="901"/>
      <c r="CYA526" s="901"/>
      <c r="CYB526" s="901"/>
      <c r="CYC526" s="901"/>
      <c r="CYD526" s="901"/>
      <c r="CYE526" s="901"/>
      <c r="CYF526" s="901"/>
      <c r="CYG526" s="901"/>
      <c r="CYH526" s="901"/>
      <c r="CYI526" s="901"/>
      <c r="CYJ526" s="901"/>
      <c r="CYK526" s="901"/>
      <c r="CYL526" s="901"/>
      <c r="CYM526" s="901"/>
      <c r="CYN526" s="901"/>
      <c r="CYO526" s="901"/>
      <c r="CYP526" s="901"/>
      <c r="CYQ526" s="901"/>
      <c r="CYR526" s="901"/>
      <c r="CYS526" s="901"/>
      <c r="CYT526" s="901"/>
      <c r="CYU526" s="901"/>
      <c r="CYV526" s="901"/>
      <c r="CYW526" s="901"/>
      <c r="CYX526" s="901"/>
      <c r="CYY526" s="901"/>
      <c r="CYZ526" s="901"/>
      <c r="CZA526" s="901"/>
      <c r="CZB526" s="901"/>
      <c r="CZC526" s="901"/>
      <c r="CZD526" s="901"/>
      <c r="CZE526" s="901"/>
      <c r="CZF526" s="901"/>
      <c r="CZG526" s="901"/>
      <c r="CZH526" s="901"/>
      <c r="CZI526" s="901"/>
      <c r="CZJ526" s="901"/>
      <c r="CZK526" s="901"/>
      <c r="CZL526" s="901"/>
      <c r="CZM526" s="901"/>
      <c r="CZN526" s="901"/>
      <c r="CZO526" s="901"/>
      <c r="CZP526" s="901"/>
      <c r="CZQ526" s="901"/>
      <c r="CZR526" s="901"/>
      <c r="CZS526" s="901"/>
      <c r="CZT526" s="901"/>
      <c r="CZU526" s="901"/>
      <c r="CZV526" s="901"/>
      <c r="CZW526" s="901"/>
      <c r="CZX526" s="901"/>
      <c r="CZY526" s="901"/>
      <c r="CZZ526" s="901"/>
      <c r="DAA526" s="901"/>
      <c r="DAB526" s="901"/>
      <c r="DAC526" s="901"/>
      <c r="DAD526" s="901"/>
      <c r="DAE526" s="901"/>
      <c r="DAF526" s="901"/>
      <c r="DAG526" s="901"/>
      <c r="DAH526" s="901"/>
      <c r="DAI526" s="901"/>
      <c r="DAJ526" s="901"/>
      <c r="DAK526" s="901"/>
      <c r="DAL526" s="901"/>
      <c r="DAM526" s="901"/>
      <c r="DAN526" s="901"/>
      <c r="DAO526" s="901"/>
      <c r="DAP526" s="901"/>
      <c r="DAQ526" s="901"/>
      <c r="DAR526" s="901"/>
      <c r="DAS526" s="901"/>
      <c r="DAT526" s="901"/>
      <c r="DAU526" s="901"/>
      <c r="DAV526" s="901"/>
      <c r="DAW526" s="901"/>
      <c r="DAX526" s="901"/>
      <c r="DAY526" s="901"/>
      <c r="DAZ526" s="901"/>
      <c r="DBA526" s="901"/>
      <c r="DBB526" s="901"/>
      <c r="DBC526" s="901"/>
      <c r="DBD526" s="901"/>
      <c r="DBE526" s="901"/>
      <c r="DBF526" s="901"/>
      <c r="DBG526" s="901"/>
      <c r="DBH526" s="901"/>
      <c r="DBI526" s="901"/>
      <c r="DBJ526" s="901"/>
      <c r="DBK526" s="901"/>
      <c r="DBL526" s="901"/>
      <c r="DBM526" s="901"/>
      <c r="DBN526" s="901"/>
      <c r="DBO526" s="901"/>
      <c r="DBP526" s="901"/>
      <c r="DBQ526" s="901"/>
      <c r="DBR526" s="901"/>
      <c r="DBS526" s="901"/>
      <c r="DBT526" s="901"/>
      <c r="DBU526" s="901"/>
      <c r="DBV526" s="901"/>
      <c r="DBW526" s="901"/>
      <c r="DBX526" s="901"/>
      <c r="DBY526" s="901"/>
      <c r="DBZ526" s="901"/>
      <c r="DCA526" s="901"/>
      <c r="DCB526" s="901"/>
      <c r="DCC526" s="901"/>
      <c r="DCD526" s="901"/>
      <c r="DCE526" s="901"/>
      <c r="DCF526" s="901"/>
      <c r="DCG526" s="901"/>
      <c r="DCH526" s="901"/>
      <c r="DCI526" s="901"/>
      <c r="DCJ526" s="901"/>
      <c r="DCK526" s="901"/>
      <c r="DCL526" s="901"/>
      <c r="DCM526" s="901"/>
      <c r="DCN526" s="901"/>
      <c r="DCO526" s="901"/>
      <c r="DCP526" s="901"/>
      <c r="DCQ526" s="901"/>
      <c r="DCR526" s="901"/>
      <c r="DCS526" s="901"/>
      <c r="DCT526" s="901"/>
      <c r="DCU526" s="901"/>
      <c r="DCV526" s="901"/>
      <c r="DCW526" s="901"/>
      <c r="DCX526" s="901"/>
      <c r="DCY526" s="901"/>
      <c r="DCZ526" s="901"/>
      <c r="DDA526" s="901"/>
      <c r="DDB526" s="901"/>
      <c r="DDC526" s="901"/>
      <c r="DDD526" s="901"/>
      <c r="DDE526" s="901"/>
      <c r="DDF526" s="901"/>
      <c r="DDG526" s="901"/>
      <c r="DDH526" s="901"/>
      <c r="DDI526" s="901"/>
      <c r="DDJ526" s="901"/>
      <c r="DDK526" s="901"/>
      <c r="DDL526" s="901"/>
      <c r="DDM526" s="901"/>
      <c r="DDN526" s="901"/>
      <c r="DDO526" s="901"/>
      <c r="DDP526" s="901"/>
      <c r="DDQ526" s="901"/>
      <c r="DDR526" s="901"/>
      <c r="DDS526" s="901"/>
      <c r="DDT526" s="901"/>
      <c r="DDU526" s="901"/>
      <c r="DDV526" s="901"/>
      <c r="DDW526" s="901"/>
      <c r="DDX526" s="901"/>
      <c r="DDY526" s="901"/>
      <c r="DDZ526" s="901"/>
      <c r="DEA526" s="901"/>
      <c r="DEB526" s="901"/>
      <c r="DEC526" s="901"/>
      <c r="DED526" s="901"/>
      <c r="DEE526" s="901"/>
      <c r="DEF526" s="901"/>
      <c r="DEG526" s="901"/>
      <c r="DEH526" s="901"/>
      <c r="DEI526" s="901"/>
      <c r="DEJ526" s="901"/>
      <c r="DEK526" s="901"/>
      <c r="DEL526" s="901"/>
      <c r="DEM526" s="901"/>
      <c r="DEN526" s="901"/>
      <c r="DEO526" s="901"/>
      <c r="DEP526" s="901"/>
      <c r="DEQ526" s="901"/>
      <c r="DER526" s="901"/>
      <c r="DES526" s="901"/>
      <c r="DET526" s="901"/>
      <c r="DEU526" s="901"/>
      <c r="DEV526" s="901"/>
      <c r="DEW526" s="901"/>
      <c r="DEX526" s="901"/>
      <c r="DEY526" s="901"/>
      <c r="DEZ526" s="901"/>
      <c r="DFA526" s="901"/>
      <c r="DFB526" s="901"/>
      <c r="DFC526" s="901"/>
      <c r="DFD526" s="901"/>
      <c r="DFE526" s="901"/>
      <c r="DFF526" s="901"/>
      <c r="DFG526" s="901"/>
      <c r="DFH526" s="901"/>
      <c r="DFI526" s="901"/>
      <c r="DFJ526" s="901"/>
      <c r="DFK526" s="901"/>
      <c r="DFL526" s="901"/>
      <c r="DFM526" s="901"/>
      <c r="DFN526" s="901"/>
      <c r="DFO526" s="901"/>
      <c r="DFP526" s="901"/>
      <c r="DFQ526" s="901"/>
      <c r="DFR526" s="901"/>
      <c r="DFS526" s="901"/>
      <c r="DFT526" s="901"/>
      <c r="DFU526" s="901"/>
      <c r="DFV526" s="901"/>
      <c r="DFW526" s="901"/>
      <c r="DFX526" s="901"/>
      <c r="DFY526" s="901"/>
      <c r="DFZ526" s="901"/>
      <c r="DGA526" s="901"/>
      <c r="DGB526" s="901"/>
      <c r="DGC526" s="901"/>
      <c r="DGD526" s="901"/>
      <c r="DGE526" s="901"/>
      <c r="DGF526" s="901"/>
      <c r="DGG526" s="901"/>
      <c r="DGH526" s="901"/>
      <c r="DGI526" s="901"/>
      <c r="DGJ526" s="901"/>
      <c r="DGK526" s="901"/>
      <c r="DGL526" s="901"/>
      <c r="DGM526" s="901"/>
      <c r="DGN526" s="901"/>
      <c r="DGO526" s="901"/>
      <c r="DGP526" s="901"/>
      <c r="DGQ526" s="901"/>
      <c r="DGR526" s="901"/>
      <c r="DGS526" s="901"/>
      <c r="DGT526" s="901"/>
      <c r="DGU526" s="901"/>
      <c r="DGV526" s="901"/>
      <c r="DGW526" s="901"/>
      <c r="DGX526" s="901"/>
      <c r="DGY526" s="901"/>
      <c r="DGZ526" s="901"/>
      <c r="DHA526" s="901"/>
      <c r="DHB526" s="901"/>
      <c r="DHC526" s="901"/>
      <c r="DHD526" s="901"/>
      <c r="DHE526" s="901"/>
      <c r="DHF526" s="901"/>
      <c r="DHG526" s="901"/>
      <c r="DHH526" s="901"/>
      <c r="DHI526" s="901"/>
      <c r="DHJ526" s="901"/>
      <c r="DHK526" s="901"/>
      <c r="DHL526" s="901"/>
      <c r="DHM526" s="901"/>
      <c r="DHN526" s="901"/>
      <c r="DHO526" s="901"/>
      <c r="DHP526" s="901"/>
      <c r="DHQ526" s="901"/>
      <c r="DHR526" s="901"/>
      <c r="DHS526" s="901"/>
      <c r="DHT526" s="901"/>
      <c r="DHU526" s="901"/>
      <c r="DHV526" s="901"/>
      <c r="DHW526" s="901"/>
      <c r="DHX526" s="901"/>
      <c r="DHY526" s="901"/>
      <c r="DHZ526" s="901"/>
      <c r="DIA526" s="901"/>
      <c r="DIB526" s="901"/>
      <c r="DIC526" s="901"/>
      <c r="DID526" s="901"/>
      <c r="DIE526" s="901"/>
      <c r="DIF526" s="901"/>
      <c r="DIG526" s="901"/>
      <c r="DIH526" s="901"/>
      <c r="DII526" s="901"/>
      <c r="DIJ526" s="901"/>
      <c r="DIK526" s="901"/>
      <c r="DIL526" s="901"/>
      <c r="DIM526" s="901"/>
      <c r="DIN526" s="901"/>
      <c r="DIO526" s="901"/>
      <c r="DIP526" s="901"/>
      <c r="DIQ526" s="901"/>
      <c r="DIR526" s="901"/>
      <c r="DIS526" s="901"/>
      <c r="DIT526" s="901"/>
      <c r="DIU526" s="901"/>
      <c r="DIV526" s="901"/>
      <c r="DIW526" s="901"/>
      <c r="DIX526" s="901"/>
      <c r="DIY526" s="901"/>
      <c r="DIZ526" s="901"/>
      <c r="DJA526" s="901"/>
      <c r="DJB526" s="901"/>
      <c r="DJC526" s="901"/>
      <c r="DJD526" s="901"/>
      <c r="DJE526" s="901"/>
      <c r="DJF526" s="901"/>
      <c r="DJG526" s="901"/>
      <c r="DJH526" s="901"/>
      <c r="DJI526" s="901"/>
      <c r="DJJ526" s="901"/>
      <c r="DJK526" s="901"/>
      <c r="DJL526" s="901"/>
      <c r="DJM526" s="901"/>
      <c r="DJN526" s="901"/>
      <c r="DJO526" s="901"/>
      <c r="DJP526" s="901"/>
      <c r="DJQ526" s="901"/>
      <c r="DJR526" s="901"/>
      <c r="DJS526" s="901"/>
      <c r="DJT526" s="901"/>
      <c r="DJU526" s="901"/>
      <c r="DJV526" s="901"/>
      <c r="DJW526" s="901"/>
      <c r="DJX526" s="901"/>
      <c r="DJY526" s="901"/>
      <c r="DJZ526" s="901"/>
      <c r="DKA526" s="901"/>
      <c r="DKB526" s="901"/>
      <c r="DKC526" s="901"/>
      <c r="DKD526" s="901"/>
      <c r="DKE526" s="901"/>
      <c r="DKF526" s="901"/>
      <c r="DKG526" s="901"/>
      <c r="DKH526" s="901"/>
      <c r="DKI526" s="901"/>
      <c r="DKJ526" s="901"/>
      <c r="DKK526" s="901"/>
      <c r="DKL526" s="901"/>
      <c r="DKM526" s="901"/>
      <c r="DKN526" s="901"/>
      <c r="DKO526" s="901"/>
      <c r="DKP526" s="901"/>
      <c r="DKQ526" s="901"/>
      <c r="DKR526" s="901"/>
      <c r="DKS526" s="901"/>
      <c r="DKT526" s="901"/>
      <c r="DKU526" s="901"/>
      <c r="DKV526" s="901"/>
      <c r="DKW526" s="901"/>
      <c r="DKX526" s="901"/>
      <c r="DKY526" s="901"/>
      <c r="DKZ526" s="901"/>
      <c r="DLA526" s="901"/>
      <c r="DLB526" s="901"/>
      <c r="DLC526" s="901"/>
      <c r="DLD526" s="901"/>
      <c r="DLE526" s="901"/>
      <c r="DLF526" s="901"/>
      <c r="DLG526" s="901"/>
      <c r="DLH526" s="901"/>
      <c r="DLI526" s="901"/>
      <c r="DLJ526" s="901"/>
      <c r="DLK526" s="901"/>
      <c r="DLL526" s="901"/>
      <c r="DLM526" s="901"/>
      <c r="DLN526" s="901"/>
      <c r="DLO526" s="901"/>
      <c r="DLP526" s="901"/>
      <c r="DLQ526" s="901"/>
      <c r="DLR526" s="901"/>
      <c r="DLS526" s="901"/>
      <c r="DLT526" s="901"/>
      <c r="DLU526" s="901"/>
      <c r="DLV526" s="901"/>
      <c r="DLW526" s="901"/>
      <c r="DLX526" s="901"/>
      <c r="DLY526" s="901"/>
      <c r="DLZ526" s="901"/>
      <c r="DMA526" s="901"/>
      <c r="DMB526" s="901"/>
      <c r="DMC526" s="901"/>
      <c r="DMD526" s="901"/>
      <c r="DME526" s="901"/>
      <c r="DMF526" s="901"/>
      <c r="DMG526" s="901"/>
      <c r="DMH526" s="901"/>
      <c r="DMI526" s="901"/>
      <c r="DMJ526" s="901"/>
      <c r="DMK526" s="901"/>
      <c r="DML526" s="901"/>
      <c r="DMM526" s="901"/>
      <c r="DMN526" s="901"/>
      <c r="DMO526" s="901"/>
      <c r="DMP526" s="901"/>
      <c r="DMQ526" s="901"/>
      <c r="DMR526" s="901"/>
      <c r="DMS526" s="901"/>
      <c r="DMT526" s="901"/>
      <c r="DMU526" s="901"/>
      <c r="DMV526" s="901"/>
      <c r="DMW526" s="901"/>
      <c r="DMX526" s="901"/>
      <c r="DMY526" s="901"/>
      <c r="DMZ526" s="901"/>
      <c r="DNA526" s="901"/>
      <c r="DNB526" s="901"/>
      <c r="DNC526" s="901"/>
      <c r="DND526" s="901"/>
      <c r="DNE526" s="901"/>
      <c r="DNF526" s="901"/>
      <c r="DNG526" s="901"/>
      <c r="DNH526" s="901"/>
      <c r="DNI526" s="901"/>
      <c r="DNJ526" s="901"/>
      <c r="DNK526" s="901"/>
      <c r="DNL526" s="901"/>
      <c r="DNM526" s="901"/>
      <c r="DNN526" s="901"/>
      <c r="DNO526" s="901"/>
      <c r="DNP526" s="901"/>
      <c r="DNQ526" s="901"/>
      <c r="DNR526" s="901"/>
      <c r="DNS526" s="901"/>
      <c r="DNT526" s="901"/>
      <c r="DNU526" s="901"/>
      <c r="DNV526" s="901"/>
      <c r="DNW526" s="901"/>
      <c r="DNX526" s="901"/>
      <c r="DNY526" s="901"/>
      <c r="DNZ526" s="901"/>
      <c r="DOA526" s="901"/>
      <c r="DOB526" s="901"/>
      <c r="DOC526" s="901"/>
      <c r="DOD526" s="901"/>
      <c r="DOE526" s="901"/>
      <c r="DOF526" s="901"/>
      <c r="DOG526" s="901"/>
      <c r="DOH526" s="901"/>
      <c r="DOI526" s="901"/>
      <c r="DOJ526" s="901"/>
      <c r="DOK526" s="901"/>
      <c r="DOL526" s="901"/>
      <c r="DOM526" s="901"/>
      <c r="DON526" s="901"/>
      <c r="DOO526" s="901"/>
      <c r="DOP526" s="901"/>
      <c r="DOQ526" s="901"/>
      <c r="DOR526" s="901"/>
      <c r="DOS526" s="901"/>
      <c r="DOT526" s="901"/>
      <c r="DOU526" s="901"/>
      <c r="DOV526" s="901"/>
      <c r="DOW526" s="901"/>
      <c r="DOX526" s="901"/>
      <c r="DOY526" s="901"/>
      <c r="DOZ526" s="901"/>
      <c r="DPA526" s="901"/>
      <c r="DPB526" s="901"/>
      <c r="DPC526" s="901"/>
      <c r="DPD526" s="901"/>
      <c r="DPE526" s="901"/>
      <c r="DPF526" s="901"/>
      <c r="DPG526" s="901"/>
      <c r="DPH526" s="901"/>
      <c r="DPI526" s="901"/>
      <c r="DPJ526" s="901"/>
      <c r="DPK526" s="901"/>
      <c r="DPL526" s="901"/>
      <c r="DPM526" s="901"/>
      <c r="DPN526" s="901"/>
      <c r="DPO526" s="901"/>
      <c r="DPP526" s="901"/>
      <c r="DPQ526" s="901"/>
      <c r="DPR526" s="901"/>
      <c r="DPS526" s="901"/>
      <c r="DPT526" s="901"/>
      <c r="DPU526" s="901"/>
      <c r="DPV526" s="901"/>
      <c r="DPW526" s="901"/>
      <c r="DPX526" s="901"/>
      <c r="DPY526" s="901"/>
      <c r="DPZ526" s="901"/>
      <c r="DQA526" s="901"/>
      <c r="DQB526" s="901"/>
      <c r="DQC526" s="901"/>
      <c r="DQD526" s="901"/>
      <c r="DQE526" s="901"/>
      <c r="DQF526" s="901"/>
      <c r="DQG526" s="901"/>
      <c r="DQH526" s="901"/>
      <c r="DQI526" s="901"/>
      <c r="DQJ526" s="901"/>
      <c r="DQK526" s="901"/>
      <c r="DQL526" s="901"/>
      <c r="DQM526" s="901"/>
      <c r="DQN526" s="901"/>
      <c r="DQO526" s="901"/>
      <c r="DQP526" s="901"/>
      <c r="DQQ526" s="901"/>
      <c r="DQR526" s="901"/>
      <c r="DQS526" s="901"/>
      <c r="DQT526" s="901"/>
      <c r="DQU526" s="901"/>
      <c r="DQV526" s="901"/>
      <c r="DQW526" s="901"/>
      <c r="DQX526" s="901"/>
      <c r="DQY526" s="901"/>
      <c r="DQZ526" s="901"/>
      <c r="DRA526" s="901"/>
      <c r="DRB526" s="901"/>
      <c r="DRC526" s="901"/>
      <c r="DRD526" s="901"/>
      <c r="DRE526" s="901"/>
      <c r="DRF526" s="901"/>
      <c r="DRG526" s="901"/>
      <c r="DRH526" s="901"/>
      <c r="DRI526" s="901"/>
      <c r="DRJ526" s="901"/>
      <c r="DRK526" s="901"/>
      <c r="DRL526" s="901"/>
      <c r="DRM526" s="901"/>
      <c r="DRN526" s="901"/>
      <c r="DRO526" s="901"/>
      <c r="DRP526" s="901"/>
      <c r="DRQ526" s="901"/>
      <c r="DRR526" s="901"/>
      <c r="DRS526" s="901"/>
      <c r="DRT526" s="901"/>
      <c r="DRU526" s="901"/>
      <c r="DRV526" s="901"/>
      <c r="DRW526" s="901"/>
      <c r="DRX526" s="901"/>
      <c r="DRY526" s="901"/>
      <c r="DRZ526" s="901"/>
      <c r="DSA526" s="901"/>
      <c r="DSB526" s="901"/>
      <c r="DSC526" s="901"/>
      <c r="DSD526" s="901"/>
      <c r="DSE526" s="901"/>
      <c r="DSF526" s="901"/>
      <c r="DSG526" s="901"/>
      <c r="DSH526" s="901"/>
      <c r="DSI526" s="901"/>
      <c r="DSJ526" s="901"/>
      <c r="DSK526" s="901"/>
      <c r="DSL526" s="901"/>
      <c r="DSM526" s="901"/>
      <c r="DSN526" s="901"/>
      <c r="DSO526" s="901"/>
      <c r="DSP526" s="901"/>
      <c r="DSQ526" s="901"/>
      <c r="DSR526" s="901"/>
      <c r="DSS526" s="901"/>
      <c r="DST526" s="901"/>
      <c r="DSU526" s="901"/>
      <c r="DSV526" s="901"/>
      <c r="DSW526" s="901"/>
      <c r="DSX526" s="901"/>
      <c r="DSY526" s="901"/>
      <c r="DSZ526" s="901"/>
      <c r="DTA526" s="901"/>
      <c r="DTB526" s="901"/>
      <c r="DTC526" s="901"/>
      <c r="DTD526" s="901"/>
      <c r="DTE526" s="901"/>
      <c r="DTF526" s="901"/>
      <c r="DTG526" s="901"/>
      <c r="DTH526" s="901"/>
      <c r="DTI526" s="901"/>
      <c r="DTJ526" s="901"/>
      <c r="DTK526" s="901"/>
      <c r="DTL526" s="901"/>
      <c r="DTM526" s="901"/>
      <c r="DTN526" s="901"/>
      <c r="DTO526" s="901"/>
      <c r="DTP526" s="901"/>
      <c r="DTQ526" s="901"/>
      <c r="DTR526" s="901"/>
      <c r="DTS526" s="901"/>
      <c r="DTT526" s="901"/>
      <c r="DTU526" s="901"/>
      <c r="DTV526" s="901"/>
      <c r="DTW526" s="901"/>
      <c r="DTX526" s="901"/>
      <c r="DTY526" s="901"/>
      <c r="DTZ526" s="901"/>
      <c r="DUA526" s="901"/>
      <c r="DUB526" s="901"/>
      <c r="DUC526" s="901"/>
      <c r="DUD526" s="901"/>
      <c r="DUE526" s="901"/>
      <c r="DUF526" s="901"/>
      <c r="DUG526" s="901"/>
      <c r="DUH526" s="901"/>
      <c r="DUI526" s="901"/>
      <c r="DUJ526" s="901"/>
      <c r="DUK526" s="901"/>
      <c r="DUL526" s="901"/>
      <c r="DUM526" s="901"/>
      <c r="DUN526" s="901"/>
      <c r="DUO526" s="901"/>
      <c r="DUP526" s="901"/>
      <c r="DUQ526" s="901"/>
      <c r="DUR526" s="901"/>
      <c r="DUS526" s="901"/>
      <c r="DUT526" s="901"/>
      <c r="DUU526" s="901"/>
      <c r="DUV526" s="901"/>
      <c r="DUW526" s="901"/>
      <c r="DUX526" s="901"/>
      <c r="DUY526" s="901"/>
      <c r="DUZ526" s="901"/>
      <c r="DVA526" s="901"/>
      <c r="DVB526" s="901"/>
      <c r="DVC526" s="901"/>
      <c r="DVD526" s="901"/>
      <c r="DVE526" s="901"/>
      <c r="DVF526" s="901"/>
      <c r="DVG526" s="901"/>
      <c r="DVH526" s="901"/>
      <c r="DVI526" s="901"/>
      <c r="DVJ526" s="901"/>
      <c r="DVK526" s="901"/>
      <c r="DVL526" s="901"/>
      <c r="DVM526" s="901"/>
      <c r="DVN526" s="901"/>
      <c r="DVO526" s="901"/>
      <c r="DVP526" s="901"/>
      <c r="DVQ526" s="901"/>
      <c r="DVR526" s="901"/>
      <c r="DVS526" s="901"/>
      <c r="DVT526" s="901"/>
      <c r="DVU526" s="901"/>
      <c r="DVV526" s="901"/>
      <c r="DVW526" s="901"/>
      <c r="DVX526" s="901"/>
      <c r="DVY526" s="901"/>
      <c r="DVZ526" s="901"/>
      <c r="DWA526" s="901"/>
      <c r="DWB526" s="901"/>
      <c r="DWC526" s="901"/>
      <c r="DWD526" s="901"/>
      <c r="DWE526" s="901"/>
      <c r="DWF526" s="901"/>
      <c r="DWG526" s="901"/>
      <c r="DWH526" s="901"/>
      <c r="DWI526" s="901"/>
      <c r="DWJ526" s="901"/>
      <c r="DWK526" s="901"/>
      <c r="DWL526" s="901"/>
      <c r="DWM526" s="901"/>
      <c r="DWN526" s="901"/>
      <c r="DWO526" s="901"/>
      <c r="DWP526" s="901"/>
      <c r="DWQ526" s="901"/>
      <c r="DWR526" s="901"/>
      <c r="DWS526" s="901"/>
      <c r="DWT526" s="901"/>
      <c r="DWU526" s="901"/>
      <c r="DWV526" s="901"/>
      <c r="DWW526" s="901"/>
      <c r="DWX526" s="901"/>
      <c r="DWY526" s="901"/>
      <c r="DWZ526" s="901"/>
      <c r="DXA526" s="901"/>
      <c r="DXB526" s="901"/>
      <c r="DXC526" s="901"/>
      <c r="DXD526" s="901"/>
      <c r="DXE526" s="901"/>
      <c r="DXF526" s="901"/>
      <c r="DXG526" s="901"/>
      <c r="DXH526" s="901"/>
      <c r="DXI526" s="901"/>
      <c r="DXJ526" s="901"/>
      <c r="DXK526" s="901"/>
      <c r="DXL526" s="901"/>
      <c r="DXM526" s="901"/>
      <c r="DXN526" s="901"/>
      <c r="DXO526" s="901"/>
      <c r="DXP526" s="901"/>
      <c r="DXQ526" s="901"/>
      <c r="DXR526" s="901"/>
      <c r="DXS526" s="901"/>
      <c r="DXT526" s="901"/>
      <c r="DXU526" s="901"/>
      <c r="DXV526" s="901"/>
      <c r="DXW526" s="901"/>
      <c r="DXX526" s="901"/>
      <c r="DXY526" s="901"/>
      <c r="DXZ526" s="901"/>
      <c r="DYA526" s="901"/>
      <c r="DYB526" s="901"/>
      <c r="DYC526" s="901"/>
      <c r="DYD526" s="901"/>
      <c r="DYE526" s="901"/>
      <c r="DYF526" s="901"/>
      <c r="DYG526" s="901"/>
      <c r="DYH526" s="901"/>
      <c r="DYI526" s="901"/>
      <c r="DYJ526" s="901"/>
      <c r="DYK526" s="901"/>
      <c r="DYL526" s="901"/>
      <c r="DYM526" s="901"/>
      <c r="DYN526" s="901"/>
      <c r="DYO526" s="901"/>
      <c r="DYP526" s="901"/>
      <c r="DYQ526" s="901"/>
      <c r="DYR526" s="901"/>
      <c r="DYS526" s="901"/>
      <c r="DYT526" s="901"/>
      <c r="DYU526" s="901"/>
      <c r="DYV526" s="901"/>
      <c r="DYW526" s="901"/>
      <c r="DYX526" s="901"/>
      <c r="DYY526" s="901"/>
      <c r="DYZ526" s="901"/>
      <c r="DZA526" s="901"/>
      <c r="DZB526" s="901"/>
      <c r="DZC526" s="901"/>
      <c r="DZD526" s="901"/>
      <c r="DZE526" s="901"/>
      <c r="DZF526" s="901"/>
      <c r="DZG526" s="901"/>
      <c r="DZH526" s="901"/>
      <c r="DZI526" s="901"/>
      <c r="DZJ526" s="901"/>
      <c r="DZK526" s="901"/>
      <c r="DZL526" s="901"/>
      <c r="DZM526" s="901"/>
      <c r="DZN526" s="901"/>
      <c r="DZO526" s="901"/>
      <c r="DZP526" s="901"/>
      <c r="DZQ526" s="901"/>
      <c r="DZR526" s="901"/>
      <c r="DZS526" s="901"/>
      <c r="DZT526" s="901"/>
      <c r="DZU526" s="901"/>
      <c r="DZV526" s="901"/>
      <c r="DZW526" s="901"/>
      <c r="DZX526" s="901"/>
      <c r="DZY526" s="901"/>
      <c r="DZZ526" s="901"/>
      <c r="EAA526" s="901"/>
      <c r="EAB526" s="901"/>
      <c r="EAC526" s="901"/>
      <c r="EAD526" s="901"/>
      <c r="EAE526" s="901"/>
      <c r="EAF526" s="901"/>
      <c r="EAG526" s="901"/>
      <c r="EAH526" s="901"/>
      <c r="EAI526" s="901"/>
      <c r="EAJ526" s="901"/>
      <c r="EAK526" s="901"/>
      <c r="EAL526" s="901"/>
      <c r="EAM526" s="901"/>
      <c r="EAN526" s="901"/>
      <c r="EAO526" s="901"/>
      <c r="EAP526" s="901"/>
      <c r="EAQ526" s="901"/>
      <c r="EAR526" s="901"/>
      <c r="EAS526" s="901"/>
      <c r="EAT526" s="901"/>
      <c r="EAU526" s="901"/>
      <c r="EAV526" s="901"/>
      <c r="EAW526" s="901"/>
      <c r="EAX526" s="901"/>
      <c r="EAY526" s="901"/>
      <c r="EAZ526" s="901"/>
      <c r="EBA526" s="901"/>
      <c r="EBB526" s="901"/>
      <c r="EBC526" s="901"/>
      <c r="EBD526" s="901"/>
      <c r="EBE526" s="901"/>
      <c r="EBF526" s="901"/>
      <c r="EBG526" s="901"/>
      <c r="EBH526" s="901"/>
      <c r="EBI526" s="901"/>
      <c r="EBJ526" s="901"/>
      <c r="EBK526" s="901"/>
      <c r="EBL526" s="901"/>
      <c r="EBM526" s="901"/>
      <c r="EBN526" s="901"/>
      <c r="EBO526" s="901"/>
      <c r="EBP526" s="901"/>
      <c r="EBQ526" s="901"/>
      <c r="EBR526" s="901"/>
      <c r="EBS526" s="901"/>
      <c r="EBT526" s="901"/>
      <c r="EBU526" s="901"/>
      <c r="EBV526" s="901"/>
      <c r="EBW526" s="901"/>
      <c r="EBX526" s="901"/>
      <c r="EBY526" s="901"/>
      <c r="EBZ526" s="901"/>
      <c r="ECA526" s="901"/>
      <c r="ECB526" s="901"/>
      <c r="ECC526" s="901"/>
      <c r="ECD526" s="901"/>
      <c r="ECE526" s="901"/>
      <c r="ECF526" s="901"/>
      <c r="ECG526" s="901"/>
      <c r="ECH526" s="901"/>
      <c r="ECI526" s="901"/>
      <c r="ECJ526" s="901"/>
      <c r="ECK526" s="901"/>
      <c r="ECL526" s="901"/>
      <c r="ECM526" s="901"/>
      <c r="ECN526" s="901"/>
      <c r="ECO526" s="901"/>
      <c r="ECP526" s="901"/>
      <c r="ECQ526" s="901"/>
      <c r="ECR526" s="901"/>
      <c r="ECS526" s="901"/>
      <c r="ECT526" s="901"/>
      <c r="ECU526" s="901"/>
      <c r="ECV526" s="901"/>
      <c r="ECW526" s="901"/>
      <c r="ECX526" s="901"/>
      <c r="ECY526" s="901"/>
      <c r="ECZ526" s="901"/>
      <c r="EDA526" s="901"/>
      <c r="EDB526" s="901"/>
      <c r="EDC526" s="901"/>
      <c r="EDD526" s="901"/>
      <c r="EDE526" s="901"/>
      <c r="EDF526" s="901"/>
      <c r="EDG526" s="901"/>
      <c r="EDH526" s="901"/>
      <c r="EDI526" s="901"/>
      <c r="EDJ526" s="901"/>
      <c r="EDK526" s="901"/>
      <c r="EDL526" s="901"/>
      <c r="EDM526" s="901"/>
      <c r="EDN526" s="901"/>
      <c r="EDO526" s="901"/>
      <c r="EDP526" s="901"/>
      <c r="EDQ526" s="901"/>
      <c r="EDR526" s="901"/>
      <c r="EDS526" s="901"/>
      <c r="EDT526" s="901"/>
      <c r="EDU526" s="901"/>
      <c r="EDV526" s="901"/>
      <c r="EDW526" s="901"/>
      <c r="EDX526" s="901"/>
      <c r="EDY526" s="901"/>
      <c r="EDZ526" s="901"/>
      <c r="EEA526" s="901"/>
      <c r="EEB526" s="901"/>
      <c r="EEC526" s="901"/>
      <c r="EED526" s="901"/>
      <c r="EEE526" s="901"/>
      <c r="EEF526" s="901"/>
      <c r="EEG526" s="901"/>
      <c r="EEH526" s="901"/>
      <c r="EEI526" s="901"/>
      <c r="EEJ526" s="901"/>
      <c r="EEK526" s="901"/>
      <c r="EEL526" s="901"/>
      <c r="EEM526" s="901"/>
      <c r="EEN526" s="901"/>
      <c r="EEO526" s="901"/>
      <c r="EEP526" s="901"/>
      <c r="EEQ526" s="901"/>
      <c r="EER526" s="901"/>
      <c r="EES526" s="901"/>
      <c r="EET526" s="901"/>
      <c r="EEU526" s="901"/>
      <c r="EEV526" s="901"/>
      <c r="EEW526" s="901"/>
      <c r="EEX526" s="901"/>
      <c r="EEY526" s="901"/>
      <c r="EEZ526" s="901"/>
      <c r="EFA526" s="901"/>
      <c r="EFB526" s="901"/>
      <c r="EFC526" s="901"/>
      <c r="EFD526" s="901"/>
      <c r="EFE526" s="901"/>
      <c r="EFF526" s="901"/>
      <c r="EFG526" s="901"/>
      <c r="EFH526" s="901"/>
      <c r="EFI526" s="901"/>
      <c r="EFJ526" s="901"/>
      <c r="EFK526" s="901"/>
      <c r="EFL526" s="901"/>
      <c r="EFM526" s="901"/>
      <c r="EFN526" s="901"/>
      <c r="EFO526" s="901"/>
      <c r="EFP526" s="901"/>
      <c r="EFQ526" s="901"/>
      <c r="EFR526" s="901"/>
      <c r="EFS526" s="901"/>
      <c r="EFT526" s="901"/>
      <c r="EFU526" s="901"/>
      <c r="EFV526" s="901"/>
      <c r="EFW526" s="901"/>
      <c r="EFX526" s="901"/>
      <c r="EFY526" s="901"/>
      <c r="EFZ526" s="901"/>
      <c r="EGA526" s="901"/>
      <c r="EGB526" s="901"/>
      <c r="EGC526" s="901"/>
      <c r="EGD526" s="901"/>
      <c r="EGE526" s="901"/>
      <c r="EGF526" s="901"/>
      <c r="EGG526" s="901"/>
      <c r="EGH526" s="901"/>
      <c r="EGI526" s="901"/>
      <c r="EGJ526" s="901"/>
      <c r="EGK526" s="901"/>
      <c r="EGL526" s="901"/>
      <c r="EGM526" s="901"/>
      <c r="EGN526" s="901"/>
      <c r="EGO526" s="901"/>
      <c r="EGP526" s="901"/>
      <c r="EGQ526" s="901"/>
      <c r="EGR526" s="901"/>
      <c r="EGS526" s="901"/>
      <c r="EGT526" s="901"/>
      <c r="EGU526" s="901"/>
      <c r="EGV526" s="901"/>
      <c r="EGW526" s="901"/>
      <c r="EGX526" s="901"/>
      <c r="EGY526" s="901"/>
      <c r="EGZ526" s="901"/>
      <c r="EHA526" s="901"/>
      <c r="EHB526" s="901"/>
      <c r="EHC526" s="901"/>
      <c r="EHD526" s="901"/>
      <c r="EHE526" s="901"/>
      <c r="EHF526" s="901"/>
      <c r="EHG526" s="901"/>
      <c r="EHH526" s="901"/>
      <c r="EHI526" s="901"/>
      <c r="EHJ526" s="901"/>
      <c r="EHK526" s="901"/>
      <c r="EHL526" s="901"/>
      <c r="EHM526" s="901"/>
      <c r="EHN526" s="901"/>
      <c r="EHO526" s="901"/>
      <c r="EHP526" s="901"/>
      <c r="EHQ526" s="901"/>
      <c r="EHR526" s="901"/>
      <c r="EHS526" s="901"/>
      <c r="EHT526" s="901"/>
      <c r="EHU526" s="901"/>
      <c r="EHV526" s="901"/>
      <c r="EHW526" s="901"/>
      <c r="EHX526" s="901"/>
      <c r="EHY526" s="901"/>
      <c r="EHZ526" s="901"/>
      <c r="EIA526" s="901"/>
      <c r="EIB526" s="901"/>
      <c r="EIC526" s="901"/>
      <c r="EID526" s="901"/>
      <c r="EIE526" s="901"/>
      <c r="EIF526" s="901"/>
      <c r="EIG526" s="901"/>
      <c r="EIH526" s="901"/>
      <c r="EII526" s="901"/>
      <c r="EIJ526" s="901"/>
      <c r="EIK526" s="901"/>
      <c r="EIL526" s="901"/>
      <c r="EIM526" s="901"/>
      <c r="EIN526" s="901"/>
      <c r="EIO526" s="901"/>
      <c r="EIP526" s="901"/>
      <c r="EIQ526" s="901"/>
      <c r="EIR526" s="901"/>
      <c r="EIS526" s="901"/>
      <c r="EIT526" s="901"/>
      <c r="EIU526" s="901"/>
      <c r="EIV526" s="901"/>
      <c r="EIW526" s="901"/>
      <c r="EIX526" s="901"/>
      <c r="EIY526" s="901"/>
      <c r="EIZ526" s="901"/>
      <c r="EJA526" s="901"/>
      <c r="EJB526" s="901"/>
      <c r="EJC526" s="901"/>
      <c r="EJD526" s="901"/>
      <c r="EJE526" s="901"/>
      <c r="EJF526" s="901"/>
      <c r="EJG526" s="901"/>
      <c r="EJH526" s="901"/>
      <c r="EJI526" s="901"/>
      <c r="EJJ526" s="901"/>
      <c r="EJK526" s="901"/>
      <c r="EJL526" s="901"/>
      <c r="EJM526" s="901"/>
      <c r="EJN526" s="901"/>
      <c r="EJO526" s="901"/>
      <c r="EJP526" s="901"/>
      <c r="EJQ526" s="901"/>
      <c r="EJR526" s="901"/>
      <c r="EJS526" s="901"/>
      <c r="EJT526" s="901"/>
      <c r="EJU526" s="901"/>
      <c r="EJV526" s="901"/>
      <c r="EJW526" s="901"/>
      <c r="EJX526" s="901"/>
      <c r="EJY526" s="901"/>
      <c r="EJZ526" s="901"/>
      <c r="EKA526" s="901"/>
      <c r="EKB526" s="901"/>
      <c r="EKC526" s="901"/>
      <c r="EKD526" s="901"/>
      <c r="EKE526" s="901"/>
      <c r="EKF526" s="901"/>
      <c r="EKG526" s="901"/>
      <c r="EKH526" s="901"/>
      <c r="EKI526" s="901"/>
      <c r="EKJ526" s="901"/>
      <c r="EKK526" s="901"/>
      <c r="EKL526" s="901"/>
      <c r="EKM526" s="901"/>
      <c r="EKN526" s="901"/>
      <c r="EKO526" s="901"/>
      <c r="EKP526" s="901"/>
      <c r="EKQ526" s="901"/>
      <c r="EKR526" s="901"/>
      <c r="EKS526" s="901"/>
      <c r="EKT526" s="901"/>
      <c r="EKU526" s="901"/>
      <c r="EKV526" s="901"/>
      <c r="EKW526" s="901"/>
      <c r="EKX526" s="901"/>
      <c r="EKY526" s="901"/>
      <c r="EKZ526" s="901"/>
      <c r="ELA526" s="901"/>
      <c r="ELB526" s="901"/>
      <c r="ELC526" s="901"/>
      <c r="ELD526" s="901"/>
      <c r="ELE526" s="901"/>
      <c r="ELF526" s="901"/>
      <c r="ELG526" s="901"/>
      <c r="ELH526" s="901"/>
      <c r="ELI526" s="901"/>
      <c r="ELJ526" s="901"/>
      <c r="ELK526" s="901"/>
      <c r="ELL526" s="901"/>
      <c r="ELM526" s="901"/>
      <c r="ELN526" s="901"/>
      <c r="ELO526" s="901"/>
      <c r="ELP526" s="901"/>
      <c r="ELQ526" s="901"/>
      <c r="ELR526" s="901"/>
      <c r="ELS526" s="901"/>
      <c r="ELT526" s="901"/>
      <c r="ELU526" s="901"/>
      <c r="ELV526" s="901"/>
      <c r="ELW526" s="901"/>
      <c r="ELX526" s="901"/>
      <c r="ELY526" s="901"/>
      <c r="ELZ526" s="901"/>
      <c r="EMA526" s="901"/>
      <c r="EMB526" s="901"/>
      <c r="EMC526" s="901"/>
      <c r="EMD526" s="901"/>
      <c r="EME526" s="901"/>
      <c r="EMF526" s="901"/>
      <c r="EMG526" s="901"/>
      <c r="EMH526" s="901"/>
      <c r="EMI526" s="901"/>
      <c r="EMJ526" s="901"/>
      <c r="EMK526" s="901"/>
      <c r="EML526" s="901"/>
      <c r="EMM526" s="901"/>
      <c r="EMN526" s="901"/>
      <c r="EMO526" s="901"/>
      <c r="EMP526" s="901"/>
      <c r="EMQ526" s="901"/>
      <c r="EMR526" s="901"/>
      <c r="EMS526" s="901"/>
      <c r="EMT526" s="901"/>
      <c r="EMU526" s="901"/>
      <c r="EMV526" s="901"/>
      <c r="EMW526" s="901"/>
      <c r="EMX526" s="901"/>
      <c r="EMY526" s="901"/>
      <c r="EMZ526" s="901"/>
      <c r="ENA526" s="901"/>
      <c r="ENB526" s="901"/>
      <c r="ENC526" s="901"/>
      <c r="END526" s="901"/>
      <c r="ENE526" s="901"/>
      <c r="ENF526" s="901"/>
      <c r="ENG526" s="901"/>
      <c r="ENH526" s="901"/>
      <c r="ENI526" s="901"/>
      <c r="ENJ526" s="901"/>
      <c r="ENK526" s="901"/>
      <c r="ENL526" s="901"/>
      <c r="ENM526" s="901"/>
      <c r="ENN526" s="901"/>
      <c r="ENO526" s="901"/>
      <c r="ENP526" s="901"/>
      <c r="ENQ526" s="901"/>
      <c r="ENR526" s="901"/>
      <c r="ENS526" s="901"/>
      <c r="ENT526" s="901"/>
      <c r="ENU526" s="901"/>
      <c r="ENV526" s="901"/>
      <c r="ENW526" s="901"/>
      <c r="ENX526" s="901"/>
      <c r="ENY526" s="901"/>
      <c r="ENZ526" s="901"/>
      <c r="EOA526" s="901"/>
      <c r="EOB526" s="901"/>
      <c r="EOC526" s="901"/>
      <c r="EOD526" s="901"/>
      <c r="EOE526" s="901"/>
      <c r="EOF526" s="901"/>
      <c r="EOG526" s="901"/>
      <c r="EOH526" s="901"/>
      <c r="EOI526" s="901"/>
      <c r="EOJ526" s="901"/>
      <c r="EOK526" s="901"/>
      <c r="EOL526" s="901"/>
      <c r="EOM526" s="901"/>
      <c r="EON526" s="901"/>
      <c r="EOO526" s="901"/>
      <c r="EOP526" s="901"/>
      <c r="EOQ526" s="901"/>
      <c r="EOR526" s="901"/>
      <c r="EOS526" s="901"/>
      <c r="EOT526" s="901"/>
      <c r="EOU526" s="901"/>
      <c r="EOV526" s="901"/>
      <c r="EOW526" s="901"/>
      <c r="EOX526" s="901"/>
      <c r="EOY526" s="901"/>
      <c r="EOZ526" s="901"/>
      <c r="EPA526" s="901"/>
      <c r="EPB526" s="901"/>
      <c r="EPC526" s="901"/>
      <c r="EPD526" s="901"/>
      <c r="EPE526" s="901"/>
      <c r="EPF526" s="901"/>
      <c r="EPG526" s="901"/>
      <c r="EPH526" s="901"/>
      <c r="EPI526" s="901"/>
      <c r="EPJ526" s="901"/>
      <c r="EPK526" s="901"/>
      <c r="EPL526" s="901"/>
      <c r="EPM526" s="901"/>
      <c r="EPN526" s="901"/>
      <c r="EPO526" s="901"/>
      <c r="EPP526" s="901"/>
      <c r="EPQ526" s="901"/>
      <c r="EPR526" s="901"/>
      <c r="EPS526" s="901"/>
      <c r="EPT526" s="901"/>
      <c r="EPU526" s="901"/>
      <c r="EPV526" s="901"/>
      <c r="EPW526" s="901"/>
      <c r="EPX526" s="901"/>
      <c r="EPY526" s="901"/>
      <c r="EPZ526" s="901"/>
      <c r="EQA526" s="901"/>
      <c r="EQB526" s="901"/>
      <c r="EQC526" s="901"/>
      <c r="EQD526" s="901"/>
      <c r="EQE526" s="901"/>
      <c r="EQF526" s="901"/>
      <c r="EQG526" s="901"/>
      <c r="EQH526" s="901"/>
      <c r="EQI526" s="901"/>
      <c r="EQJ526" s="901"/>
      <c r="EQK526" s="901"/>
      <c r="EQL526" s="901"/>
      <c r="EQM526" s="901"/>
      <c r="EQN526" s="901"/>
      <c r="EQO526" s="901"/>
      <c r="EQP526" s="901"/>
      <c r="EQQ526" s="901"/>
      <c r="EQR526" s="901"/>
      <c r="EQS526" s="901"/>
      <c r="EQT526" s="901"/>
      <c r="EQU526" s="901"/>
      <c r="EQV526" s="901"/>
      <c r="EQW526" s="901"/>
      <c r="EQX526" s="901"/>
      <c r="EQY526" s="901"/>
      <c r="EQZ526" s="901"/>
      <c r="ERA526" s="901"/>
      <c r="ERB526" s="901"/>
      <c r="ERC526" s="901"/>
      <c r="ERD526" s="901"/>
      <c r="ERE526" s="901"/>
      <c r="ERF526" s="901"/>
      <c r="ERG526" s="901"/>
      <c r="ERH526" s="901"/>
      <c r="ERI526" s="901"/>
      <c r="ERJ526" s="901"/>
      <c r="ERK526" s="901"/>
      <c r="ERL526" s="901"/>
      <c r="ERM526" s="901"/>
      <c r="ERN526" s="901"/>
      <c r="ERO526" s="901"/>
      <c r="ERP526" s="901"/>
      <c r="ERQ526" s="901"/>
      <c r="ERR526" s="901"/>
      <c r="ERS526" s="901"/>
      <c r="ERT526" s="901"/>
      <c r="ERU526" s="901"/>
      <c r="ERV526" s="901"/>
      <c r="ERW526" s="901"/>
      <c r="ERX526" s="901"/>
      <c r="ERY526" s="901"/>
      <c r="ERZ526" s="901"/>
      <c r="ESA526" s="901"/>
      <c r="ESB526" s="901"/>
      <c r="ESC526" s="901"/>
      <c r="ESD526" s="901"/>
      <c r="ESE526" s="901"/>
      <c r="ESF526" s="901"/>
      <c r="ESG526" s="901"/>
      <c r="ESH526" s="901"/>
      <c r="ESI526" s="901"/>
      <c r="ESJ526" s="901"/>
      <c r="ESK526" s="901"/>
      <c r="ESL526" s="901"/>
      <c r="ESM526" s="901"/>
      <c r="ESN526" s="901"/>
      <c r="ESO526" s="901"/>
      <c r="ESP526" s="901"/>
      <c r="ESQ526" s="901"/>
      <c r="ESR526" s="901"/>
      <c r="ESS526" s="901"/>
      <c r="EST526" s="901"/>
      <c r="ESU526" s="901"/>
      <c r="ESV526" s="901"/>
      <c r="ESW526" s="901"/>
      <c r="ESX526" s="901"/>
      <c r="ESY526" s="901"/>
      <c r="ESZ526" s="901"/>
      <c r="ETA526" s="901"/>
      <c r="ETB526" s="901"/>
      <c r="ETC526" s="901"/>
      <c r="ETD526" s="901"/>
      <c r="ETE526" s="901"/>
      <c r="ETF526" s="901"/>
      <c r="ETG526" s="901"/>
      <c r="ETH526" s="901"/>
      <c r="ETI526" s="901"/>
      <c r="ETJ526" s="901"/>
      <c r="ETK526" s="901"/>
      <c r="ETL526" s="901"/>
      <c r="ETM526" s="901"/>
      <c r="ETN526" s="901"/>
      <c r="ETO526" s="901"/>
      <c r="ETP526" s="901"/>
      <c r="ETQ526" s="901"/>
      <c r="ETR526" s="901"/>
      <c r="ETS526" s="901"/>
      <c r="ETT526" s="901"/>
      <c r="ETU526" s="901"/>
      <c r="ETV526" s="901"/>
      <c r="ETW526" s="901"/>
      <c r="ETX526" s="901"/>
      <c r="ETY526" s="901"/>
      <c r="ETZ526" s="901"/>
      <c r="EUA526" s="901"/>
      <c r="EUB526" s="901"/>
      <c r="EUC526" s="901"/>
      <c r="EUD526" s="901"/>
      <c r="EUE526" s="901"/>
      <c r="EUF526" s="901"/>
      <c r="EUG526" s="901"/>
      <c r="EUH526" s="901"/>
      <c r="EUI526" s="901"/>
      <c r="EUJ526" s="901"/>
      <c r="EUK526" s="901"/>
      <c r="EUL526" s="901"/>
      <c r="EUM526" s="901"/>
      <c r="EUN526" s="901"/>
      <c r="EUO526" s="901"/>
      <c r="EUP526" s="901"/>
      <c r="EUQ526" s="901"/>
      <c r="EUR526" s="901"/>
      <c r="EUS526" s="901"/>
      <c r="EUT526" s="901"/>
      <c r="EUU526" s="901"/>
      <c r="EUV526" s="901"/>
      <c r="EUW526" s="901"/>
      <c r="EUX526" s="901"/>
      <c r="EUY526" s="901"/>
      <c r="EUZ526" s="901"/>
      <c r="EVA526" s="901"/>
      <c r="EVB526" s="901"/>
      <c r="EVC526" s="901"/>
      <c r="EVD526" s="901"/>
      <c r="EVE526" s="901"/>
      <c r="EVF526" s="901"/>
      <c r="EVG526" s="901"/>
      <c r="EVH526" s="901"/>
      <c r="EVI526" s="901"/>
      <c r="EVJ526" s="901"/>
      <c r="EVK526" s="901"/>
      <c r="EVL526" s="901"/>
      <c r="EVM526" s="901"/>
      <c r="EVN526" s="901"/>
      <c r="EVO526" s="901"/>
      <c r="EVP526" s="901"/>
      <c r="EVQ526" s="901"/>
      <c r="EVR526" s="901"/>
      <c r="EVS526" s="901"/>
      <c r="EVT526" s="901"/>
      <c r="EVU526" s="901"/>
      <c r="EVV526" s="901"/>
      <c r="EVW526" s="901"/>
      <c r="EVX526" s="901"/>
      <c r="EVY526" s="901"/>
      <c r="EVZ526" s="901"/>
      <c r="EWA526" s="901"/>
      <c r="EWB526" s="901"/>
      <c r="EWC526" s="901"/>
      <c r="EWD526" s="901"/>
      <c r="EWE526" s="901"/>
      <c r="EWF526" s="901"/>
      <c r="EWG526" s="901"/>
      <c r="EWH526" s="901"/>
      <c r="EWI526" s="901"/>
      <c r="EWJ526" s="901"/>
      <c r="EWK526" s="901"/>
      <c r="EWL526" s="901"/>
      <c r="EWM526" s="901"/>
      <c r="EWN526" s="901"/>
      <c r="EWO526" s="901"/>
      <c r="EWP526" s="901"/>
      <c r="EWQ526" s="901"/>
      <c r="EWR526" s="901"/>
      <c r="EWS526" s="901"/>
      <c r="EWT526" s="901"/>
      <c r="EWU526" s="901"/>
      <c r="EWV526" s="901"/>
      <c r="EWW526" s="901"/>
      <c r="EWX526" s="901"/>
      <c r="EWY526" s="901"/>
      <c r="EWZ526" s="901"/>
      <c r="EXA526" s="901"/>
      <c r="EXB526" s="901"/>
      <c r="EXC526" s="901"/>
      <c r="EXD526" s="901"/>
      <c r="EXE526" s="901"/>
      <c r="EXF526" s="901"/>
      <c r="EXG526" s="901"/>
      <c r="EXH526" s="901"/>
      <c r="EXI526" s="901"/>
      <c r="EXJ526" s="901"/>
      <c r="EXK526" s="901"/>
      <c r="EXL526" s="901"/>
      <c r="EXM526" s="901"/>
      <c r="EXN526" s="901"/>
      <c r="EXO526" s="901"/>
      <c r="EXP526" s="901"/>
      <c r="EXQ526" s="901"/>
      <c r="EXR526" s="901"/>
      <c r="EXS526" s="901"/>
      <c r="EXT526" s="901"/>
      <c r="EXU526" s="901"/>
      <c r="EXV526" s="901"/>
      <c r="EXW526" s="901"/>
      <c r="EXX526" s="901"/>
      <c r="EXY526" s="901"/>
      <c r="EXZ526" s="901"/>
      <c r="EYA526" s="901"/>
      <c r="EYB526" s="901"/>
      <c r="EYC526" s="901"/>
      <c r="EYD526" s="901"/>
      <c r="EYE526" s="901"/>
      <c r="EYF526" s="901"/>
      <c r="EYG526" s="901"/>
      <c r="EYH526" s="901"/>
      <c r="EYI526" s="901"/>
      <c r="EYJ526" s="901"/>
      <c r="EYK526" s="901"/>
      <c r="EYL526" s="901"/>
      <c r="EYM526" s="901"/>
      <c r="EYN526" s="901"/>
      <c r="EYO526" s="901"/>
      <c r="EYP526" s="901"/>
      <c r="EYQ526" s="901"/>
      <c r="EYR526" s="901"/>
      <c r="EYS526" s="901"/>
      <c r="EYT526" s="901"/>
      <c r="EYU526" s="901"/>
      <c r="EYV526" s="901"/>
      <c r="EYW526" s="901"/>
      <c r="EYX526" s="901"/>
      <c r="EYY526" s="901"/>
      <c r="EYZ526" s="901"/>
      <c r="EZA526" s="901"/>
      <c r="EZB526" s="901"/>
      <c r="EZC526" s="901"/>
      <c r="EZD526" s="901"/>
      <c r="EZE526" s="901"/>
      <c r="EZF526" s="901"/>
      <c r="EZG526" s="901"/>
      <c r="EZH526" s="901"/>
      <c r="EZI526" s="901"/>
      <c r="EZJ526" s="901"/>
      <c r="EZK526" s="901"/>
      <c r="EZL526" s="901"/>
      <c r="EZM526" s="901"/>
      <c r="EZN526" s="901"/>
      <c r="EZO526" s="901"/>
      <c r="EZP526" s="901"/>
      <c r="EZQ526" s="901"/>
      <c r="EZR526" s="901"/>
      <c r="EZS526" s="901"/>
      <c r="EZT526" s="901"/>
      <c r="EZU526" s="901"/>
      <c r="EZV526" s="901"/>
      <c r="EZW526" s="901"/>
      <c r="EZX526" s="901"/>
      <c r="EZY526" s="901"/>
      <c r="EZZ526" s="901"/>
      <c r="FAA526" s="901"/>
      <c r="FAB526" s="901"/>
      <c r="FAC526" s="901"/>
      <c r="FAD526" s="901"/>
      <c r="FAE526" s="901"/>
      <c r="FAF526" s="901"/>
      <c r="FAG526" s="901"/>
      <c r="FAH526" s="901"/>
      <c r="FAI526" s="901"/>
      <c r="FAJ526" s="901"/>
      <c r="FAK526" s="901"/>
      <c r="FAL526" s="901"/>
      <c r="FAM526" s="901"/>
      <c r="FAN526" s="901"/>
      <c r="FAO526" s="901"/>
      <c r="FAP526" s="901"/>
      <c r="FAQ526" s="901"/>
      <c r="FAR526" s="901"/>
      <c r="FAS526" s="901"/>
      <c r="FAT526" s="901"/>
      <c r="FAU526" s="901"/>
      <c r="FAV526" s="901"/>
      <c r="FAW526" s="901"/>
      <c r="FAX526" s="901"/>
      <c r="FAY526" s="901"/>
      <c r="FAZ526" s="901"/>
      <c r="FBA526" s="901"/>
      <c r="FBB526" s="901"/>
      <c r="FBC526" s="901"/>
      <c r="FBD526" s="901"/>
      <c r="FBE526" s="901"/>
      <c r="FBF526" s="901"/>
      <c r="FBG526" s="901"/>
      <c r="FBH526" s="901"/>
      <c r="FBI526" s="901"/>
      <c r="FBJ526" s="901"/>
      <c r="FBK526" s="901"/>
      <c r="FBL526" s="901"/>
      <c r="FBM526" s="901"/>
      <c r="FBN526" s="901"/>
      <c r="FBO526" s="901"/>
      <c r="FBP526" s="901"/>
      <c r="FBQ526" s="901"/>
      <c r="FBR526" s="901"/>
      <c r="FBS526" s="901"/>
      <c r="FBT526" s="901"/>
      <c r="FBU526" s="901"/>
      <c r="FBV526" s="901"/>
      <c r="FBW526" s="901"/>
      <c r="FBX526" s="901"/>
      <c r="FBY526" s="901"/>
      <c r="FBZ526" s="901"/>
      <c r="FCA526" s="901"/>
      <c r="FCB526" s="901"/>
      <c r="FCC526" s="901"/>
      <c r="FCD526" s="901"/>
      <c r="FCE526" s="901"/>
      <c r="FCF526" s="901"/>
      <c r="FCG526" s="901"/>
      <c r="FCH526" s="901"/>
      <c r="FCI526" s="901"/>
      <c r="FCJ526" s="901"/>
      <c r="FCK526" s="901"/>
      <c r="FCL526" s="901"/>
      <c r="FCM526" s="901"/>
      <c r="FCN526" s="901"/>
      <c r="FCO526" s="901"/>
      <c r="FCP526" s="901"/>
      <c r="FCQ526" s="901"/>
      <c r="FCR526" s="901"/>
      <c r="FCS526" s="901"/>
      <c r="FCT526" s="901"/>
      <c r="FCU526" s="901"/>
      <c r="FCV526" s="901"/>
      <c r="FCW526" s="901"/>
      <c r="FCX526" s="901"/>
      <c r="FCY526" s="901"/>
      <c r="FCZ526" s="901"/>
      <c r="FDA526" s="901"/>
      <c r="FDB526" s="901"/>
      <c r="FDC526" s="901"/>
      <c r="FDD526" s="901"/>
      <c r="FDE526" s="901"/>
      <c r="FDF526" s="901"/>
      <c r="FDG526" s="901"/>
      <c r="FDH526" s="901"/>
      <c r="FDI526" s="901"/>
      <c r="FDJ526" s="901"/>
      <c r="FDK526" s="901"/>
      <c r="FDL526" s="901"/>
      <c r="FDM526" s="901"/>
      <c r="FDN526" s="901"/>
      <c r="FDO526" s="901"/>
      <c r="FDP526" s="901"/>
      <c r="FDQ526" s="901"/>
      <c r="FDR526" s="901"/>
      <c r="FDS526" s="901"/>
      <c r="FDT526" s="901"/>
      <c r="FDU526" s="901"/>
      <c r="FDV526" s="901"/>
      <c r="FDW526" s="901"/>
      <c r="FDX526" s="901"/>
      <c r="FDY526" s="901"/>
      <c r="FDZ526" s="901"/>
      <c r="FEA526" s="901"/>
      <c r="FEB526" s="901"/>
      <c r="FEC526" s="901"/>
      <c r="FED526" s="901"/>
      <c r="FEE526" s="901"/>
      <c r="FEF526" s="901"/>
      <c r="FEG526" s="901"/>
      <c r="FEH526" s="901"/>
      <c r="FEI526" s="901"/>
      <c r="FEJ526" s="901"/>
      <c r="FEK526" s="901"/>
      <c r="FEL526" s="901"/>
      <c r="FEM526" s="901"/>
      <c r="FEN526" s="901"/>
      <c r="FEO526" s="901"/>
      <c r="FEP526" s="901"/>
      <c r="FEQ526" s="901"/>
      <c r="FER526" s="901"/>
      <c r="FES526" s="901"/>
      <c r="FET526" s="901"/>
      <c r="FEU526" s="901"/>
      <c r="FEV526" s="901"/>
      <c r="FEW526" s="901"/>
      <c r="FEX526" s="901"/>
      <c r="FEY526" s="901"/>
      <c r="FEZ526" s="901"/>
      <c r="FFA526" s="901"/>
      <c r="FFB526" s="901"/>
      <c r="FFC526" s="901"/>
      <c r="FFD526" s="901"/>
      <c r="FFE526" s="901"/>
      <c r="FFF526" s="901"/>
      <c r="FFG526" s="901"/>
      <c r="FFH526" s="901"/>
      <c r="FFI526" s="901"/>
      <c r="FFJ526" s="901"/>
      <c r="FFK526" s="901"/>
      <c r="FFL526" s="901"/>
      <c r="FFM526" s="901"/>
      <c r="FFN526" s="901"/>
      <c r="FFO526" s="901"/>
      <c r="FFP526" s="901"/>
      <c r="FFQ526" s="901"/>
      <c r="FFR526" s="901"/>
      <c r="FFS526" s="901"/>
      <c r="FFT526" s="901"/>
      <c r="FFU526" s="901"/>
      <c r="FFV526" s="901"/>
      <c r="FFW526" s="901"/>
      <c r="FFX526" s="901"/>
      <c r="FFY526" s="901"/>
      <c r="FFZ526" s="901"/>
      <c r="FGA526" s="901"/>
      <c r="FGB526" s="901"/>
      <c r="FGC526" s="901"/>
      <c r="FGD526" s="901"/>
      <c r="FGE526" s="901"/>
      <c r="FGF526" s="901"/>
      <c r="FGG526" s="901"/>
      <c r="FGH526" s="901"/>
      <c r="FGI526" s="901"/>
      <c r="FGJ526" s="901"/>
      <c r="FGK526" s="901"/>
      <c r="FGL526" s="901"/>
      <c r="FGM526" s="901"/>
      <c r="FGN526" s="901"/>
      <c r="FGO526" s="901"/>
      <c r="FGP526" s="901"/>
      <c r="FGQ526" s="901"/>
      <c r="FGR526" s="901"/>
      <c r="FGS526" s="901"/>
      <c r="FGT526" s="901"/>
      <c r="FGU526" s="901"/>
      <c r="FGV526" s="901"/>
      <c r="FGW526" s="901"/>
      <c r="FGX526" s="901"/>
      <c r="FGY526" s="901"/>
      <c r="FGZ526" s="901"/>
      <c r="FHA526" s="901"/>
      <c r="FHB526" s="901"/>
      <c r="FHC526" s="901"/>
      <c r="FHD526" s="901"/>
      <c r="FHE526" s="901"/>
      <c r="FHF526" s="901"/>
      <c r="FHG526" s="901"/>
      <c r="FHH526" s="901"/>
      <c r="FHI526" s="901"/>
      <c r="FHJ526" s="901"/>
      <c r="FHK526" s="901"/>
      <c r="FHL526" s="901"/>
      <c r="FHM526" s="901"/>
      <c r="FHN526" s="901"/>
      <c r="FHO526" s="901"/>
      <c r="FHP526" s="901"/>
      <c r="FHQ526" s="901"/>
      <c r="FHR526" s="901"/>
      <c r="FHS526" s="901"/>
      <c r="FHT526" s="901"/>
      <c r="FHU526" s="901"/>
      <c r="FHV526" s="901"/>
      <c r="FHW526" s="901"/>
      <c r="FHX526" s="901"/>
      <c r="FHY526" s="901"/>
      <c r="FHZ526" s="901"/>
      <c r="FIA526" s="901"/>
      <c r="FIB526" s="901"/>
      <c r="FIC526" s="901"/>
      <c r="FID526" s="901"/>
      <c r="FIE526" s="901"/>
      <c r="FIF526" s="901"/>
      <c r="FIG526" s="901"/>
      <c r="FIH526" s="901"/>
      <c r="FII526" s="901"/>
      <c r="FIJ526" s="901"/>
      <c r="FIK526" s="901"/>
      <c r="FIL526" s="901"/>
      <c r="FIM526" s="901"/>
      <c r="FIN526" s="901"/>
      <c r="FIO526" s="901"/>
      <c r="FIP526" s="901"/>
      <c r="FIQ526" s="901"/>
      <c r="FIR526" s="901"/>
      <c r="FIS526" s="901"/>
      <c r="FIT526" s="901"/>
      <c r="FIU526" s="901"/>
      <c r="FIV526" s="901"/>
      <c r="FIW526" s="901"/>
      <c r="FIX526" s="901"/>
      <c r="FIY526" s="901"/>
      <c r="FIZ526" s="901"/>
      <c r="FJA526" s="901"/>
      <c r="FJB526" s="901"/>
      <c r="FJC526" s="901"/>
      <c r="FJD526" s="901"/>
      <c r="FJE526" s="901"/>
      <c r="FJF526" s="901"/>
      <c r="FJG526" s="901"/>
      <c r="FJH526" s="901"/>
      <c r="FJI526" s="901"/>
      <c r="FJJ526" s="901"/>
      <c r="FJK526" s="901"/>
      <c r="FJL526" s="901"/>
      <c r="FJM526" s="901"/>
      <c r="FJN526" s="901"/>
      <c r="FJO526" s="901"/>
      <c r="FJP526" s="901"/>
      <c r="FJQ526" s="901"/>
      <c r="FJR526" s="901"/>
      <c r="FJS526" s="901"/>
      <c r="FJT526" s="901"/>
      <c r="FJU526" s="901"/>
      <c r="FJV526" s="901"/>
      <c r="FJW526" s="901"/>
      <c r="FJX526" s="901"/>
      <c r="FJY526" s="901"/>
      <c r="FJZ526" s="901"/>
      <c r="FKA526" s="901"/>
      <c r="FKB526" s="901"/>
      <c r="FKC526" s="901"/>
      <c r="FKD526" s="901"/>
      <c r="FKE526" s="901"/>
      <c r="FKF526" s="901"/>
      <c r="FKG526" s="901"/>
      <c r="FKH526" s="901"/>
      <c r="FKI526" s="901"/>
      <c r="FKJ526" s="901"/>
      <c r="FKK526" s="901"/>
      <c r="FKL526" s="901"/>
      <c r="FKM526" s="901"/>
      <c r="FKN526" s="901"/>
      <c r="FKO526" s="901"/>
      <c r="FKP526" s="901"/>
      <c r="FKQ526" s="901"/>
      <c r="FKR526" s="901"/>
      <c r="FKS526" s="901"/>
      <c r="FKT526" s="901"/>
      <c r="FKU526" s="901"/>
      <c r="FKV526" s="901"/>
      <c r="FKW526" s="901"/>
      <c r="FKX526" s="901"/>
      <c r="FKY526" s="901"/>
      <c r="FKZ526" s="901"/>
      <c r="FLA526" s="901"/>
      <c r="FLB526" s="901"/>
      <c r="FLC526" s="901"/>
      <c r="FLD526" s="901"/>
      <c r="FLE526" s="901"/>
      <c r="FLF526" s="901"/>
      <c r="FLG526" s="901"/>
      <c r="FLH526" s="901"/>
      <c r="FLI526" s="901"/>
      <c r="FLJ526" s="901"/>
      <c r="FLK526" s="901"/>
      <c r="FLL526" s="901"/>
      <c r="FLM526" s="901"/>
      <c r="FLN526" s="901"/>
      <c r="FLO526" s="901"/>
      <c r="FLP526" s="901"/>
      <c r="FLQ526" s="901"/>
      <c r="FLR526" s="901"/>
      <c r="FLS526" s="901"/>
      <c r="FLT526" s="901"/>
      <c r="FLU526" s="901"/>
      <c r="FLV526" s="901"/>
      <c r="FLW526" s="901"/>
      <c r="FLX526" s="901"/>
      <c r="FLY526" s="901"/>
      <c r="FLZ526" s="901"/>
      <c r="FMA526" s="901"/>
      <c r="FMB526" s="901"/>
      <c r="FMC526" s="901"/>
      <c r="FMD526" s="901"/>
      <c r="FME526" s="901"/>
      <c r="FMF526" s="901"/>
      <c r="FMG526" s="901"/>
      <c r="FMH526" s="901"/>
      <c r="FMI526" s="901"/>
      <c r="FMJ526" s="901"/>
      <c r="FMK526" s="901"/>
      <c r="FML526" s="901"/>
      <c r="FMM526" s="901"/>
      <c r="FMN526" s="901"/>
      <c r="FMO526" s="901"/>
      <c r="FMP526" s="901"/>
      <c r="FMQ526" s="901"/>
      <c r="FMR526" s="901"/>
      <c r="FMS526" s="901"/>
      <c r="FMT526" s="901"/>
      <c r="FMU526" s="901"/>
      <c r="FMV526" s="901"/>
      <c r="FMW526" s="901"/>
      <c r="FMX526" s="901"/>
      <c r="FMY526" s="901"/>
      <c r="FMZ526" s="901"/>
      <c r="FNA526" s="901"/>
      <c r="FNB526" s="901"/>
      <c r="FNC526" s="901"/>
      <c r="FND526" s="901"/>
      <c r="FNE526" s="901"/>
      <c r="FNF526" s="901"/>
      <c r="FNG526" s="901"/>
      <c r="FNH526" s="901"/>
      <c r="FNI526" s="901"/>
      <c r="FNJ526" s="901"/>
      <c r="FNK526" s="901"/>
      <c r="FNL526" s="901"/>
      <c r="FNM526" s="901"/>
      <c r="FNN526" s="901"/>
      <c r="FNO526" s="901"/>
      <c r="FNP526" s="901"/>
      <c r="FNQ526" s="901"/>
      <c r="FNR526" s="901"/>
      <c r="FNS526" s="901"/>
      <c r="FNT526" s="901"/>
      <c r="FNU526" s="901"/>
      <c r="FNV526" s="901"/>
      <c r="FNW526" s="901"/>
      <c r="FNX526" s="901"/>
      <c r="FNY526" s="901"/>
      <c r="FNZ526" s="901"/>
      <c r="FOA526" s="901"/>
      <c r="FOB526" s="901"/>
      <c r="FOC526" s="901"/>
      <c r="FOD526" s="901"/>
      <c r="FOE526" s="901"/>
      <c r="FOF526" s="901"/>
      <c r="FOG526" s="901"/>
      <c r="FOH526" s="901"/>
      <c r="FOI526" s="901"/>
      <c r="FOJ526" s="901"/>
      <c r="FOK526" s="901"/>
      <c r="FOL526" s="901"/>
      <c r="FOM526" s="901"/>
      <c r="FON526" s="901"/>
      <c r="FOO526" s="901"/>
      <c r="FOP526" s="901"/>
      <c r="FOQ526" s="901"/>
      <c r="FOR526" s="901"/>
      <c r="FOS526" s="901"/>
      <c r="FOT526" s="901"/>
      <c r="FOU526" s="901"/>
      <c r="FOV526" s="901"/>
      <c r="FOW526" s="901"/>
      <c r="FOX526" s="901"/>
      <c r="FOY526" s="901"/>
      <c r="FOZ526" s="901"/>
      <c r="FPA526" s="901"/>
      <c r="FPB526" s="901"/>
      <c r="FPC526" s="901"/>
      <c r="FPD526" s="901"/>
      <c r="FPE526" s="901"/>
      <c r="FPF526" s="901"/>
      <c r="FPG526" s="901"/>
      <c r="FPH526" s="901"/>
      <c r="FPI526" s="901"/>
      <c r="FPJ526" s="901"/>
      <c r="FPK526" s="901"/>
      <c r="FPL526" s="901"/>
      <c r="FPM526" s="901"/>
      <c r="FPN526" s="901"/>
      <c r="FPO526" s="901"/>
      <c r="FPP526" s="901"/>
      <c r="FPQ526" s="901"/>
      <c r="FPR526" s="901"/>
      <c r="FPS526" s="901"/>
      <c r="FPT526" s="901"/>
      <c r="FPU526" s="901"/>
      <c r="FPV526" s="901"/>
      <c r="FPW526" s="901"/>
      <c r="FPX526" s="901"/>
      <c r="FPY526" s="901"/>
      <c r="FPZ526" s="901"/>
      <c r="FQA526" s="901"/>
      <c r="FQB526" s="901"/>
      <c r="FQC526" s="901"/>
      <c r="FQD526" s="901"/>
      <c r="FQE526" s="901"/>
      <c r="FQF526" s="901"/>
      <c r="FQG526" s="901"/>
      <c r="FQH526" s="901"/>
      <c r="FQI526" s="901"/>
      <c r="FQJ526" s="901"/>
      <c r="FQK526" s="901"/>
      <c r="FQL526" s="901"/>
      <c r="FQM526" s="901"/>
      <c r="FQN526" s="901"/>
      <c r="FQO526" s="901"/>
      <c r="FQP526" s="901"/>
      <c r="FQQ526" s="901"/>
      <c r="FQR526" s="901"/>
      <c r="FQS526" s="901"/>
      <c r="FQT526" s="901"/>
      <c r="FQU526" s="901"/>
      <c r="FQV526" s="901"/>
      <c r="FQW526" s="901"/>
      <c r="FQX526" s="901"/>
      <c r="FQY526" s="901"/>
      <c r="FQZ526" s="901"/>
      <c r="FRA526" s="901"/>
      <c r="FRB526" s="901"/>
      <c r="FRC526" s="901"/>
      <c r="FRD526" s="901"/>
      <c r="FRE526" s="901"/>
      <c r="FRF526" s="901"/>
      <c r="FRG526" s="901"/>
      <c r="FRH526" s="901"/>
      <c r="FRI526" s="901"/>
      <c r="FRJ526" s="901"/>
      <c r="FRK526" s="901"/>
      <c r="FRL526" s="901"/>
      <c r="FRM526" s="901"/>
      <c r="FRN526" s="901"/>
      <c r="FRO526" s="901"/>
      <c r="FRP526" s="901"/>
      <c r="FRQ526" s="901"/>
      <c r="FRR526" s="901"/>
      <c r="FRS526" s="901"/>
      <c r="FRT526" s="901"/>
      <c r="FRU526" s="901"/>
      <c r="FRV526" s="901"/>
      <c r="FRW526" s="901"/>
      <c r="FRX526" s="901"/>
      <c r="FRY526" s="901"/>
      <c r="FRZ526" s="901"/>
      <c r="FSA526" s="901"/>
      <c r="FSB526" s="901"/>
      <c r="FSC526" s="901"/>
      <c r="FSD526" s="901"/>
      <c r="FSE526" s="901"/>
      <c r="FSF526" s="901"/>
      <c r="FSG526" s="901"/>
      <c r="FSH526" s="901"/>
      <c r="FSI526" s="901"/>
      <c r="FSJ526" s="901"/>
      <c r="FSK526" s="901"/>
      <c r="FSL526" s="901"/>
      <c r="FSM526" s="901"/>
      <c r="FSN526" s="901"/>
      <c r="FSO526" s="901"/>
      <c r="FSP526" s="901"/>
      <c r="FSQ526" s="901"/>
      <c r="FSR526" s="901"/>
      <c r="FSS526" s="901"/>
      <c r="FST526" s="901"/>
      <c r="FSU526" s="901"/>
      <c r="FSV526" s="901"/>
      <c r="FSW526" s="901"/>
      <c r="FSX526" s="901"/>
      <c r="FSY526" s="901"/>
      <c r="FSZ526" s="901"/>
      <c r="FTA526" s="901"/>
      <c r="FTB526" s="901"/>
      <c r="FTC526" s="901"/>
      <c r="FTD526" s="901"/>
      <c r="FTE526" s="901"/>
      <c r="FTF526" s="901"/>
      <c r="FTG526" s="901"/>
      <c r="FTH526" s="901"/>
      <c r="FTI526" s="901"/>
      <c r="FTJ526" s="901"/>
      <c r="FTK526" s="901"/>
      <c r="FTL526" s="901"/>
      <c r="FTM526" s="901"/>
      <c r="FTN526" s="901"/>
      <c r="FTO526" s="901"/>
      <c r="FTP526" s="901"/>
      <c r="FTQ526" s="901"/>
      <c r="FTR526" s="901"/>
      <c r="FTS526" s="901"/>
      <c r="FTT526" s="901"/>
      <c r="FTU526" s="901"/>
      <c r="FTV526" s="901"/>
      <c r="FTW526" s="901"/>
      <c r="FTX526" s="901"/>
      <c r="FTY526" s="901"/>
      <c r="FTZ526" s="901"/>
      <c r="FUA526" s="901"/>
      <c r="FUB526" s="901"/>
      <c r="FUC526" s="901"/>
      <c r="FUD526" s="901"/>
      <c r="FUE526" s="901"/>
      <c r="FUF526" s="901"/>
      <c r="FUG526" s="901"/>
      <c r="FUH526" s="901"/>
      <c r="FUI526" s="901"/>
      <c r="FUJ526" s="901"/>
      <c r="FUK526" s="901"/>
      <c r="FUL526" s="901"/>
      <c r="FUM526" s="901"/>
      <c r="FUN526" s="901"/>
      <c r="FUO526" s="901"/>
      <c r="FUP526" s="901"/>
      <c r="FUQ526" s="901"/>
      <c r="FUR526" s="901"/>
      <c r="FUS526" s="901"/>
      <c r="FUT526" s="901"/>
      <c r="FUU526" s="901"/>
      <c r="FUV526" s="901"/>
      <c r="FUW526" s="901"/>
      <c r="FUX526" s="901"/>
      <c r="FUY526" s="901"/>
      <c r="FUZ526" s="901"/>
      <c r="FVA526" s="901"/>
      <c r="FVB526" s="901"/>
      <c r="FVC526" s="901"/>
      <c r="FVD526" s="901"/>
      <c r="FVE526" s="901"/>
      <c r="FVF526" s="901"/>
      <c r="FVG526" s="901"/>
      <c r="FVH526" s="901"/>
      <c r="FVI526" s="901"/>
      <c r="FVJ526" s="901"/>
      <c r="FVK526" s="901"/>
      <c r="FVL526" s="901"/>
      <c r="FVM526" s="901"/>
      <c r="FVN526" s="901"/>
      <c r="FVO526" s="901"/>
      <c r="FVP526" s="901"/>
      <c r="FVQ526" s="901"/>
      <c r="FVR526" s="901"/>
      <c r="FVS526" s="901"/>
      <c r="FVT526" s="901"/>
      <c r="FVU526" s="901"/>
      <c r="FVV526" s="901"/>
      <c r="FVW526" s="901"/>
      <c r="FVX526" s="901"/>
      <c r="FVY526" s="901"/>
      <c r="FVZ526" s="901"/>
      <c r="FWA526" s="901"/>
      <c r="FWB526" s="901"/>
      <c r="FWC526" s="901"/>
      <c r="FWD526" s="901"/>
      <c r="FWE526" s="901"/>
      <c r="FWF526" s="901"/>
      <c r="FWG526" s="901"/>
      <c r="FWH526" s="901"/>
      <c r="FWI526" s="901"/>
      <c r="FWJ526" s="901"/>
      <c r="FWK526" s="901"/>
      <c r="FWL526" s="901"/>
      <c r="FWM526" s="901"/>
      <c r="FWN526" s="901"/>
      <c r="FWO526" s="901"/>
      <c r="FWP526" s="901"/>
      <c r="FWQ526" s="901"/>
      <c r="FWR526" s="901"/>
      <c r="FWS526" s="901"/>
      <c r="FWT526" s="901"/>
      <c r="FWU526" s="901"/>
      <c r="FWV526" s="901"/>
      <c r="FWW526" s="901"/>
      <c r="FWX526" s="901"/>
      <c r="FWY526" s="901"/>
      <c r="FWZ526" s="901"/>
      <c r="FXA526" s="901"/>
      <c r="FXB526" s="901"/>
      <c r="FXC526" s="901"/>
      <c r="FXD526" s="901"/>
      <c r="FXE526" s="901"/>
      <c r="FXF526" s="901"/>
      <c r="FXG526" s="901"/>
      <c r="FXH526" s="901"/>
      <c r="FXI526" s="901"/>
      <c r="FXJ526" s="901"/>
      <c r="FXK526" s="901"/>
      <c r="FXL526" s="901"/>
      <c r="FXM526" s="901"/>
      <c r="FXN526" s="901"/>
      <c r="FXO526" s="901"/>
      <c r="FXP526" s="901"/>
      <c r="FXQ526" s="901"/>
      <c r="FXR526" s="901"/>
      <c r="FXS526" s="901"/>
      <c r="FXT526" s="901"/>
      <c r="FXU526" s="901"/>
      <c r="FXV526" s="901"/>
      <c r="FXW526" s="901"/>
      <c r="FXX526" s="901"/>
      <c r="FXY526" s="901"/>
      <c r="FXZ526" s="901"/>
      <c r="FYA526" s="901"/>
      <c r="FYB526" s="901"/>
      <c r="FYC526" s="901"/>
      <c r="FYD526" s="901"/>
      <c r="FYE526" s="901"/>
      <c r="FYF526" s="901"/>
      <c r="FYG526" s="901"/>
      <c r="FYH526" s="901"/>
      <c r="FYI526" s="901"/>
      <c r="FYJ526" s="901"/>
      <c r="FYK526" s="901"/>
      <c r="FYL526" s="901"/>
      <c r="FYM526" s="901"/>
      <c r="FYN526" s="901"/>
      <c r="FYO526" s="901"/>
      <c r="FYP526" s="901"/>
      <c r="FYQ526" s="901"/>
      <c r="FYR526" s="901"/>
      <c r="FYS526" s="901"/>
      <c r="FYT526" s="901"/>
      <c r="FYU526" s="901"/>
      <c r="FYV526" s="901"/>
      <c r="FYW526" s="901"/>
      <c r="FYX526" s="901"/>
      <c r="FYY526" s="901"/>
      <c r="FYZ526" s="901"/>
      <c r="FZA526" s="901"/>
      <c r="FZB526" s="901"/>
      <c r="FZC526" s="901"/>
      <c r="FZD526" s="901"/>
      <c r="FZE526" s="901"/>
      <c r="FZF526" s="901"/>
      <c r="FZG526" s="901"/>
      <c r="FZH526" s="901"/>
      <c r="FZI526" s="901"/>
      <c r="FZJ526" s="901"/>
      <c r="FZK526" s="901"/>
      <c r="FZL526" s="901"/>
      <c r="FZM526" s="901"/>
      <c r="FZN526" s="901"/>
      <c r="FZO526" s="901"/>
      <c r="FZP526" s="901"/>
      <c r="FZQ526" s="901"/>
      <c r="FZR526" s="901"/>
      <c r="FZS526" s="901"/>
      <c r="FZT526" s="901"/>
      <c r="FZU526" s="901"/>
      <c r="FZV526" s="901"/>
      <c r="FZW526" s="901"/>
      <c r="FZX526" s="901"/>
      <c r="FZY526" s="901"/>
      <c r="FZZ526" s="901"/>
      <c r="GAA526" s="901"/>
      <c r="GAB526" s="901"/>
      <c r="GAC526" s="901"/>
      <c r="GAD526" s="901"/>
      <c r="GAE526" s="901"/>
      <c r="GAF526" s="901"/>
      <c r="GAG526" s="901"/>
      <c r="GAH526" s="901"/>
      <c r="GAI526" s="901"/>
      <c r="GAJ526" s="901"/>
      <c r="GAK526" s="901"/>
      <c r="GAL526" s="901"/>
      <c r="GAM526" s="901"/>
      <c r="GAN526" s="901"/>
      <c r="GAO526" s="901"/>
      <c r="GAP526" s="901"/>
      <c r="GAQ526" s="901"/>
      <c r="GAR526" s="901"/>
      <c r="GAS526" s="901"/>
      <c r="GAT526" s="901"/>
      <c r="GAU526" s="901"/>
      <c r="GAV526" s="901"/>
      <c r="GAW526" s="901"/>
      <c r="GAX526" s="901"/>
      <c r="GAY526" s="901"/>
      <c r="GAZ526" s="901"/>
      <c r="GBA526" s="901"/>
      <c r="GBB526" s="901"/>
      <c r="GBC526" s="901"/>
      <c r="GBD526" s="901"/>
      <c r="GBE526" s="901"/>
      <c r="GBF526" s="901"/>
      <c r="GBG526" s="901"/>
      <c r="GBH526" s="901"/>
      <c r="GBI526" s="901"/>
      <c r="GBJ526" s="901"/>
      <c r="GBK526" s="901"/>
      <c r="GBL526" s="901"/>
      <c r="GBM526" s="901"/>
      <c r="GBN526" s="901"/>
      <c r="GBO526" s="901"/>
      <c r="GBP526" s="901"/>
      <c r="GBQ526" s="901"/>
      <c r="GBR526" s="901"/>
      <c r="GBS526" s="901"/>
      <c r="GBT526" s="901"/>
      <c r="GBU526" s="901"/>
      <c r="GBV526" s="901"/>
      <c r="GBW526" s="901"/>
      <c r="GBX526" s="901"/>
      <c r="GBY526" s="901"/>
      <c r="GBZ526" s="901"/>
      <c r="GCA526" s="901"/>
      <c r="GCB526" s="901"/>
      <c r="GCC526" s="901"/>
      <c r="GCD526" s="901"/>
      <c r="GCE526" s="901"/>
      <c r="GCF526" s="901"/>
      <c r="GCG526" s="901"/>
      <c r="GCH526" s="901"/>
      <c r="GCI526" s="901"/>
      <c r="GCJ526" s="901"/>
      <c r="GCK526" s="901"/>
      <c r="GCL526" s="901"/>
      <c r="GCM526" s="901"/>
      <c r="GCN526" s="901"/>
      <c r="GCO526" s="901"/>
      <c r="GCP526" s="901"/>
      <c r="GCQ526" s="901"/>
      <c r="GCR526" s="901"/>
      <c r="GCS526" s="901"/>
      <c r="GCT526" s="901"/>
      <c r="GCU526" s="901"/>
      <c r="GCV526" s="901"/>
      <c r="GCW526" s="901"/>
      <c r="GCX526" s="901"/>
      <c r="GCY526" s="901"/>
      <c r="GCZ526" s="901"/>
      <c r="GDA526" s="901"/>
      <c r="GDB526" s="901"/>
      <c r="GDC526" s="901"/>
      <c r="GDD526" s="901"/>
      <c r="GDE526" s="901"/>
      <c r="GDF526" s="901"/>
      <c r="GDG526" s="901"/>
      <c r="GDH526" s="901"/>
      <c r="GDI526" s="901"/>
      <c r="GDJ526" s="901"/>
      <c r="GDK526" s="901"/>
      <c r="GDL526" s="901"/>
      <c r="GDM526" s="901"/>
      <c r="GDN526" s="901"/>
      <c r="GDO526" s="901"/>
      <c r="GDP526" s="901"/>
      <c r="GDQ526" s="901"/>
      <c r="GDR526" s="901"/>
      <c r="GDS526" s="901"/>
      <c r="GDT526" s="901"/>
      <c r="GDU526" s="901"/>
      <c r="GDV526" s="901"/>
      <c r="GDW526" s="901"/>
      <c r="GDX526" s="901"/>
      <c r="GDY526" s="901"/>
      <c r="GDZ526" s="901"/>
      <c r="GEA526" s="901"/>
      <c r="GEB526" s="901"/>
      <c r="GEC526" s="901"/>
      <c r="GED526" s="901"/>
      <c r="GEE526" s="901"/>
      <c r="GEF526" s="901"/>
      <c r="GEG526" s="901"/>
      <c r="GEH526" s="901"/>
      <c r="GEI526" s="901"/>
      <c r="GEJ526" s="901"/>
      <c r="GEK526" s="901"/>
      <c r="GEL526" s="901"/>
      <c r="GEM526" s="901"/>
      <c r="GEN526" s="901"/>
      <c r="GEO526" s="901"/>
      <c r="GEP526" s="901"/>
      <c r="GEQ526" s="901"/>
      <c r="GER526" s="901"/>
      <c r="GES526" s="901"/>
      <c r="GET526" s="901"/>
      <c r="GEU526" s="901"/>
      <c r="GEV526" s="901"/>
      <c r="GEW526" s="901"/>
      <c r="GEX526" s="901"/>
      <c r="GEY526" s="901"/>
      <c r="GEZ526" s="901"/>
      <c r="GFA526" s="901"/>
      <c r="GFB526" s="901"/>
      <c r="GFC526" s="901"/>
      <c r="GFD526" s="901"/>
      <c r="GFE526" s="901"/>
      <c r="GFF526" s="901"/>
      <c r="GFG526" s="901"/>
      <c r="GFH526" s="901"/>
      <c r="GFI526" s="901"/>
      <c r="GFJ526" s="901"/>
      <c r="GFK526" s="901"/>
      <c r="GFL526" s="901"/>
      <c r="GFM526" s="901"/>
      <c r="GFN526" s="901"/>
      <c r="GFO526" s="901"/>
      <c r="GFP526" s="901"/>
      <c r="GFQ526" s="901"/>
      <c r="GFR526" s="901"/>
      <c r="GFS526" s="901"/>
      <c r="GFT526" s="901"/>
      <c r="GFU526" s="901"/>
      <c r="GFV526" s="901"/>
      <c r="GFW526" s="901"/>
      <c r="GFX526" s="901"/>
      <c r="GFY526" s="901"/>
      <c r="GFZ526" s="901"/>
      <c r="GGA526" s="901"/>
      <c r="GGB526" s="901"/>
      <c r="GGC526" s="901"/>
      <c r="GGD526" s="901"/>
      <c r="GGE526" s="901"/>
      <c r="GGF526" s="901"/>
      <c r="GGG526" s="901"/>
      <c r="GGH526" s="901"/>
      <c r="GGI526" s="901"/>
      <c r="GGJ526" s="901"/>
      <c r="GGK526" s="901"/>
      <c r="GGL526" s="901"/>
      <c r="GGM526" s="901"/>
      <c r="GGN526" s="901"/>
      <c r="GGO526" s="901"/>
      <c r="GGP526" s="901"/>
      <c r="GGQ526" s="901"/>
      <c r="GGR526" s="901"/>
      <c r="GGS526" s="901"/>
      <c r="GGT526" s="901"/>
      <c r="GGU526" s="901"/>
      <c r="GGV526" s="901"/>
      <c r="GGW526" s="901"/>
      <c r="GGX526" s="901"/>
      <c r="GGY526" s="901"/>
      <c r="GGZ526" s="901"/>
      <c r="GHA526" s="901"/>
      <c r="GHB526" s="901"/>
      <c r="GHC526" s="901"/>
      <c r="GHD526" s="901"/>
      <c r="GHE526" s="901"/>
      <c r="GHF526" s="901"/>
      <c r="GHG526" s="901"/>
      <c r="GHH526" s="901"/>
      <c r="GHI526" s="901"/>
      <c r="GHJ526" s="901"/>
      <c r="GHK526" s="901"/>
      <c r="GHL526" s="901"/>
      <c r="GHM526" s="901"/>
      <c r="GHN526" s="901"/>
      <c r="GHO526" s="901"/>
      <c r="GHP526" s="901"/>
      <c r="GHQ526" s="901"/>
      <c r="GHR526" s="901"/>
      <c r="GHS526" s="901"/>
      <c r="GHT526" s="901"/>
      <c r="GHU526" s="901"/>
      <c r="GHV526" s="901"/>
      <c r="GHW526" s="901"/>
      <c r="GHX526" s="901"/>
      <c r="GHY526" s="901"/>
      <c r="GHZ526" s="901"/>
      <c r="GIA526" s="901"/>
      <c r="GIB526" s="901"/>
      <c r="GIC526" s="901"/>
      <c r="GID526" s="901"/>
      <c r="GIE526" s="901"/>
      <c r="GIF526" s="901"/>
      <c r="GIG526" s="901"/>
      <c r="GIH526" s="901"/>
      <c r="GII526" s="901"/>
      <c r="GIJ526" s="901"/>
      <c r="GIK526" s="901"/>
      <c r="GIL526" s="901"/>
      <c r="GIM526" s="901"/>
      <c r="GIN526" s="901"/>
      <c r="GIO526" s="901"/>
      <c r="GIP526" s="901"/>
      <c r="GIQ526" s="901"/>
      <c r="GIR526" s="901"/>
      <c r="GIS526" s="901"/>
      <c r="GIT526" s="901"/>
      <c r="GIU526" s="901"/>
      <c r="GIV526" s="901"/>
      <c r="GIW526" s="901"/>
      <c r="GIX526" s="901"/>
      <c r="GIY526" s="901"/>
      <c r="GIZ526" s="901"/>
      <c r="GJA526" s="901"/>
      <c r="GJB526" s="901"/>
      <c r="GJC526" s="901"/>
      <c r="GJD526" s="901"/>
      <c r="GJE526" s="901"/>
      <c r="GJF526" s="901"/>
      <c r="GJG526" s="901"/>
      <c r="GJH526" s="901"/>
      <c r="GJI526" s="901"/>
      <c r="GJJ526" s="901"/>
      <c r="GJK526" s="901"/>
      <c r="GJL526" s="901"/>
      <c r="GJM526" s="901"/>
      <c r="GJN526" s="901"/>
      <c r="GJO526" s="901"/>
      <c r="GJP526" s="901"/>
      <c r="GJQ526" s="901"/>
      <c r="GJR526" s="901"/>
      <c r="GJS526" s="901"/>
      <c r="GJT526" s="901"/>
      <c r="GJU526" s="901"/>
      <c r="GJV526" s="901"/>
      <c r="GJW526" s="901"/>
      <c r="GJX526" s="901"/>
      <c r="GJY526" s="901"/>
      <c r="GJZ526" s="901"/>
      <c r="GKA526" s="901"/>
      <c r="GKB526" s="901"/>
      <c r="GKC526" s="901"/>
      <c r="GKD526" s="901"/>
      <c r="GKE526" s="901"/>
      <c r="GKF526" s="901"/>
      <c r="GKG526" s="901"/>
      <c r="GKH526" s="901"/>
      <c r="GKI526" s="901"/>
      <c r="GKJ526" s="901"/>
      <c r="GKK526" s="901"/>
      <c r="GKL526" s="901"/>
      <c r="GKM526" s="901"/>
      <c r="GKN526" s="901"/>
      <c r="GKO526" s="901"/>
      <c r="GKP526" s="901"/>
      <c r="GKQ526" s="901"/>
      <c r="GKR526" s="901"/>
      <c r="GKS526" s="901"/>
      <c r="GKT526" s="901"/>
      <c r="GKU526" s="901"/>
      <c r="GKV526" s="901"/>
      <c r="GKW526" s="901"/>
      <c r="GKX526" s="901"/>
      <c r="GKY526" s="901"/>
      <c r="GKZ526" s="901"/>
      <c r="GLA526" s="901"/>
      <c r="GLB526" s="901"/>
      <c r="GLC526" s="901"/>
      <c r="GLD526" s="901"/>
      <c r="GLE526" s="901"/>
      <c r="GLF526" s="901"/>
      <c r="GLG526" s="901"/>
      <c r="GLH526" s="901"/>
      <c r="GLI526" s="901"/>
      <c r="GLJ526" s="901"/>
      <c r="GLK526" s="901"/>
      <c r="GLL526" s="901"/>
      <c r="GLM526" s="901"/>
      <c r="GLN526" s="901"/>
      <c r="GLO526" s="901"/>
      <c r="GLP526" s="901"/>
      <c r="GLQ526" s="901"/>
      <c r="GLR526" s="901"/>
      <c r="GLS526" s="901"/>
      <c r="GLT526" s="901"/>
      <c r="GLU526" s="901"/>
      <c r="GLV526" s="901"/>
      <c r="GLW526" s="901"/>
      <c r="GLX526" s="901"/>
      <c r="GLY526" s="901"/>
      <c r="GLZ526" s="901"/>
      <c r="GMA526" s="901"/>
      <c r="GMB526" s="901"/>
      <c r="GMC526" s="901"/>
      <c r="GMD526" s="901"/>
      <c r="GME526" s="901"/>
      <c r="GMF526" s="901"/>
      <c r="GMG526" s="901"/>
      <c r="GMH526" s="901"/>
      <c r="GMI526" s="901"/>
      <c r="GMJ526" s="901"/>
      <c r="GMK526" s="901"/>
      <c r="GML526" s="901"/>
      <c r="GMM526" s="901"/>
      <c r="GMN526" s="901"/>
      <c r="GMO526" s="901"/>
      <c r="GMP526" s="901"/>
      <c r="GMQ526" s="901"/>
      <c r="GMR526" s="901"/>
      <c r="GMS526" s="901"/>
      <c r="GMT526" s="901"/>
      <c r="GMU526" s="901"/>
      <c r="GMV526" s="901"/>
      <c r="GMW526" s="901"/>
      <c r="GMX526" s="901"/>
      <c r="GMY526" s="901"/>
      <c r="GMZ526" s="901"/>
      <c r="GNA526" s="901"/>
      <c r="GNB526" s="901"/>
      <c r="GNC526" s="901"/>
      <c r="GND526" s="901"/>
      <c r="GNE526" s="901"/>
      <c r="GNF526" s="901"/>
      <c r="GNG526" s="901"/>
      <c r="GNH526" s="901"/>
      <c r="GNI526" s="901"/>
      <c r="GNJ526" s="901"/>
      <c r="GNK526" s="901"/>
      <c r="GNL526" s="901"/>
      <c r="GNM526" s="901"/>
      <c r="GNN526" s="901"/>
      <c r="GNO526" s="901"/>
      <c r="GNP526" s="901"/>
      <c r="GNQ526" s="901"/>
      <c r="GNR526" s="901"/>
      <c r="GNS526" s="901"/>
      <c r="GNT526" s="901"/>
      <c r="GNU526" s="901"/>
      <c r="GNV526" s="901"/>
      <c r="GNW526" s="901"/>
      <c r="GNX526" s="901"/>
      <c r="GNY526" s="901"/>
      <c r="GNZ526" s="901"/>
      <c r="GOA526" s="901"/>
      <c r="GOB526" s="901"/>
      <c r="GOC526" s="901"/>
      <c r="GOD526" s="901"/>
      <c r="GOE526" s="901"/>
      <c r="GOF526" s="901"/>
      <c r="GOG526" s="901"/>
      <c r="GOH526" s="901"/>
      <c r="GOI526" s="901"/>
      <c r="GOJ526" s="901"/>
      <c r="GOK526" s="901"/>
      <c r="GOL526" s="901"/>
      <c r="GOM526" s="901"/>
      <c r="GON526" s="901"/>
      <c r="GOO526" s="901"/>
      <c r="GOP526" s="901"/>
      <c r="GOQ526" s="901"/>
      <c r="GOR526" s="901"/>
      <c r="GOS526" s="901"/>
      <c r="GOT526" s="901"/>
      <c r="GOU526" s="901"/>
      <c r="GOV526" s="901"/>
      <c r="GOW526" s="901"/>
      <c r="GOX526" s="901"/>
      <c r="GOY526" s="901"/>
      <c r="GOZ526" s="901"/>
      <c r="GPA526" s="901"/>
      <c r="GPB526" s="901"/>
      <c r="GPC526" s="901"/>
      <c r="GPD526" s="901"/>
      <c r="GPE526" s="901"/>
      <c r="GPF526" s="901"/>
      <c r="GPG526" s="901"/>
      <c r="GPH526" s="901"/>
      <c r="GPI526" s="901"/>
      <c r="GPJ526" s="901"/>
      <c r="GPK526" s="901"/>
      <c r="GPL526" s="901"/>
      <c r="GPM526" s="901"/>
      <c r="GPN526" s="901"/>
      <c r="GPO526" s="901"/>
      <c r="GPP526" s="901"/>
      <c r="GPQ526" s="901"/>
      <c r="GPR526" s="901"/>
      <c r="GPS526" s="901"/>
      <c r="GPT526" s="901"/>
      <c r="GPU526" s="901"/>
      <c r="GPV526" s="901"/>
      <c r="GPW526" s="901"/>
      <c r="GPX526" s="901"/>
      <c r="GPY526" s="901"/>
      <c r="GPZ526" s="901"/>
      <c r="GQA526" s="901"/>
      <c r="GQB526" s="901"/>
      <c r="GQC526" s="901"/>
      <c r="GQD526" s="901"/>
      <c r="GQE526" s="901"/>
      <c r="GQF526" s="901"/>
      <c r="GQG526" s="901"/>
      <c r="GQH526" s="901"/>
      <c r="GQI526" s="901"/>
      <c r="GQJ526" s="901"/>
      <c r="GQK526" s="901"/>
      <c r="GQL526" s="901"/>
      <c r="GQM526" s="901"/>
      <c r="GQN526" s="901"/>
      <c r="GQO526" s="901"/>
      <c r="GQP526" s="901"/>
      <c r="GQQ526" s="901"/>
      <c r="GQR526" s="901"/>
      <c r="GQS526" s="901"/>
      <c r="GQT526" s="901"/>
      <c r="GQU526" s="901"/>
      <c r="GQV526" s="901"/>
      <c r="GQW526" s="901"/>
      <c r="GQX526" s="901"/>
      <c r="GQY526" s="901"/>
      <c r="GQZ526" s="901"/>
      <c r="GRA526" s="901"/>
      <c r="GRB526" s="901"/>
      <c r="GRC526" s="901"/>
      <c r="GRD526" s="901"/>
      <c r="GRE526" s="901"/>
      <c r="GRF526" s="901"/>
      <c r="GRG526" s="901"/>
      <c r="GRH526" s="901"/>
      <c r="GRI526" s="901"/>
      <c r="GRJ526" s="901"/>
      <c r="GRK526" s="901"/>
      <c r="GRL526" s="901"/>
      <c r="GRM526" s="901"/>
      <c r="GRN526" s="901"/>
      <c r="GRO526" s="901"/>
      <c r="GRP526" s="901"/>
      <c r="GRQ526" s="901"/>
      <c r="GRR526" s="901"/>
      <c r="GRS526" s="901"/>
      <c r="GRT526" s="901"/>
      <c r="GRU526" s="901"/>
      <c r="GRV526" s="901"/>
      <c r="GRW526" s="901"/>
      <c r="GRX526" s="901"/>
      <c r="GRY526" s="901"/>
      <c r="GRZ526" s="901"/>
      <c r="GSA526" s="901"/>
      <c r="GSB526" s="901"/>
      <c r="GSC526" s="901"/>
      <c r="GSD526" s="901"/>
      <c r="GSE526" s="901"/>
      <c r="GSF526" s="901"/>
      <c r="GSG526" s="901"/>
      <c r="GSH526" s="901"/>
      <c r="GSI526" s="901"/>
      <c r="GSJ526" s="901"/>
      <c r="GSK526" s="901"/>
      <c r="GSL526" s="901"/>
      <c r="GSM526" s="901"/>
      <c r="GSN526" s="901"/>
      <c r="GSO526" s="901"/>
      <c r="GSP526" s="901"/>
      <c r="GSQ526" s="901"/>
      <c r="GSR526" s="901"/>
      <c r="GSS526" s="901"/>
      <c r="GST526" s="901"/>
      <c r="GSU526" s="901"/>
      <c r="GSV526" s="901"/>
      <c r="GSW526" s="901"/>
      <c r="GSX526" s="901"/>
      <c r="GSY526" s="901"/>
      <c r="GSZ526" s="901"/>
      <c r="GTA526" s="901"/>
      <c r="GTB526" s="901"/>
      <c r="GTC526" s="901"/>
      <c r="GTD526" s="901"/>
      <c r="GTE526" s="901"/>
      <c r="GTF526" s="901"/>
      <c r="GTG526" s="901"/>
      <c r="GTH526" s="901"/>
      <c r="GTI526" s="901"/>
      <c r="GTJ526" s="901"/>
      <c r="GTK526" s="901"/>
      <c r="GTL526" s="901"/>
      <c r="GTM526" s="901"/>
      <c r="GTN526" s="901"/>
      <c r="GTO526" s="901"/>
      <c r="GTP526" s="901"/>
      <c r="GTQ526" s="901"/>
      <c r="GTR526" s="901"/>
      <c r="GTS526" s="901"/>
      <c r="GTT526" s="901"/>
      <c r="GTU526" s="901"/>
      <c r="GTV526" s="901"/>
      <c r="GTW526" s="901"/>
      <c r="GTX526" s="901"/>
      <c r="GTY526" s="901"/>
      <c r="GTZ526" s="901"/>
      <c r="GUA526" s="901"/>
      <c r="GUB526" s="901"/>
      <c r="GUC526" s="901"/>
      <c r="GUD526" s="901"/>
      <c r="GUE526" s="901"/>
      <c r="GUF526" s="901"/>
      <c r="GUG526" s="901"/>
      <c r="GUH526" s="901"/>
      <c r="GUI526" s="901"/>
      <c r="GUJ526" s="901"/>
      <c r="GUK526" s="901"/>
      <c r="GUL526" s="901"/>
      <c r="GUM526" s="901"/>
      <c r="GUN526" s="901"/>
      <c r="GUO526" s="901"/>
      <c r="GUP526" s="901"/>
      <c r="GUQ526" s="901"/>
      <c r="GUR526" s="901"/>
      <c r="GUS526" s="901"/>
      <c r="GUT526" s="901"/>
      <c r="GUU526" s="901"/>
      <c r="GUV526" s="901"/>
      <c r="GUW526" s="901"/>
      <c r="GUX526" s="901"/>
      <c r="GUY526" s="901"/>
      <c r="GUZ526" s="901"/>
      <c r="GVA526" s="901"/>
      <c r="GVB526" s="901"/>
      <c r="GVC526" s="901"/>
      <c r="GVD526" s="901"/>
      <c r="GVE526" s="901"/>
      <c r="GVF526" s="901"/>
      <c r="GVG526" s="901"/>
      <c r="GVH526" s="901"/>
      <c r="GVI526" s="901"/>
      <c r="GVJ526" s="901"/>
      <c r="GVK526" s="901"/>
      <c r="GVL526" s="901"/>
      <c r="GVM526" s="901"/>
      <c r="GVN526" s="901"/>
      <c r="GVO526" s="901"/>
      <c r="GVP526" s="901"/>
      <c r="GVQ526" s="901"/>
      <c r="GVR526" s="901"/>
      <c r="GVS526" s="901"/>
      <c r="GVT526" s="901"/>
      <c r="GVU526" s="901"/>
      <c r="GVV526" s="901"/>
      <c r="GVW526" s="901"/>
      <c r="GVX526" s="901"/>
      <c r="GVY526" s="901"/>
      <c r="GVZ526" s="901"/>
      <c r="GWA526" s="901"/>
      <c r="GWB526" s="901"/>
      <c r="GWC526" s="901"/>
      <c r="GWD526" s="901"/>
      <c r="GWE526" s="901"/>
      <c r="GWF526" s="901"/>
      <c r="GWG526" s="901"/>
      <c r="GWH526" s="901"/>
      <c r="GWI526" s="901"/>
      <c r="GWJ526" s="901"/>
      <c r="GWK526" s="901"/>
      <c r="GWL526" s="901"/>
      <c r="GWM526" s="901"/>
      <c r="GWN526" s="901"/>
      <c r="GWO526" s="901"/>
      <c r="GWP526" s="901"/>
      <c r="GWQ526" s="901"/>
      <c r="GWR526" s="901"/>
      <c r="GWS526" s="901"/>
      <c r="GWT526" s="901"/>
      <c r="GWU526" s="901"/>
      <c r="GWV526" s="901"/>
      <c r="GWW526" s="901"/>
      <c r="GWX526" s="901"/>
      <c r="GWY526" s="901"/>
      <c r="GWZ526" s="901"/>
      <c r="GXA526" s="901"/>
      <c r="GXB526" s="901"/>
      <c r="GXC526" s="901"/>
      <c r="GXD526" s="901"/>
      <c r="GXE526" s="901"/>
      <c r="GXF526" s="901"/>
      <c r="GXG526" s="901"/>
      <c r="GXH526" s="901"/>
      <c r="GXI526" s="901"/>
      <c r="GXJ526" s="901"/>
      <c r="GXK526" s="901"/>
      <c r="GXL526" s="901"/>
      <c r="GXM526" s="901"/>
      <c r="GXN526" s="901"/>
      <c r="GXO526" s="901"/>
      <c r="GXP526" s="901"/>
      <c r="GXQ526" s="901"/>
      <c r="GXR526" s="901"/>
      <c r="GXS526" s="901"/>
      <c r="GXT526" s="901"/>
      <c r="GXU526" s="901"/>
      <c r="GXV526" s="901"/>
      <c r="GXW526" s="901"/>
      <c r="GXX526" s="901"/>
      <c r="GXY526" s="901"/>
      <c r="GXZ526" s="901"/>
      <c r="GYA526" s="901"/>
      <c r="GYB526" s="901"/>
      <c r="GYC526" s="901"/>
      <c r="GYD526" s="901"/>
      <c r="GYE526" s="901"/>
      <c r="GYF526" s="901"/>
      <c r="GYG526" s="901"/>
      <c r="GYH526" s="901"/>
      <c r="GYI526" s="901"/>
      <c r="GYJ526" s="901"/>
      <c r="GYK526" s="901"/>
      <c r="GYL526" s="901"/>
      <c r="GYM526" s="901"/>
      <c r="GYN526" s="901"/>
      <c r="GYO526" s="901"/>
      <c r="GYP526" s="901"/>
      <c r="GYQ526" s="901"/>
      <c r="GYR526" s="901"/>
      <c r="GYS526" s="901"/>
      <c r="GYT526" s="901"/>
      <c r="GYU526" s="901"/>
      <c r="GYV526" s="901"/>
      <c r="GYW526" s="901"/>
      <c r="GYX526" s="901"/>
      <c r="GYY526" s="901"/>
      <c r="GYZ526" s="901"/>
      <c r="GZA526" s="901"/>
      <c r="GZB526" s="901"/>
      <c r="GZC526" s="901"/>
      <c r="GZD526" s="901"/>
      <c r="GZE526" s="901"/>
      <c r="GZF526" s="901"/>
      <c r="GZG526" s="901"/>
      <c r="GZH526" s="901"/>
      <c r="GZI526" s="901"/>
      <c r="GZJ526" s="901"/>
      <c r="GZK526" s="901"/>
      <c r="GZL526" s="901"/>
      <c r="GZM526" s="901"/>
      <c r="GZN526" s="901"/>
      <c r="GZO526" s="901"/>
      <c r="GZP526" s="901"/>
      <c r="GZQ526" s="901"/>
      <c r="GZR526" s="901"/>
      <c r="GZS526" s="901"/>
      <c r="GZT526" s="901"/>
      <c r="GZU526" s="901"/>
      <c r="GZV526" s="901"/>
      <c r="GZW526" s="901"/>
      <c r="GZX526" s="901"/>
      <c r="GZY526" s="901"/>
      <c r="GZZ526" s="901"/>
      <c r="HAA526" s="901"/>
      <c r="HAB526" s="901"/>
      <c r="HAC526" s="901"/>
      <c r="HAD526" s="901"/>
      <c r="HAE526" s="901"/>
      <c r="HAF526" s="901"/>
      <c r="HAG526" s="901"/>
      <c r="HAH526" s="901"/>
      <c r="HAI526" s="901"/>
      <c r="HAJ526" s="901"/>
      <c r="HAK526" s="901"/>
      <c r="HAL526" s="901"/>
      <c r="HAM526" s="901"/>
      <c r="HAN526" s="901"/>
      <c r="HAO526" s="901"/>
      <c r="HAP526" s="901"/>
      <c r="HAQ526" s="901"/>
      <c r="HAR526" s="901"/>
      <c r="HAS526" s="901"/>
      <c r="HAT526" s="901"/>
      <c r="HAU526" s="901"/>
      <c r="HAV526" s="901"/>
      <c r="HAW526" s="901"/>
      <c r="HAX526" s="901"/>
      <c r="HAY526" s="901"/>
      <c r="HAZ526" s="901"/>
      <c r="HBA526" s="901"/>
      <c r="HBB526" s="901"/>
      <c r="HBC526" s="901"/>
      <c r="HBD526" s="901"/>
      <c r="HBE526" s="901"/>
      <c r="HBF526" s="901"/>
      <c r="HBG526" s="901"/>
      <c r="HBH526" s="901"/>
      <c r="HBI526" s="901"/>
      <c r="HBJ526" s="901"/>
      <c r="HBK526" s="901"/>
      <c r="HBL526" s="901"/>
      <c r="HBM526" s="901"/>
      <c r="HBN526" s="901"/>
      <c r="HBO526" s="901"/>
      <c r="HBP526" s="901"/>
      <c r="HBQ526" s="901"/>
      <c r="HBR526" s="901"/>
      <c r="HBS526" s="901"/>
      <c r="HBT526" s="901"/>
      <c r="HBU526" s="901"/>
      <c r="HBV526" s="901"/>
      <c r="HBW526" s="901"/>
      <c r="HBX526" s="901"/>
      <c r="HBY526" s="901"/>
      <c r="HBZ526" s="901"/>
      <c r="HCA526" s="901"/>
      <c r="HCB526" s="901"/>
      <c r="HCC526" s="901"/>
      <c r="HCD526" s="901"/>
      <c r="HCE526" s="901"/>
      <c r="HCF526" s="901"/>
      <c r="HCG526" s="901"/>
      <c r="HCH526" s="901"/>
      <c r="HCI526" s="901"/>
      <c r="HCJ526" s="901"/>
      <c r="HCK526" s="901"/>
      <c r="HCL526" s="901"/>
      <c r="HCM526" s="901"/>
      <c r="HCN526" s="901"/>
      <c r="HCO526" s="901"/>
      <c r="HCP526" s="901"/>
      <c r="HCQ526" s="901"/>
      <c r="HCR526" s="901"/>
      <c r="HCS526" s="901"/>
      <c r="HCT526" s="901"/>
      <c r="HCU526" s="901"/>
      <c r="HCV526" s="901"/>
      <c r="HCW526" s="901"/>
      <c r="HCX526" s="901"/>
      <c r="HCY526" s="901"/>
      <c r="HCZ526" s="901"/>
      <c r="HDA526" s="901"/>
      <c r="HDB526" s="901"/>
      <c r="HDC526" s="901"/>
      <c r="HDD526" s="901"/>
      <c r="HDE526" s="901"/>
      <c r="HDF526" s="901"/>
      <c r="HDG526" s="901"/>
      <c r="HDH526" s="901"/>
      <c r="HDI526" s="901"/>
      <c r="HDJ526" s="901"/>
      <c r="HDK526" s="901"/>
      <c r="HDL526" s="901"/>
      <c r="HDM526" s="901"/>
      <c r="HDN526" s="901"/>
      <c r="HDO526" s="901"/>
      <c r="HDP526" s="901"/>
      <c r="HDQ526" s="901"/>
      <c r="HDR526" s="901"/>
      <c r="HDS526" s="901"/>
      <c r="HDT526" s="901"/>
      <c r="HDU526" s="901"/>
      <c r="HDV526" s="901"/>
      <c r="HDW526" s="901"/>
      <c r="HDX526" s="901"/>
      <c r="HDY526" s="901"/>
      <c r="HDZ526" s="901"/>
      <c r="HEA526" s="901"/>
      <c r="HEB526" s="901"/>
      <c r="HEC526" s="901"/>
      <c r="HED526" s="901"/>
      <c r="HEE526" s="901"/>
      <c r="HEF526" s="901"/>
      <c r="HEG526" s="901"/>
      <c r="HEH526" s="901"/>
      <c r="HEI526" s="901"/>
      <c r="HEJ526" s="901"/>
      <c r="HEK526" s="901"/>
      <c r="HEL526" s="901"/>
      <c r="HEM526" s="901"/>
      <c r="HEN526" s="901"/>
      <c r="HEO526" s="901"/>
      <c r="HEP526" s="901"/>
      <c r="HEQ526" s="901"/>
      <c r="HER526" s="901"/>
      <c r="HES526" s="901"/>
      <c r="HET526" s="901"/>
      <c r="HEU526" s="901"/>
      <c r="HEV526" s="901"/>
      <c r="HEW526" s="901"/>
      <c r="HEX526" s="901"/>
      <c r="HEY526" s="901"/>
      <c r="HEZ526" s="901"/>
      <c r="HFA526" s="901"/>
      <c r="HFB526" s="901"/>
      <c r="HFC526" s="901"/>
      <c r="HFD526" s="901"/>
      <c r="HFE526" s="901"/>
      <c r="HFF526" s="901"/>
      <c r="HFG526" s="901"/>
      <c r="HFH526" s="901"/>
      <c r="HFI526" s="901"/>
      <c r="HFJ526" s="901"/>
      <c r="HFK526" s="901"/>
      <c r="HFL526" s="901"/>
      <c r="HFM526" s="901"/>
      <c r="HFN526" s="901"/>
      <c r="HFO526" s="901"/>
      <c r="HFP526" s="901"/>
      <c r="HFQ526" s="901"/>
      <c r="HFR526" s="901"/>
      <c r="HFS526" s="901"/>
      <c r="HFT526" s="901"/>
      <c r="HFU526" s="901"/>
      <c r="HFV526" s="901"/>
      <c r="HFW526" s="901"/>
      <c r="HFX526" s="901"/>
      <c r="HFY526" s="901"/>
      <c r="HFZ526" s="901"/>
      <c r="HGA526" s="901"/>
      <c r="HGB526" s="901"/>
      <c r="HGC526" s="901"/>
      <c r="HGD526" s="901"/>
      <c r="HGE526" s="901"/>
      <c r="HGF526" s="901"/>
      <c r="HGG526" s="901"/>
      <c r="HGH526" s="901"/>
      <c r="HGI526" s="901"/>
      <c r="HGJ526" s="901"/>
      <c r="HGK526" s="901"/>
      <c r="HGL526" s="901"/>
      <c r="HGM526" s="901"/>
      <c r="HGN526" s="901"/>
      <c r="HGO526" s="901"/>
      <c r="HGP526" s="901"/>
      <c r="HGQ526" s="901"/>
      <c r="HGR526" s="901"/>
      <c r="HGS526" s="901"/>
      <c r="HGT526" s="901"/>
      <c r="HGU526" s="901"/>
      <c r="HGV526" s="901"/>
      <c r="HGW526" s="901"/>
      <c r="HGX526" s="901"/>
      <c r="HGY526" s="901"/>
      <c r="HGZ526" s="901"/>
      <c r="HHA526" s="901"/>
      <c r="HHB526" s="901"/>
      <c r="HHC526" s="901"/>
      <c r="HHD526" s="901"/>
      <c r="HHE526" s="901"/>
      <c r="HHF526" s="901"/>
      <c r="HHG526" s="901"/>
      <c r="HHH526" s="901"/>
      <c r="HHI526" s="901"/>
      <c r="HHJ526" s="901"/>
      <c r="HHK526" s="901"/>
      <c r="HHL526" s="901"/>
      <c r="HHM526" s="901"/>
      <c r="HHN526" s="901"/>
      <c r="HHO526" s="901"/>
      <c r="HHP526" s="901"/>
      <c r="HHQ526" s="901"/>
      <c r="HHR526" s="901"/>
      <c r="HHS526" s="901"/>
      <c r="HHT526" s="901"/>
      <c r="HHU526" s="901"/>
      <c r="HHV526" s="901"/>
      <c r="HHW526" s="901"/>
      <c r="HHX526" s="901"/>
      <c r="HHY526" s="901"/>
      <c r="HHZ526" s="901"/>
      <c r="HIA526" s="901"/>
      <c r="HIB526" s="901"/>
      <c r="HIC526" s="901"/>
      <c r="HID526" s="901"/>
      <c r="HIE526" s="901"/>
      <c r="HIF526" s="901"/>
      <c r="HIG526" s="901"/>
      <c r="HIH526" s="901"/>
      <c r="HII526" s="901"/>
      <c r="HIJ526" s="901"/>
      <c r="HIK526" s="901"/>
      <c r="HIL526" s="901"/>
      <c r="HIM526" s="901"/>
      <c r="HIN526" s="901"/>
      <c r="HIO526" s="901"/>
      <c r="HIP526" s="901"/>
      <c r="HIQ526" s="901"/>
      <c r="HIR526" s="901"/>
      <c r="HIS526" s="901"/>
      <c r="HIT526" s="901"/>
      <c r="HIU526" s="901"/>
      <c r="HIV526" s="901"/>
      <c r="HIW526" s="901"/>
      <c r="HIX526" s="901"/>
      <c r="HIY526" s="901"/>
      <c r="HIZ526" s="901"/>
      <c r="HJA526" s="901"/>
      <c r="HJB526" s="901"/>
      <c r="HJC526" s="901"/>
      <c r="HJD526" s="901"/>
      <c r="HJE526" s="901"/>
      <c r="HJF526" s="901"/>
      <c r="HJG526" s="901"/>
      <c r="HJH526" s="901"/>
      <c r="HJI526" s="901"/>
      <c r="HJJ526" s="901"/>
      <c r="HJK526" s="901"/>
      <c r="HJL526" s="901"/>
      <c r="HJM526" s="901"/>
      <c r="HJN526" s="901"/>
      <c r="HJO526" s="901"/>
      <c r="HJP526" s="901"/>
      <c r="HJQ526" s="901"/>
      <c r="HJR526" s="901"/>
      <c r="HJS526" s="901"/>
      <c r="HJT526" s="901"/>
      <c r="HJU526" s="901"/>
      <c r="HJV526" s="901"/>
      <c r="HJW526" s="901"/>
      <c r="HJX526" s="901"/>
      <c r="HJY526" s="901"/>
      <c r="HJZ526" s="901"/>
      <c r="HKA526" s="901"/>
      <c r="HKB526" s="901"/>
      <c r="HKC526" s="901"/>
      <c r="HKD526" s="901"/>
      <c r="HKE526" s="901"/>
      <c r="HKF526" s="901"/>
      <c r="HKG526" s="901"/>
      <c r="HKH526" s="901"/>
      <c r="HKI526" s="901"/>
      <c r="HKJ526" s="901"/>
      <c r="HKK526" s="901"/>
      <c r="HKL526" s="901"/>
      <c r="HKM526" s="901"/>
      <c r="HKN526" s="901"/>
      <c r="HKO526" s="901"/>
      <c r="HKP526" s="901"/>
      <c r="HKQ526" s="901"/>
      <c r="HKR526" s="901"/>
      <c r="HKS526" s="901"/>
      <c r="HKT526" s="901"/>
      <c r="HKU526" s="901"/>
      <c r="HKV526" s="901"/>
      <c r="HKW526" s="901"/>
      <c r="HKX526" s="901"/>
      <c r="HKY526" s="901"/>
      <c r="HKZ526" s="901"/>
      <c r="HLA526" s="901"/>
      <c r="HLB526" s="901"/>
      <c r="HLC526" s="901"/>
      <c r="HLD526" s="901"/>
      <c r="HLE526" s="901"/>
      <c r="HLF526" s="901"/>
      <c r="HLG526" s="901"/>
      <c r="HLH526" s="901"/>
      <c r="HLI526" s="901"/>
      <c r="HLJ526" s="901"/>
      <c r="HLK526" s="901"/>
      <c r="HLL526" s="901"/>
      <c r="HLM526" s="901"/>
      <c r="HLN526" s="901"/>
      <c r="HLO526" s="901"/>
      <c r="HLP526" s="901"/>
      <c r="HLQ526" s="901"/>
      <c r="HLR526" s="901"/>
      <c r="HLS526" s="901"/>
      <c r="HLT526" s="901"/>
      <c r="HLU526" s="901"/>
      <c r="HLV526" s="901"/>
      <c r="HLW526" s="901"/>
      <c r="HLX526" s="901"/>
      <c r="HLY526" s="901"/>
      <c r="HLZ526" s="901"/>
      <c r="HMA526" s="901"/>
      <c r="HMB526" s="901"/>
      <c r="HMC526" s="901"/>
      <c r="HMD526" s="901"/>
      <c r="HME526" s="901"/>
      <c r="HMF526" s="901"/>
      <c r="HMG526" s="901"/>
      <c r="HMH526" s="901"/>
      <c r="HMI526" s="901"/>
      <c r="HMJ526" s="901"/>
      <c r="HMK526" s="901"/>
      <c r="HML526" s="901"/>
      <c r="HMM526" s="901"/>
      <c r="HMN526" s="901"/>
      <c r="HMO526" s="901"/>
      <c r="HMP526" s="901"/>
      <c r="HMQ526" s="901"/>
      <c r="HMR526" s="901"/>
      <c r="HMS526" s="901"/>
      <c r="HMT526" s="901"/>
      <c r="HMU526" s="901"/>
      <c r="HMV526" s="901"/>
      <c r="HMW526" s="901"/>
      <c r="HMX526" s="901"/>
      <c r="HMY526" s="901"/>
      <c r="HMZ526" s="901"/>
      <c r="HNA526" s="901"/>
      <c r="HNB526" s="901"/>
      <c r="HNC526" s="901"/>
      <c r="HND526" s="901"/>
      <c r="HNE526" s="901"/>
      <c r="HNF526" s="901"/>
      <c r="HNG526" s="901"/>
      <c r="HNH526" s="901"/>
      <c r="HNI526" s="901"/>
      <c r="HNJ526" s="901"/>
      <c r="HNK526" s="901"/>
      <c r="HNL526" s="901"/>
      <c r="HNM526" s="901"/>
      <c r="HNN526" s="901"/>
      <c r="HNO526" s="901"/>
      <c r="HNP526" s="901"/>
      <c r="HNQ526" s="901"/>
      <c r="HNR526" s="901"/>
      <c r="HNS526" s="901"/>
      <c r="HNT526" s="901"/>
      <c r="HNU526" s="901"/>
      <c r="HNV526" s="901"/>
      <c r="HNW526" s="901"/>
      <c r="HNX526" s="901"/>
      <c r="HNY526" s="901"/>
      <c r="HNZ526" s="901"/>
      <c r="HOA526" s="901"/>
      <c r="HOB526" s="901"/>
      <c r="HOC526" s="901"/>
      <c r="HOD526" s="901"/>
      <c r="HOE526" s="901"/>
      <c r="HOF526" s="901"/>
      <c r="HOG526" s="901"/>
      <c r="HOH526" s="901"/>
      <c r="HOI526" s="901"/>
      <c r="HOJ526" s="901"/>
      <c r="HOK526" s="901"/>
      <c r="HOL526" s="901"/>
      <c r="HOM526" s="901"/>
      <c r="HON526" s="901"/>
      <c r="HOO526" s="901"/>
      <c r="HOP526" s="901"/>
      <c r="HOQ526" s="901"/>
      <c r="HOR526" s="901"/>
      <c r="HOS526" s="901"/>
      <c r="HOT526" s="901"/>
      <c r="HOU526" s="901"/>
      <c r="HOV526" s="901"/>
      <c r="HOW526" s="901"/>
      <c r="HOX526" s="901"/>
      <c r="HOY526" s="901"/>
      <c r="HOZ526" s="901"/>
      <c r="HPA526" s="901"/>
      <c r="HPB526" s="901"/>
      <c r="HPC526" s="901"/>
      <c r="HPD526" s="901"/>
      <c r="HPE526" s="901"/>
      <c r="HPF526" s="901"/>
      <c r="HPG526" s="901"/>
      <c r="HPH526" s="901"/>
      <c r="HPI526" s="901"/>
      <c r="HPJ526" s="901"/>
      <c r="HPK526" s="901"/>
      <c r="HPL526" s="901"/>
      <c r="HPM526" s="901"/>
      <c r="HPN526" s="901"/>
      <c r="HPO526" s="901"/>
      <c r="HPP526" s="901"/>
      <c r="HPQ526" s="901"/>
      <c r="HPR526" s="901"/>
      <c r="HPS526" s="901"/>
      <c r="HPT526" s="901"/>
      <c r="HPU526" s="901"/>
      <c r="HPV526" s="901"/>
      <c r="HPW526" s="901"/>
      <c r="HPX526" s="901"/>
      <c r="HPY526" s="901"/>
      <c r="HPZ526" s="901"/>
      <c r="HQA526" s="901"/>
      <c r="HQB526" s="901"/>
      <c r="HQC526" s="901"/>
      <c r="HQD526" s="901"/>
      <c r="HQE526" s="901"/>
      <c r="HQF526" s="901"/>
      <c r="HQG526" s="901"/>
      <c r="HQH526" s="901"/>
      <c r="HQI526" s="901"/>
      <c r="HQJ526" s="901"/>
      <c r="HQK526" s="901"/>
      <c r="HQL526" s="901"/>
      <c r="HQM526" s="901"/>
      <c r="HQN526" s="901"/>
      <c r="HQO526" s="901"/>
      <c r="HQP526" s="901"/>
      <c r="HQQ526" s="901"/>
      <c r="HQR526" s="901"/>
      <c r="HQS526" s="901"/>
      <c r="HQT526" s="901"/>
      <c r="HQU526" s="901"/>
      <c r="HQV526" s="901"/>
      <c r="HQW526" s="901"/>
      <c r="HQX526" s="901"/>
      <c r="HQY526" s="901"/>
      <c r="HQZ526" s="901"/>
      <c r="HRA526" s="901"/>
      <c r="HRB526" s="901"/>
      <c r="HRC526" s="901"/>
      <c r="HRD526" s="901"/>
      <c r="HRE526" s="901"/>
      <c r="HRF526" s="901"/>
      <c r="HRG526" s="901"/>
      <c r="HRH526" s="901"/>
      <c r="HRI526" s="901"/>
      <c r="HRJ526" s="901"/>
      <c r="HRK526" s="901"/>
      <c r="HRL526" s="901"/>
      <c r="HRM526" s="901"/>
      <c r="HRN526" s="901"/>
      <c r="HRO526" s="901"/>
      <c r="HRP526" s="901"/>
      <c r="HRQ526" s="901"/>
      <c r="HRR526" s="901"/>
      <c r="HRS526" s="901"/>
      <c r="HRT526" s="901"/>
      <c r="HRU526" s="901"/>
      <c r="HRV526" s="901"/>
      <c r="HRW526" s="901"/>
      <c r="HRX526" s="901"/>
      <c r="HRY526" s="901"/>
      <c r="HRZ526" s="901"/>
      <c r="HSA526" s="901"/>
      <c r="HSB526" s="901"/>
      <c r="HSC526" s="901"/>
      <c r="HSD526" s="901"/>
      <c r="HSE526" s="901"/>
      <c r="HSF526" s="901"/>
      <c r="HSG526" s="901"/>
      <c r="HSH526" s="901"/>
      <c r="HSI526" s="901"/>
      <c r="HSJ526" s="901"/>
      <c r="HSK526" s="901"/>
      <c r="HSL526" s="901"/>
      <c r="HSM526" s="901"/>
      <c r="HSN526" s="901"/>
      <c r="HSO526" s="901"/>
      <c r="HSP526" s="901"/>
      <c r="HSQ526" s="901"/>
      <c r="HSR526" s="901"/>
      <c r="HSS526" s="901"/>
      <c r="HST526" s="901"/>
      <c r="HSU526" s="901"/>
      <c r="HSV526" s="901"/>
      <c r="HSW526" s="901"/>
      <c r="HSX526" s="901"/>
      <c r="HSY526" s="901"/>
      <c r="HSZ526" s="901"/>
      <c r="HTA526" s="901"/>
      <c r="HTB526" s="901"/>
      <c r="HTC526" s="901"/>
      <c r="HTD526" s="901"/>
      <c r="HTE526" s="901"/>
      <c r="HTF526" s="901"/>
      <c r="HTG526" s="901"/>
      <c r="HTH526" s="901"/>
      <c r="HTI526" s="901"/>
      <c r="HTJ526" s="901"/>
      <c r="HTK526" s="901"/>
      <c r="HTL526" s="901"/>
      <c r="HTM526" s="901"/>
      <c r="HTN526" s="901"/>
      <c r="HTO526" s="901"/>
      <c r="HTP526" s="901"/>
      <c r="HTQ526" s="901"/>
      <c r="HTR526" s="901"/>
      <c r="HTS526" s="901"/>
      <c r="HTT526" s="901"/>
      <c r="HTU526" s="901"/>
      <c r="HTV526" s="901"/>
      <c r="HTW526" s="901"/>
      <c r="HTX526" s="901"/>
      <c r="HTY526" s="901"/>
      <c r="HTZ526" s="901"/>
      <c r="HUA526" s="901"/>
      <c r="HUB526" s="901"/>
      <c r="HUC526" s="901"/>
      <c r="HUD526" s="901"/>
      <c r="HUE526" s="901"/>
      <c r="HUF526" s="901"/>
      <c r="HUG526" s="901"/>
      <c r="HUH526" s="901"/>
      <c r="HUI526" s="901"/>
      <c r="HUJ526" s="901"/>
      <c r="HUK526" s="901"/>
      <c r="HUL526" s="901"/>
      <c r="HUM526" s="901"/>
      <c r="HUN526" s="901"/>
      <c r="HUO526" s="901"/>
      <c r="HUP526" s="901"/>
      <c r="HUQ526" s="901"/>
      <c r="HUR526" s="901"/>
      <c r="HUS526" s="901"/>
      <c r="HUT526" s="901"/>
      <c r="HUU526" s="901"/>
      <c r="HUV526" s="901"/>
      <c r="HUW526" s="901"/>
      <c r="HUX526" s="901"/>
      <c r="HUY526" s="901"/>
      <c r="HUZ526" s="901"/>
      <c r="HVA526" s="901"/>
      <c r="HVB526" s="901"/>
      <c r="HVC526" s="901"/>
      <c r="HVD526" s="901"/>
      <c r="HVE526" s="901"/>
      <c r="HVF526" s="901"/>
      <c r="HVG526" s="901"/>
      <c r="HVH526" s="901"/>
      <c r="HVI526" s="901"/>
      <c r="HVJ526" s="901"/>
      <c r="HVK526" s="901"/>
      <c r="HVL526" s="901"/>
      <c r="HVM526" s="901"/>
      <c r="HVN526" s="901"/>
      <c r="HVO526" s="901"/>
      <c r="HVP526" s="901"/>
      <c r="HVQ526" s="901"/>
      <c r="HVR526" s="901"/>
      <c r="HVS526" s="901"/>
      <c r="HVT526" s="901"/>
      <c r="HVU526" s="901"/>
      <c r="HVV526" s="901"/>
      <c r="HVW526" s="901"/>
      <c r="HVX526" s="901"/>
      <c r="HVY526" s="901"/>
      <c r="HVZ526" s="901"/>
      <c r="HWA526" s="901"/>
      <c r="HWB526" s="901"/>
      <c r="HWC526" s="901"/>
      <c r="HWD526" s="901"/>
      <c r="HWE526" s="901"/>
      <c r="HWF526" s="901"/>
      <c r="HWG526" s="901"/>
      <c r="HWH526" s="901"/>
      <c r="HWI526" s="901"/>
      <c r="HWJ526" s="901"/>
      <c r="HWK526" s="901"/>
      <c r="HWL526" s="901"/>
      <c r="HWM526" s="901"/>
      <c r="HWN526" s="901"/>
      <c r="HWO526" s="901"/>
      <c r="HWP526" s="901"/>
      <c r="HWQ526" s="901"/>
      <c r="HWR526" s="901"/>
      <c r="HWS526" s="901"/>
      <c r="HWT526" s="901"/>
      <c r="HWU526" s="901"/>
      <c r="HWV526" s="901"/>
      <c r="HWW526" s="901"/>
      <c r="HWX526" s="901"/>
      <c r="HWY526" s="901"/>
      <c r="HWZ526" s="901"/>
      <c r="HXA526" s="901"/>
      <c r="HXB526" s="901"/>
      <c r="HXC526" s="901"/>
      <c r="HXD526" s="901"/>
      <c r="HXE526" s="901"/>
      <c r="HXF526" s="901"/>
      <c r="HXG526" s="901"/>
      <c r="HXH526" s="901"/>
      <c r="HXI526" s="901"/>
      <c r="HXJ526" s="901"/>
      <c r="HXK526" s="901"/>
      <c r="HXL526" s="901"/>
      <c r="HXM526" s="901"/>
      <c r="HXN526" s="901"/>
      <c r="HXO526" s="901"/>
      <c r="HXP526" s="901"/>
      <c r="HXQ526" s="901"/>
      <c r="HXR526" s="901"/>
      <c r="HXS526" s="901"/>
      <c r="HXT526" s="901"/>
      <c r="HXU526" s="901"/>
      <c r="HXV526" s="901"/>
      <c r="HXW526" s="901"/>
      <c r="HXX526" s="901"/>
      <c r="HXY526" s="901"/>
      <c r="HXZ526" s="901"/>
      <c r="HYA526" s="901"/>
      <c r="HYB526" s="901"/>
      <c r="HYC526" s="901"/>
      <c r="HYD526" s="901"/>
      <c r="HYE526" s="901"/>
      <c r="HYF526" s="901"/>
      <c r="HYG526" s="901"/>
      <c r="HYH526" s="901"/>
      <c r="HYI526" s="901"/>
      <c r="HYJ526" s="901"/>
      <c r="HYK526" s="901"/>
      <c r="HYL526" s="901"/>
      <c r="HYM526" s="901"/>
      <c r="HYN526" s="901"/>
      <c r="HYO526" s="901"/>
      <c r="HYP526" s="901"/>
      <c r="HYQ526" s="901"/>
      <c r="HYR526" s="901"/>
      <c r="HYS526" s="901"/>
      <c r="HYT526" s="901"/>
      <c r="HYU526" s="901"/>
      <c r="HYV526" s="901"/>
      <c r="HYW526" s="901"/>
      <c r="HYX526" s="901"/>
      <c r="HYY526" s="901"/>
      <c r="HYZ526" s="901"/>
      <c r="HZA526" s="901"/>
      <c r="HZB526" s="901"/>
      <c r="HZC526" s="901"/>
      <c r="HZD526" s="901"/>
      <c r="HZE526" s="901"/>
      <c r="HZF526" s="901"/>
      <c r="HZG526" s="901"/>
      <c r="HZH526" s="901"/>
      <c r="HZI526" s="901"/>
      <c r="HZJ526" s="901"/>
      <c r="HZK526" s="901"/>
      <c r="HZL526" s="901"/>
      <c r="HZM526" s="901"/>
      <c r="HZN526" s="901"/>
      <c r="HZO526" s="901"/>
      <c r="HZP526" s="901"/>
      <c r="HZQ526" s="901"/>
      <c r="HZR526" s="901"/>
      <c r="HZS526" s="901"/>
      <c r="HZT526" s="901"/>
      <c r="HZU526" s="901"/>
      <c r="HZV526" s="901"/>
      <c r="HZW526" s="901"/>
      <c r="HZX526" s="901"/>
      <c r="HZY526" s="901"/>
      <c r="HZZ526" s="901"/>
      <c r="IAA526" s="901"/>
      <c r="IAB526" s="901"/>
      <c r="IAC526" s="901"/>
      <c r="IAD526" s="901"/>
      <c r="IAE526" s="901"/>
      <c r="IAF526" s="901"/>
      <c r="IAG526" s="901"/>
      <c r="IAH526" s="901"/>
      <c r="IAI526" s="901"/>
      <c r="IAJ526" s="901"/>
      <c r="IAK526" s="901"/>
      <c r="IAL526" s="901"/>
      <c r="IAM526" s="901"/>
      <c r="IAN526" s="901"/>
      <c r="IAO526" s="901"/>
      <c r="IAP526" s="901"/>
      <c r="IAQ526" s="901"/>
      <c r="IAR526" s="901"/>
      <c r="IAS526" s="901"/>
      <c r="IAT526" s="901"/>
      <c r="IAU526" s="901"/>
      <c r="IAV526" s="901"/>
      <c r="IAW526" s="901"/>
      <c r="IAX526" s="901"/>
      <c r="IAY526" s="901"/>
      <c r="IAZ526" s="901"/>
      <c r="IBA526" s="901"/>
      <c r="IBB526" s="901"/>
      <c r="IBC526" s="901"/>
      <c r="IBD526" s="901"/>
      <c r="IBE526" s="901"/>
      <c r="IBF526" s="901"/>
      <c r="IBG526" s="901"/>
      <c r="IBH526" s="901"/>
      <c r="IBI526" s="901"/>
      <c r="IBJ526" s="901"/>
      <c r="IBK526" s="901"/>
      <c r="IBL526" s="901"/>
      <c r="IBM526" s="901"/>
      <c r="IBN526" s="901"/>
      <c r="IBO526" s="901"/>
      <c r="IBP526" s="901"/>
      <c r="IBQ526" s="901"/>
      <c r="IBR526" s="901"/>
      <c r="IBS526" s="901"/>
      <c r="IBT526" s="901"/>
      <c r="IBU526" s="901"/>
      <c r="IBV526" s="901"/>
      <c r="IBW526" s="901"/>
      <c r="IBX526" s="901"/>
      <c r="IBY526" s="901"/>
      <c r="IBZ526" s="901"/>
      <c r="ICA526" s="901"/>
      <c r="ICB526" s="901"/>
      <c r="ICC526" s="901"/>
      <c r="ICD526" s="901"/>
      <c r="ICE526" s="901"/>
      <c r="ICF526" s="901"/>
      <c r="ICG526" s="901"/>
      <c r="ICH526" s="901"/>
      <c r="ICI526" s="901"/>
      <c r="ICJ526" s="901"/>
      <c r="ICK526" s="901"/>
      <c r="ICL526" s="901"/>
      <c r="ICM526" s="901"/>
      <c r="ICN526" s="901"/>
      <c r="ICO526" s="901"/>
      <c r="ICP526" s="901"/>
      <c r="ICQ526" s="901"/>
      <c r="ICR526" s="901"/>
      <c r="ICS526" s="901"/>
      <c r="ICT526" s="901"/>
      <c r="ICU526" s="901"/>
      <c r="ICV526" s="901"/>
      <c r="ICW526" s="901"/>
      <c r="ICX526" s="901"/>
      <c r="ICY526" s="901"/>
      <c r="ICZ526" s="901"/>
      <c r="IDA526" s="901"/>
      <c r="IDB526" s="901"/>
      <c r="IDC526" s="901"/>
      <c r="IDD526" s="901"/>
      <c r="IDE526" s="901"/>
      <c r="IDF526" s="901"/>
      <c r="IDG526" s="901"/>
      <c r="IDH526" s="901"/>
      <c r="IDI526" s="901"/>
      <c r="IDJ526" s="901"/>
      <c r="IDK526" s="901"/>
      <c r="IDL526" s="901"/>
      <c r="IDM526" s="901"/>
      <c r="IDN526" s="901"/>
      <c r="IDO526" s="901"/>
      <c r="IDP526" s="901"/>
      <c r="IDQ526" s="901"/>
      <c r="IDR526" s="901"/>
      <c r="IDS526" s="901"/>
      <c r="IDT526" s="901"/>
      <c r="IDU526" s="901"/>
      <c r="IDV526" s="901"/>
      <c r="IDW526" s="901"/>
      <c r="IDX526" s="901"/>
      <c r="IDY526" s="901"/>
      <c r="IDZ526" s="901"/>
      <c r="IEA526" s="901"/>
      <c r="IEB526" s="901"/>
      <c r="IEC526" s="901"/>
      <c r="IED526" s="901"/>
      <c r="IEE526" s="901"/>
      <c r="IEF526" s="901"/>
      <c r="IEG526" s="901"/>
      <c r="IEH526" s="901"/>
      <c r="IEI526" s="901"/>
      <c r="IEJ526" s="901"/>
      <c r="IEK526" s="901"/>
      <c r="IEL526" s="901"/>
      <c r="IEM526" s="901"/>
      <c r="IEN526" s="901"/>
      <c r="IEO526" s="901"/>
      <c r="IEP526" s="901"/>
      <c r="IEQ526" s="901"/>
      <c r="IER526" s="901"/>
      <c r="IES526" s="901"/>
      <c r="IET526" s="901"/>
      <c r="IEU526" s="901"/>
      <c r="IEV526" s="901"/>
      <c r="IEW526" s="901"/>
      <c r="IEX526" s="901"/>
      <c r="IEY526" s="901"/>
      <c r="IEZ526" s="901"/>
      <c r="IFA526" s="901"/>
      <c r="IFB526" s="901"/>
      <c r="IFC526" s="901"/>
      <c r="IFD526" s="901"/>
      <c r="IFE526" s="901"/>
      <c r="IFF526" s="901"/>
      <c r="IFG526" s="901"/>
      <c r="IFH526" s="901"/>
      <c r="IFI526" s="901"/>
      <c r="IFJ526" s="901"/>
      <c r="IFK526" s="901"/>
      <c r="IFL526" s="901"/>
      <c r="IFM526" s="901"/>
      <c r="IFN526" s="901"/>
      <c r="IFO526" s="901"/>
      <c r="IFP526" s="901"/>
      <c r="IFQ526" s="901"/>
      <c r="IFR526" s="901"/>
      <c r="IFS526" s="901"/>
      <c r="IFT526" s="901"/>
      <c r="IFU526" s="901"/>
      <c r="IFV526" s="901"/>
      <c r="IFW526" s="901"/>
      <c r="IFX526" s="901"/>
      <c r="IFY526" s="901"/>
      <c r="IFZ526" s="901"/>
      <c r="IGA526" s="901"/>
      <c r="IGB526" s="901"/>
      <c r="IGC526" s="901"/>
      <c r="IGD526" s="901"/>
      <c r="IGE526" s="901"/>
      <c r="IGF526" s="901"/>
      <c r="IGG526" s="901"/>
      <c r="IGH526" s="901"/>
      <c r="IGI526" s="901"/>
      <c r="IGJ526" s="901"/>
      <c r="IGK526" s="901"/>
      <c r="IGL526" s="901"/>
      <c r="IGM526" s="901"/>
      <c r="IGN526" s="901"/>
      <c r="IGO526" s="901"/>
      <c r="IGP526" s="901"/>
      <c r="IGQ526" s="901"/>
      <c r="IGR526" s="901"/>
      <c r="IGS526" s="901"/>
      <c r="IGT526" s="901"/>
      <c r="IGU526" s="901"/>
      <c r="IGV526" s="901"/>
      <c r="IGW526" s="901"/>
      <c r="IGX526" s="901"/>
      <c r="IGY526" s="901"/>
      <c r="IGZ526" s="901"/>
      <c r="IHA526" s="901"/>
      <c r="IHB526" s="901"/>
      <c r="IHC526" s="901"/>
      <c r="IHD526" s="901"/>
      <c r="IHE526" s="901"/>
      <c r="IHF526" s="901"/>
      <c r="IHG526" s="901"/>
      <c r="IHH526" s="901"/>
      <c r="IHI526" s="901"/>
      <c r="IHJ526" s="901"/>
      <c r="IHK526" s="901"/>
      <c r="IHL526" s="901"/>
      <c r="IHM526" s="901"/>
      <c r="IHN526" s="901"/>
      <c r="IHO526" s="901"/>
      <c r="IHP526" s="901"/>
      <c r="IHQ526" s="901"/>
      <c r="IHR526" s="901"/>
      <c r="IHS526" s="901"/>
      <c r="IHT526" s="901"/>
      <c r="IHU526" s="901"/>
      <c r="IHV526" s="901"/>
      <c r="IHW526" s="901"/>
      <c r="IHX526" s="901"/>
      <c r="IHY526" s="901"/>
      <c r="IHZ526" s="901"/>
      <c r="IIA526" s="901"/>
      <c r="IIB526" s="901"/>
      <c r="IIC526" s="901"/>
      <c r="IID526" s="901"/>
      <c r="IIE526" s="901"/>
      <c r="IIF526" s="901"/>
      <c r="IIG526" s="901"/>
      <c r="IIH526" s="901"/>
      <c r="III526" s="901"/>
      <c r="IIJ526" s="901"/>
      <c r="IIK526" s="901"/>
      <c r="IIL526" s="901"/>
      <c r="IIM526" s="901"/>
      <c r="IIN526" s="901"/>
      <c r="IIO526" s="901"/>
      <c r="IIP526" s="901"/>
      <c r="IIQ526" s="901"/>
      <c r="IIR526" s="901"/>
      <c r="IIS526" s="901"/>
      <c r="IIT526" s="901"/>
      <c r="IIU526" s="901"/>
      <c r="IIV526" s="901"/>
      <c r="IIW526" s="901"/>
      <c r="IIX526" s="901"/>
      <c r="IIY526" s="901"/>
      <c r="IIZ526" s="901"/>
      <c r="IJA526" s="901"/>
      <c r="IJB526" s="901"/>
      <c r="IJC526" s="901"/>
      <c r="IJD526" s="901"/>
      <c r="IJE526" s="901"/>
      <c r="IJF526" s="901"/>
      <c r="IJG526" s="901"/>
      <c r="IJH526" s="901"/>
      <c r="IJI526" s="901"/>
      <c r="IJJ526" s="901"/>
      <c r="IJK526" s="901"/>
      <c r="IJL526" s="901"/>
      <c r="IJM526" s="901"/>
      <c r="IJN526" s="901"/>
      <c r="IJO526" s="901"/>
      <c r="IJP526" s="901"/>
      <c r="IJQ526" s="901"/>
      <c r="IJR526" s="901"/>
      <c r="IJS526" s="901"/>
      <c r="IJT526" s="901"/>
      <c r="IJU526" s="901"/>
      <c r="IJV526" s="901"/>
      <c r="IJW526" s="901"/>
      <c r="IJX526" s="901"/>
      <c r="IJY526" s="901"/>
      <c r="IJZ526" s="901"/>
      <c r="IKA526" s="901"/>
      <c r="IKB526" s="901"/>
      <c r="IKC526" s="901"/>
      <c r="IKD526" s="901"/>
      <c r="IKE526" s="901"/>
      <c r="IKF526" s="901"/>
      <c r="IKG526" s="901"/>
      <c r="IKH526" s="901"/>
      <c r="IKI526" s="901"/>
      <c r="IKJ526" s="901"/>
      <c r="IKK526" s="901"/>
      <c r="IKL526" s="901"/>
      <c r="IKM526" s="901"/>
      <c r="IKN526" s="901"/>
      <c r="IKO526" s="901"/>
      <c r="IKP526" s="901"/>
      <c r="IKQ526" s="901"/>
      <c r="IKR526" s="901"/>
      <c r="IKS526" s="901"/>
      <c r="IKT526" s="901"/>
      <c r="IKU526" s="901"/>
      <c r="IKV526" s="901"/>
      <c r="IKW526" s="901"/>
      <c r="IKX526" s="901"/>
      <c r="IKY526" s="901"/>
      <c r="IKZ526" s="901"/>
      <c r="ILA526" s="901"/>
      <c r="ILB526" s="901"/>
      <c r="ILC526" s="901"/>
      <c r="ILD526" s="901"/>
      <c r="ILE526" s="901"/>
      <c r="ILF526" s="901"/>
      <c r="ILG526" s="901"/>
      <c r="ILH526" s="901"/>
      <c r="ILI526" s="901"/>
      <c r="ILJ526" s="901"/>
      <c r="ILK526" s="901"/>
      <c r="ILL526" s="901"/>
      <c r="ILM526" s="901"/>
      <c r="ILN526" s="901"/>
      <c r="ILO526" s="901"/>
      <c r="ILP526" s="901"/>
      <c r="ILQ526" s="901"/>
      <c r="ILR526" s="901"/>
      <c r="ILS526" s="901"/>
      <c r="ILT526" s="901"/>
      <c r="ILU526" s="901"/>
      <c r="ILV526" s="901"/>
      <c r="ILW526" s="901"/>
      <c r="ILX526" s="901"/>
      <c r="ILY526" s="901"/>
      <c r="ILZ526" s="901"/>
      <c r="IMA526" s="901"/>
      <c r="IMB526" s="901"/>
      <c r="IMC526" s="901"/>
      <c r="IMD526" s="901"/>
      <c r="IME526" s="901"/>
      <c r="IMF526" s="901"/>
      <c r="IMG526" s="901"/>
      <c r="IMH526" s="901"/>
      <c r="IMI526" s="901"/>
      <c r="IMJ526" s="901"/>
      <c r="IMK526" s="901"/>
      <c r="IML526" s="901"/>
      <c r="IMM526" s="901"/>
      <c r="IMN526" s="901"/>
      <c r="IMO526" s="901"/>
      <c r="IMP526" s="901"/>
      <c r="IMQ526" s="901"/>
      <c r="IMR526" s="901"/>
      <c r="IMS526" s="901"/>
      <c r="IMT526" s="901"/>
      <c r="IMU526" s="901"/>
      <c r="IMV526" s="901"/>
      <c r="IMW526" s="901"/>
      <c r="IMX526" s="901"/>
      <c r="IMY526" s="901"/>
      <c r="IMZ526" s="901"/>
      <c r="INA526" s="901"/>
      <c r="INB526" s="901"/>
      <c r="INC526" s="901"/>
      <c r="IND526" s="901"/>
      <c r="INE526" s="901"/>
      <c r="INF526" s="901"/>
      <c r="ING526" s="901"/>
      <c r="INH526" s="901"/>
      <c r="INI526" s="901"/>
      <c r="INJ526" s="901"/>
      <c r="INK526" s="901"/>
      <c r="INL526" s="901"/>
      <c r="INM526" s="901"/>
      <c r="INN526" s="901"/>
      <c r="INO526" s="901"/>
      <c r="INP526" s="901"/>
      <c r="INQ526" s="901"/>
      <c r="INR526" s="901"/>
      <c r="INS526" s="901"/>
      <c r="INT526" s="901"/>
      <c r="INU526" s="901"/>
      <c r="INV526" s="901"/>
      <c r="INW526" s="901"/>
      <c r="INX526" s="901"/>
      <c r="INY526" s="901"/>
      <c r="INZ526" s="901"/>
      <c r="IOA526" s="901"/>
      <c r="IOB526" s="901"/>
      <c r="IOC526" s="901"/>
      <c r="IOD526" s="901"/>
      <c r="IOE526" s="901"/>
      <c r="IOF526" s="901"/>
      <c r="IOG526" s="901"/>
      <c r="IOH526" s="901"/>
      <c r="IOI526" s="901"/>
      <c r="IOJ526" s="901"/>
      <c r="IOK526" s="901"/>
      <c r="IOL526" s="901"/>
      <c r="IOM526" s="901"/>
      <c r="ION526" s="901"/>
      <c r="IOO526" s="901"/>
      <c r="IOP526" s="901"/>
      <c r="IOQ526" s="901"/>
      <c r="IOR526" s="901"/>
      <c r="IOS526" s="901"/>
      <c r="IOT526" s="901"/>
      <c r="IOU526" s="901"/>
      <c r="IOV526" s="901"/>
      <c r="IOW526" s="901"/>
      <c r="IOX526" s="901"/>
      <c r="IOY526" s="901"/>
      <c r="IOZ526" s="901"/>
      <c r="IPA526" s="901"/>
      <c r="IPB526" s="901"/>
      <c r="IPC526" s="901"/>
      <c r="IPD526" s="901"/>
      <c r="IPE526" s="901"/>
      <c r="IPF526" s="901"/>
      <c r="IPG526" s="901"/>
      <c r="IPH526" s="901"/>
      <c r="IPI526" s="901"/>
      <c r="IPJ526" s="901"/>
      <c r="IPK526" s="901"/>
      <c r="IPL526" s="901"/>
      <c r="IPM526" s="901"/>
      <c r="IPN526" s="901"/>
      <c r="IPO526" s="901"/>
      <c r="IPP526" s="901"/>
      <c r="IPQ526" s="901"/>
      <c r="IPR526" s="901"/>
      <c r="IPS526" s="901"/>
      <c r="IPT526" s="901"/>
      <c r="IPU526" s="901"/>
      <c r="IPV526" s="901"/>
      <c r="IPW526" s="901"/>
      <c r="IPX526" s="901"/>
      <c r="IPY526" s="901"/>
      <c r="IPZ526" s="901"/>
      <c r="IQA526" s="901"/>
      <c r="IQB526" s="901"/>
      <c r="IQC526" s="901"/>
      <c r="IQD526" s="901"/>
      <c r="IQE526" s="901"/>
      <c r="IQF526" s="901"/>
      <c r="IQG526" s="901"/>
      <c r="IQH526" s="901"/>
      <c r="IQI526" s="901"/>
      <c r="IQJ526" s="901"/>
      <c r="IQK526" s="901"/>
      <c r="IQL526" s="901"/>
      <c r="IQM526" s="901"/>
      <c r="IQN526" s="901"/>
      <c r="IQO526" s="901"/>
      <c r="IQP526" s="901"/>
      <c r="IQQ526" s="901"/>
      <c r="IQR526" s="901"/>
      <c r="IQS526" s="901"/>
      <c r="IQT526" s="901"/>
      <c r="IQU526" s="901"/>
      <c r="IQV526" s="901"/>
      <c r="IQW526" s="901"/>
      <c r="IQX526" s="901"/>
      <c r="IQY526" s="901"/>
      <c r="IQZ526" s="901"/>
      <c r="IRA526" s="901"/>
      <c r="IRB526" s="901"/>
      <c r="IRC526" s="901"/>
      <c r="IRD526" s="901"/>
      <c r="IRE526" s="901"/>
      <c r="IRF526" s="901"/>
      <c r="IRG526" s="901"/>
      <c r="IRH526" s="901"/>
      <c r="IRI526" s="901"/>
      <c r="IRJ526" s="901"/>
      <c r="IRK526" s="901"/>
      <c r="IRL526" s="901"/>
      <c r="IRM526" s="901"/>
      <c r="IRN526" s="901"/>
      <c r="IRO526" s="901"/>
      <c r="IRP526" s="901"/>
      <c r="IRQ526" s="901"/>
      <c r="IRR526" s="901"/>
      <c r="IRS526" s="901"/>
      <c r="IRT526" s="901"/>
      <c r="IRU526" s="901"/>
      <c r="IRV526" s="901"/>
      <c r="IRW526" s="901"/>
      <c r="IRX526" s="901"/>
      <c r="IRY526" s="901"/>
      <c r="IRZ526" s="901"/>
      <c r="ISA526" s="901"/>
      <c r="ISB526" s="901"/>
      <c r="ISC526" s="901"/>
      <c r="ISD526" s="901"/>
      <c r="ISE526" s="901"/>
      <c r="ISF526" s="901"/>
      <c r="ISG526" s="901"/>
      <c r="ISH526" s="901"/>
      <c r="ISI526" s="901"/>
      <c r="ISJ526" s="901"/>
      <c r="ISK526" s="901"/>
      <c r="ISL526" s="901"/>
      <c r="ISM526" s="901"/>
      <c r="ISN526" s="901"/>
      <c r="ISO526" s="901"/>
      <c r="ISP526" s="901"/>
      <c r="ISQ526" s="901"/>
      <c r="ISR526" s="901"/>
      <c r="ISS526" s="901"/>
      <c r="IST526" s="901"/>
      <c r="ISU526" s="901"/>
      <c r="ISV526" s="901"/>
      <c r="ISW526" s="901"/>
      <c r="ISX526" s="901"/>
      <c r="ISY526" s="901"/>
      <c r="ISZ526" s="901"/>
      <c r="ITA526" s="901"/>
      <c r="ITB526" s="901"/>
      <c r="ITC526" s="901"/>
      <c r="ITD526" s="901"/>
      <c r="ITE526" s="901"/>
      <c r="ITF526" s="901"/>
      <c r="ITG526" s="901"/>
      <c r="ITH526" s="901"/>
      <c r="ITI526" s="901"/>
      <c r="ITJ526" s="901"/>
      <c r="ITK526" s="901"/>
      <c r="ITL526" s="901"/>
      <c r="ITM526" s="901"/>
      <c r="ITN526" s="901"/>
      <c r="ITO526" s="901"/>
      <c r="ITP526" s="901"/>
      <c r="ITQ526" s="901"/>
      <c r="ITR526" s="901"/>
      <c r="ITS526" s="901"/>
      <c r="ITT526" s="901"/>
      <c r="ITU526" s="901"/>
      <c r="ITV526" s="901"/>
      <c r="ITW526" s="901"/>
      <c r="ITX526" s="901"/>
      <c r="ITY526" s="901"/>
      <c r="ITZ526" s="901"/>
      <c r="IUA526" s="901"/>
      <c r="IUB526" s="901"/>
      <c r="IUC526" s="901"/>
      <c r="IUD526" s="901"/>
      <c r="IUE526" s="901"/>
      <c r="IUF526" s="901"/>
      <c r="IUG526" s="901"/>
      <c r="IUH526" s="901"/>
      <c r="IUI526" s="901"/>
      <c r="IUJ526" s="901"/>
      <c r="IUK526" s="901"/>
      <c r="IUL526" s="901"/>
      <c r="IUM526" s="901"/>
      <c r="IUN526" s="901"/>
      <c r="IUO526" s="901"/>
      <c r="IUP526" s="901"/>
      <c r="IUQ526" s="901"/>
      <c r="IUR526" s="901"/>
      <c r="IUS526" s="901"/>
      <c r="IUT526" s="901"/>
      <c r="IUU526" s="901"/>
      <c r="IUV526" s="901"/>
      <c r="IUW526" s="901"/>
      <c r="IUX526" s="901"/>
      <c r="IUY526" s="901"/>
      <c r="IUZ526" s="901"/>
      <c r="IVA526" s="901"/>
      <c r="IVB526" s="901"/>
      <c r="IVC526" s="901"/>
      <c r="IVD526" s="901"/>
      <c r="IVE526" s="901"/>
      <c r="IVF526" s="901"/>
      <c r="IVG526" s="901"/>
      <c r="IVH526" s="901"/>
      <c r="IVI526" s="901"/>
      <c r="IVJ526" s="901"/>
      <c r="IVK526" s="901"/>
      <c r="IVL526" s="901"/>
      <c r="IVM526" s="901"/>
      <c r="IVN526" s="901"/>
      <c r="IVO526" s="901"/>
      <c r="IVP526" s="901"/>
      <c r="IVQ526" s="901"/>
      <c r="IVR526" s="901"/>
      <c r="IVS526" s="901"/>
      <c r="IVT526" s="901"/>
      <c r="IVU526" s="901"/>
      <c r="IVV526" s="901"/>
      <c r="IVW526" s="901"/>
      <c r="IVX526" s="901"/>
      <c r="IVY526" s="901"/>
      <c r="IVZ526" s="901"/>
      <c r="IWA526" s="901"/>
      <c r="IWB526" s="901"/>
      <c r="IWC526" s="901"/>
      <c r="IWD526" s="901"/>
      <c r="IWE526" s="901"/>
      <c r="IWF526" s="901"/>
      <c r="IWG526" s="901"/>
      <c r="IWH526" s="901"/>
      <c r="IWI526" s="901"/>
      <c r="IWJ526" s="901"/>
      <c r="IWK526" s="901"/>
      <c r="IWL526" s="901"/>
      <c r="IWM526" s="901"/>
      <c r="IWN526" s="901"/>
      <c r="IWO526" s="901"/>
      <c r="IWP526" s="901"/>
      <c r="IWQ526" s="901"/>
      <c r="IWR526" s="901"/>
      <c r="IWS526" s="901"/>
      <c r="IWT526" s="901"/>
      <c r="IWU526" s="901"/>
      <c r="IWV526" s="901"/>
      <c r="IWW526" s="901"/>
      <c r="IWX526" s="901"/>
      <c r="IWY526" s="901"/>
      <c r="IWZ526" s="901"/>
      <c r="IXA526" s="901"/>
      <c r="IXB526" s="901"/>
      <c r="IXC526" s="901"/>
      <c r="IXD526" s="901"/>
      <c r="IXE526" s="901"/>
      <c r="IXF526" s="901"/>
      <c r="IXG526" s="901"/>
      <c r="IXH526" s="901"/>
      <c r="IXI526" s="901"/>
      <c r="IXJ526" s="901"/>
      <c r="IXK526" s="901"/>
      <c r="IXL526" s="901"/>
      <c r="IXM526" s="901"/>
      <c r="IXN526" s="901"/>
      <c r="IXO526" s="901"/>
      <c r="IXP526" s="901"/>
      <c r="IXQ526" s="901"/>
      <c r="IXR526" s="901"/>
      <c r="IXS526" s="901"/>
      <c r="IXT526" s="901"/>
      <c r="IXU526" s="901"/>
      <c r="IXV526" s="901"/>
      <c r="IXW526" s="901"/>
      <c r="IXX526" s="901"/>
      <c r="IXY526" s="901"/>
      <c r="IXZ526" s="901"/>
      <c r="IYA526" s="901"/>
      <c r="IYB526" s="901"/>
      <c r="IYC526" s="901"/>
      <c r="IYD526" s="901"/>
      <c r="IYE526" s="901"/>
      <c r="IYF526" s="901"/>
      <c r="IYG526" s="901"/>
      <c r="IYH526" s="901"/>
      <c r="IYI526" s="901"/>
      <c r="IYJ526" s="901"/>
      <c r="IYK526" s="901"/>
      <c r="IYL526" s="901"/>
      <c r="IYM526" s="901"/>
      <c r="IYN526" s="901"/>
      <c r="IYO526" s="901"/>
      <c r="IYP526" s="901"/>
      <c r="IYQ526" s="901"/>
      <c r="IYR526" s="901"/>
      <c r="IYS526" s="901"/>
      <c r="IYT526" s="901"/>
      <c r="IYU526" s="901"/>
      <c r="IYV526" s="901"/>
      <c r="IYW526" s="901"/>
      <c r="IYX526" s="901"/>
      <c r="IYY526" s="901"/>
      <c r="IYZ526" s="901"/>
      <c r="IZA526" s="901"/>
      <c r="IZB526" s="901"/>
      <c r="IZC526" s="901"/>
      <c r="IZD526" s="901"/>
      <c r="IZE526" s="901"/>
      <c r="IZF526" s="901"/>
      <c r="IZG526" s="901"/>
      <c r="IZH526" s="901"/>
      <c r="IZI526" s="901"/>
      <c r="IZJ526" s="901"/>
      <c r="IZK526" s="901"/>
      <c r="IZL526" s="901"/>
      <c r="IZM526" s="901"/>
      <c r="IZN526" s="901"/>
      <c r="IZO526" s="901"/>
      <c r="IZP526" s="901"/>
      <c r="IZQ526" s="901"/>
      <c r="IZR526" s="901"/>
      <c r="IZS526" s="901"/>
      <c r="IZT526" s="901"/>
      <c r="IZU526" s="901"/>
      <c r="IZV526" s="901"/>
      <c r="IZW526" s="901"/>
      <c r="IZX526" s="901"/>
      <c r="IZY526" s="901"/>
      <c r="IZZ526" s="901"/>
      <c r="JAA526" s="901"/>
      <c r="JAB526" s="901"/>
      <c r="JAC526" s="901"/>
      <c r="JAD526" s="901"/>
      <c r="JAE526" s="901"/>
      <c r="JAF526" s="901"/>
      <c r="JAG526" s="901"/>
      <c r="JAH526" s="901"/>
      <c r="JAI526" s="901"/>
      <c r="JAJ526" s="901"/>
      <c r="JAK526" s="901"/>
      <c r="JAL526" s="901"/>
      <c r="JAM526" s="901"/>
      <c r="JAN526" s="901"/>
      <c r="JAO526" s="901"/>
      <c r="JAP526" s="901"/>
      <c r="JAQ526" s="901"/>
      <c r="JAR526" s="901"/>
      <c r="JAS526" s="901"/>
      <c r="JAT526" s="901"/>
      <c r="JAU526" s="901"/>
      <c r="JAV526" s="901"/>
      <c r="JAW526" s="901"/>
      <c r="JAX526" s="901"/>
      <c r="JAY526" s="901"/>
      <c r="JAZ526" s="901"/>
      <c r="JBA526" s="901"/>
      <c r="JBB526" s="901"/>
      <c r="JBC526" s="901"/>
      <c r="JBD526" s="901"/>
      <c r="JBE526" s="901"/>
      <c r="JBF526" s="901"/>
      <c r="JBG526" s="901"/>
      <c r="JBH526" s="901"/>
      <c r="JBI526" s="901"/>
      <c r="JBJ526" s="901"/>
      <c r="JBK526" s="901"/>
      <c r="JBL526" s="901"/>
      <c r="JBM526" s="901"/>
      <c r="JBN526" s="901"/>
      <c r="JBO526" s="901"/>
      <c r="JBP526" s="901"/>
      <c r="JBQ526" s="901"/>
      <c r="JBR526" s="901"/>
      <c r="JBS526" s="901"/>
      <c r="JBT526" s="901"/>
      <c r="JBU526" s="901"/>
      <c r="JBV526" s="901"/>
      <c r="JBW526" s="901"/>
      <c r="JBX526" s="901"/>
      <c r="JBY526" s="901"/>
      <c r="JBZ526" s="901"/>
      <c r="JCA526" s="901"/>
      <c r="JCB526" s="901"/>
      <c r="JCC526" s="901"/>
      <c r="JCD526" s="901"/>
      <c r="JCE526" s="901"/>
      <c r="JCF526" s="901"/>
      <c r="JCG526" s="901"/>
      <c r="JCH526" s="901"/>
      <c r="JCI526" s="901"/>
      <c r="JCJ526" s="901"/>
      <c r="JCK526" s="901"/>
      <c r="JCL526" s="901"/>
      <c r="JCM526" s="901"/>
      <c r="JCN526" s="901"/>
      <c r="JCO526" s="901"/>
      <c r="JCP526" s="901"/>
      <c r="JCQ526" s="901"/>
      <c r="JCR526" s="901"/>
      <c r="JCS526" s="901"/>
      <c r="JCT526" s="901"/>
      <c r="JCU526" s="901"/>
      <c r="JCV526" s="901"/>
      <c r="JCW526" s="901"/>
      <c r="JCX526" s="901"/>
      <c r="JCY526" s="901"/>
      <c r="JCZ526" s="901"/>
      <c r="JDA526" s="901"/>
      <c r="JDB526" s="901"/>
      <c r="JDC526" s="901"/>
      <c r="JDD526" s="901"/>
      <c r="JDE526" s="901"/>
      <c r="JDF526" s="901"/>
      <c r="JDG526" s="901"/>
      <c r="JDH526" s="901"/>
      <c r="JDI526" s="901"/>
      <c r="JDJ526" s="901"/>
      <c r="JDK526" s="901"/>
      <c r="JDL526" s="901"/>
      <c r="JDM526" s="901"/>
      <c r="JDN526" s="901"/>
      <c r="JDO526" s="901"/>
      <c r="JDP526" s="901"/>
      <c r="JDQ526" s="901"/>
      <c r="JDR526" s="901"/>
      <c r="JDS526" s="901"/>
      <c r="JDT526" s="901"/>
      <c r="JDU526" s="901"/>
      <c r="JDV526" s="901"/>
      <c r="JDW526" s="901"/>
      <c r="JDX526" s="901"/>
      <c r="JDY526" s="901"/>
      <c r="JDZ526" s="901"/>
      <c r="JEA526" s="901"/>
      <c r="JEB526" s="901"/>
      <c r="JEC526" s="901"/>
      <c r="JED526" s="901"/>
      <c r="JEE526" s="901"/>
      <c r="JEF526" s="901"/>
      <c r="JEG526" s="901"/>
      <c r="JEH526" s="901"/>
      <c r="JEI526" s="901"/>
      <c r="JEJ526" s="901"/>
      <c r="JEK526" s="901"/>
      <c r="JEL526" s="901"/>
      <c r="JEM526" s="901"/>
      <c r="JEN526" s="901"/>
      <c r="JEO526" s="901"/>
      <c r="JEP526" s="901"/>
      <c r="JEQ526" s="901"/>
      <c r="JER526" s="901"/>
      <c r="JES526" s="901"/>
      <c r="JET526" s="901"/>
      <c r="JEU526" s="901"/>
      <c r="JEV526" s="901"/>
      <c r="JEW526" s="901"/>
      <c r="JEX526" s="901"/>
      <c r="JEY526" s="901"/>
      <c r="JEZ526" s="901"/>
      <c r="JFA526" s="901"/>
      <c r="JFB526" s="901"/>
      <c r="JFC526" s="901"/>
      <c r="JFD526" s="901"/>
      <c r="JFE526" s="901"/>
      <c r="JFF526" s="901"/>
      <c r="JFG526" s="901"/>
      <c r="JFH526" s="901"/>
      <c r="JFI526" s="901"/>
      <c r="JFJ526" s="901"/>
      <c r="JFK526" s="901"/>
      <c r="JFL526" s="901"/>
      <c r="JFM526" s="901"/>
      <c r="JFN526" s="901"/>
      <c r="JFO526" s="901"/>
      <c r="JFP526" s="901"/>
      <c r="JFQ526" s="901"/>
      <c r="JFR526" s="901"/>
      <c r="JFS526" s="901"/>
      <c r="JFT526" s="901"/>
      <c r="JFU526" s="901"/>
      <c r="JFV526" s="901"/>
      <c r="JFW526" s="901"/>
      <c r="JFX526" s="901"/>
      <c r="JFY526" s="901"/>
      <c r="JFZ526" s="901"/>
      <c r="JGA526" s="901"/>
      <c r="JGB526" s="901"/>
      <c r="JGC526" s="901"/>
      <c r="JGD526" s="901"/>
      <c r="JGE526" s="901"/>
      <c r="JGF526" s="901"/>
      <c r="JGG526" s="901"/>
      <c r="JGH526" s="901"/>
      <c r="JGI526" s="901"/>
      <c r="JGJ526" s="901"/>
      <c r="JGK526" s="901"/>
      <c r="JGL526" s="901"/>
      <c r="JGM526" s="901"/>
      <c r="JGN526" s="901"/>
      <c r="JGO526" s="901"/>
      <c r="JGP526" s="901"/>
      <c r="JGQ526" s="901"/>
      <c r="JGR526" s="901"/>
      <c r="JGS526" s="901"/>
      <c r="JGT526" s="901"/>
      <c r="JGU526" s="901"/>
      <c r="JGV526" s="901"/>
      <c r="JGW526" s="901"/>
      <c r="JGX526" s="901"/>
      <c r="JGY526" s="901"/>
      <c r="JGZ526" s="901"/>
      <c r="JHA526" s="901"/>
      <c r="JHB526" s="901"/>
      <c r="JHC526" s="901"/>
      <c r="JHD526" s="901"/>
      <c r="JHE526" s="901"/>
      <c r="JHF526" s="901"/>
      <c r="JHG526" s="901"/>
      <c r="JHH526" s="901"/>
      <c r="JHI526" s="901"/>
      <c r="JHJ526" s="901"/>
      <c r="JHK526" s="901"/>
      <c r="JHL526" s="901"/>
      <c r="JHM526" s="901"/>
      <c r="JHN526" s="901"/>
      <c r="JHO526" s="901"/>
      <c r="JHP526" s="901"/>
      <c r="JHQ526" s="901"/>
      <c r="JHR526" s="901"/>
      <c r="JHS526" s="901"/>
      <c r="JHT526" s="901"/>
      <c r="JHU526" s="901"/>
      <c r="JHV526" s="901"/>
      <c r="JHW526" s="901"/>
      <c r="JHX526" s="901"/>
      <c r="JHY526" s="901"/>
      <c r="JHZ526" s="901"/>
      <c r="JIA526" s="901"/>
      <c r="JIB526" s="901"/>
      <c r="JIC526" s="901"/>
      <c r="JID526" s="901"/>
      <c r="JIE526" s="901"/>
      <c r="JIF526" s="901"/>
      <c r="JIG526" s="901"/>
      <c r="JIH526" s="901"/>
      <c r="JII526" s="901"/>
      <c r="JIJ526" s="901"/>
      <c r="JIK526" s="901"/>
      <c r="JIL526" s="901"/>
      <c r="JIM526" s="901"/>
      <c r="JIN526" s="901"/>
      <c r="JIO526" s="901"/>
      <c r="JIP526" s="901"/>
      <c r="JIQ526" s="901"/>
      <c r="JIR526" s="901"/>
      <c r="JIS526" s="901"/>
      <c r="JIT526" s="901"/>
      <c r="JIU526" s="901"/>
      <c r="JIV526" s="901"/>
      <c r="JIW526" s="901"/>
      <c r="JIX526" s="901"/>
      <c r="JIY526" s="901"/>
      <c r="JIZ526" s="901"/>
      <c r="JJA526" s="901"/>
      <c r="JJB526" s="901"/>
      <c r="JJC526" s="901"/>
      <c r="JJD526" s="901"/>
      <c r="JJE526" s="901"/>
      <c r="JJF526" s="901"/>
      <c r="JJG526" s="901"/>
      <c r="JJH526" s="901"/>
      <c r="JJI526" s="901"/>
      <c r="JJJ526" s="901"/>
      <c r="JJK526" s="901"/>
      <c r="JJL526" s="901"/>
      <c r="JJM526" s="901"/>
      <c r="JJN526" s="901"/>
      <c r="JJO526" s="901"/>
      <c r="JJP526" s="901"/>
      <c r="JJQ526" s="901"/>
      <c r="JJR526" s="901"/>
      <c r="JJS526" s="901"/>
      <c r="JJT526" s="901"/>
      <c r="JJU526" s="901"/>
      <c r="JJV526" s="901"/>
      <c r="JJW526" s="901"/>
      <c r="JJX526" s="901"/>
      <c r="JJY526" s="901"/>
      <c r="JJZ526" s="901"/>
      <c r="JKA526" s="901"/>
      <c r="JKB526" s="901"/>
      <c r="JKC526" s="901"/>
      <c r="JKD526" s="901"/>
      <c r="JKE526" s="901"/>
      <c r="JKF526" s="901"/>
      <c r="JKG526" s="901"/>
      <c r="JKH526" s="901"/>
      <c r="JKI526" s="901"/>
      <c r="JKJ526" s="901"/>
      <c r="JKK526" s="901"/>
      <c r="JKL526" s="901"/>
      <c r="JKM526" s="901"/>
      <c r="JKN526" s="901"/>
      <c r="JKO526" s="901"/>
      <c r="JKP526" s="901"/>
      <c r="JKQ526" s="901"/>
      <c r="JKR526" s="901"/>
      <c r="JKS526" s="901"/>
      <c r="JKT526" s="901"/>
      <c r="JKU526" s="901"/>
      <c r="JKV526" s="901"/>
      <c r="JKW526" s="901"/>
      <c r="JKX526" s="901"/>
      <c r="JKY526" s="901"/>
      <c r="JKZ526" s="901"/>
      <c r="JLA526" s="901"/>
      <c r="JLB526" s="901"/>
      <c r="JLC526" s="901"/>
      <c r="JLD526" s="901"/>
      <c r="JLE526" s="901"/>
      <c r="JLF526" s="901"/>
      <c r="JLG526" s="901"/>
      <c r="JLH526" s="901"/>
      <c r="JLI526" s="901"/>
      <c r="JLJ526" s="901"/>
      <c r="JLK526" s="901"/>
      <c r="JLL526" s="901"/>
      <c r="JLM526" s="901"/>
      <c r="JLN526" s="901"/>
      <c r="JLO526" s="901"/>
      <c r="JLP526" s="901"/>
      <c r="JLQ526" s="901"/>
      <c r="JLR526" s="901"/>
      <c r="JLS526" s="901"/>
      <c r="JLT526" s="901"/>
      <c r="JLU526" s="901"/>
      <c r="JLV526" s="901"/>
      <c r="JLW526" s="901"/>
      <c r="JLX526" s="901"/>
      <c r="JLY526" s="901"/>
      <c r="JLZ526" s="901"/>
      <c r="JMA526" s="901"/>
      <c r="JMB526" s="901"/>
      <c r="JMC526" s="901"/>
      <c r="JMD526" s="901"/>
      <c r="JME526" s="901"/>
      <c r="JMF526" s="901"/>
      <c r="JMG526" s="901"/>
      <c r="JMH526" s="901"/>
      <c r="JMI526" s="901"/>
      <c r="JMJ526" s="901"/>
      <c r="JMK526" s="901"/>
      <c r="JML526" s="901"/>
      <c r="JMM526" s="901"/>
      <c r="JMN526" s="901"/>
      <c r="JMO526" s="901"/>
      <c r="JMP526" s="901"/>
      <c r="JMQ526" s="901"/>
      <c r="JMR526" s="901"/>
      <c r="JMS526" s="901"/>
      <c r="JMT526" s="901"/>
      <c r="JMU526" s="901"/>
      <c r="JMV526" s="901"/>
      <c r="JMW526" s="901"/>
      <c r="JMX526" s="901"/>
      <c r="JMY526" s="901"/>
      <c r="JMZ526" s="901"/>
      <c r="JNA526" s="901"/>
      <c r="JNB526" s="901"/>
      <c r="JNC526" s="901"/>
      <c r="JND526" s="901"/>
      <c r="JNE526" s="901"/>
      <c r="JNF526" s="901"/>
      <c r="JNG526" s="901"/>
      <c r="JNH526" s="901"/>
      <c r="JNI526" s="901"/>
      <c r="JNJ526" s="901"/>
      <c r="JNK526" s="901"/>
      <c r="JNL526" s="901"/>
      <c r="JNM526" s="901"/>
      <c r="JNN526" s="901"/>
      <c r="JNO526" s="901"/>
      <c r="JNP526" s="901"/>
      <c r="JNQ526" s="901"/>
      <c r="JNR526" s="901"/>
      <c r="JNS526" s="901"/>
      <c r="JNT526" s="901"/>
      <c r="JNU526" s="901"/>
      <c r="JNV526" s="901"/>
      <c r="JNW526" s="901"/>
      <c r="JNX526" s="901"/>
      <c r="JNY526" s="901"/>
      <c r="JNZ526" s="901"/>
      <c r="JOA526" s="901"/>
      <c r="JOB526" s="901"/>
      <c r="JOC526" s="901"/>
      <c r="JOD526" s="901"/>
      <c r="JOE526" s="901"/>
      <c r="JOF526" s="901"/>
      <c r="JOG526" s="901"/>
      <c r="JOH526" s="901"/>
      <c r="JOI526" s="901"/>
      <c r="JOJ526" s="901"/>
      <c r="JOK526" s="901"/>
      <c r="JOL526" s="901"/>
      <c r="JOM526" s="901"/>
      <c r="JON526" s="901"/>
      <c r="JOO526" s="901"/>
      <c r="JOP526" s="901"/>
      <c r="JOQ526" s="901"/>
      <c r="JOR526" s="901"/>
      <c r="JOS526" s="901"/>
      <c r="JOT526" s="901"/>
      <c r="JOU526" s="901"/>
      <c r="JOV526" s="901"/>
      <c r="JOW526" s="901"/>
      <c r="JOX526" s="901"/>
      <c r="JOY526" s="901"/>
      <c r="JOZ526" s="901"/>
      <c r="JPA526" s="901"/>
      <c r="JPB526" s="901"/>
      <c r="JPC526" s="901"/>
      <c r="JPD526" s="901"/>
      <c r="JPE526" s="901"/>
      <c r="JPF526" s="901"/>
      <c r="JPG526" s="901"/>
      <c r="JPH526" s="901"/>
      <c r="JPI526" s="901"/>
      <c r="JPJ526" s="901"/>
      <c r="JPK526" s="901"/>
      <c r="JPL526" s="901"/>
      <c r="JPM526" s="901"/>
      <c r="JPN526" s="901"/>
      <c r="JPO526" s="901"/>
      <c r="JPP526" s="901"/>
      <c r="JPQ526" s="901"/>
      <c r="JPR526" s="901"/>
      <c r="JPS526" s="901"/>
      <c r="JPT526" s="901"/>
      <c r="JPU526" s="901"/>
      <c r="JPV526" s="901"/>
      <c r="JPW526" s="901"/>
      <c r="JPX526" s="901"/>
      <c r="JPY526" s="901"/>
      <c r="JPZ526" s="901"/>
      <c r="JQA526" s="901"/>
      <c r="JQB526" s="901"/>
      <c r="JQC526" s="901"/>
      <c r="JQD526" s="901"/>
      <c r="JQE526" s="901"/>
      <c r="JQF526" s="901"/>
      <c r="JQG526" s="901"/>
      <c r="JQH526" s="901"/>
      <c r="JQI526" s="901"/>
      <c r="JQJ526" s="901"/>
      <c r="JQK526" s="901"/>
      <c r="JQL526" s="901"/>
      <c r="JQM526" s="901"/>
      <c r="JQN526" s="901"/>
      <c r="JQO526" s="901"/>
      <c r="JQP526" s="901"/>
      <c r="JQQ526" s="901"/>
      <c r="JQR526" s="901"/>
      <c r="JQS526" s="901"/>
      <c r="JQT526" s="901"/>
      <c r="JQU526" s="901"/>
      <c r="JQV526" s="901"/>
      <c r="JQW526" s="901"/>
      <c r="JQX526" s="901"/>
      <c r="JQY526" s="901"/>
      <c r="JQZ526" s="901"/>
      <c r="JRA526" s="901"/>
      <c r="JRB526" s="901"/>
      <c r="JRC526" s="901"/>
      <c r="JRD526" s="901"/>
      <c r="JRE526" s="901"/>
      <c r="JRF526" s="901"/>
      <c r="JRG526" s="901"/>
      <c r="JRH526" s="901"/>
      <c r="JRI526" s="901"/>
      <c r="JRJ526" s="901"/>
      <c r="JRK526" s="901"/>
      <c r="JRL526" s="901"/>
      <c r="JRM526" s="901"/>
      <c r="JRN526" s="901"/>
      <c r="JRO526" s="901"/>
      <c r="JRP526" s="901"/>
      <c r="JRQ526" s="901"/>
      <c r="JRR526" s="901"/>
      <c r="JRS526" s="901"/>
      <c r="JRT526" s="901"/>
      <c r="JRU526" s="901"/>
      <c r="JRV526" s="901"/>
      <c r="JRW526" s="901"/>
      <c r="JRX526" s="901"/>
      <c r="JRY526" s="901"/>
      <c r="JRZ526" s="901"/>
      <c r="JSA526" s="901"/>
      <c r="JSB526" s="901"/>
      <c r="JSC526" s="901"/>
      <c r="JSD526" s="901"/>
      <c r="JSE526" s="901"/>
      <c r="JSF526" s="901"/>
      <c r="JSG526" s="901"/>
      <c r="JSH526" s="901"/>
      <c r="JSI526" s="901"/>
      <c r="JSJ526" s="901"/>
      <c r="JSK526" s="901"/>
      <c r="JSL526" s="901"/>
      <c r="JSM526" s="901"/>
      <c r="JSN526" s="901"/>
      <c r="JSO526" s="901"/>
      <c r="JSP526" s="901"/>
      <c r="JSQ526" s="901"/>
      <c r="JSR526" s="901"/>
      <c r="JSS526" s="901"/>
      <c r="JST526" s="901"/>
      <c r="JSU526" s="901"/>
      <c r="JSV526" s="901"/>
      <c r="JSW526" s="901"/>
      <c r="JSX526" s="901"/>
      <c r="JSY526" s="901"/>
      <c r="JSZ526" s="901"/>
      <c r="JTA526" s="901"/>
      <c r="JTB526" s="901"/>
      <c r="JTC526" s="901"/>
      <c r="JTD526" s="901"/>
      <c r="JTE526" s="901"/>
      <c r="JTF526" s="901"/>
      <c r="JTG526" s="901"/>
      <c r="JTH526" s="901"/>
      <c r="JTI526" s="901"/>
      <c r="JTJ526" s="901"/>
      <c r="JTK526" s="901"/>
      <c r="JTL526" s="901"/>
      <c r="JTM526" s="901"/>
      <c r="JTN526" s="901"/>
      <c r="JTO526" s="901"/>
      <c r="JTP526" s="901"/>
      <c r="JTQ526" s="901"/>
      <c r="JTR526" s="901"/>
      <c r="JTS526" s="901"/>
      <c r="JTT526" s="901"/>
      <c r="JTU526" s="901"/>
      <c r="JTV526" s="901"/>
      <c r="JTW526" s="901"/>
      <c r="JTX526" s="901"/>
      <c r="JTY526" s="901"/>
      <c r="JTZ526" s="901"/>
      <c r="JUA526" s="901"/>
      <c r="JUB526" s="901"/>
      <c r="JUC526" s="901"/>
      <c r="JUD526" s="901"/>
      <c r="JUE526" s="901"/>
      <c r="JUF526" s="901"/>
      <c r="JUG526" s="901"/>
      <c r="JUH526" s="901"/>
      <c r="JUI526" s="901"/>
      <c r="JUJ526" s="901"/>
      <c r="JUK526" s="901"/>
      <c r="JUL526" s="901"/>
      <c r="JUM526" s="901"/>
      <c r="JUN526" s="901"/>
      <c r="JUO526" s="901"/>
      <c r="JUP526" s="901"/>
      <c r="JUQ526" s="901"/>
      <c r="JUR526" s="901"/>
      <c r="JUS526" s="901"/>
      <c r="JUT526" s="901"/>
      <c r="JUU526" s="901"/>
      <c r="JUV526" s="901"/>
      <c r="JUW526" s="901"/>
      <c r="JUX526" s="901"/>
      <c r="JUY526" s="901"/>
      <c r="JUZ526" s="901"/>
      <c r="JVA526" s="901"/>
      <c r="JVB526" s="901"/>
      <c r="JVC526" s="901"/>
      <c r="JVD526" s="901"/>
      <c r="JVE526" s="901"/>
      <c r="JVF526" s="901"/>
      <c r="JVG526" s="901"/>
      <c r="JVH526" s="901"/>
      <c r="JVI526" s="901"/>
      <c r="JVJ526" s="901"/>
      <c r="JVK526" s="901"/>
      <c r="JVL526" s="901"/>
      <c r="JVM526" s="901"/>
      <c r="JVN526" s="901"/>
      <c r="JVO526" s="901"/>
      <c r="JVP526" s="901"/>
      <c r="JVQ526" s="901"/>
      <c r="JVR526" s="901"/>
      <c r="JVS526" s="901"/>
      <c r="JVT526" s="901"/>
      <c r="JVU526" s="901"/>
      <c r="JVV526" s="901"/>
      <c r="JVW526" s="901"/>
      <c r="JVX526" s="901"/>
      <c r="JVY526" s="901"/>
      <c r="JVZ526" s="901"/>
      <c r="JWA526" s="901"/>
      <c r="JWB526" s="901"/>
      <c r="JWC526" s="901"/>
      <c r="JWD526" s="901"/>
      <c r="JWE526" s="901"/>
      <c r="JWF526" s="901"/>
      <c r="JWG526" s="901"/>
      <c r="JWH526" s="901"/>
      <c r="JWI526" s="901"/>
      <c r="JWJ526" s="901"/>
      <c r="JWK526" s="901"/>
      <c r="JWL526" s="901"/>
      <c r="JWM526" s="901"/>
      <c r="JWN526" s="901"/>
      <c r="JWO526" s="901"/>
      <c r="JWP526" s="901"/>
      <c r="JWQ526" s="901"/>
      <c r="JWR526" s="901"/>
      <c r="JWS526" s="901"/>
      <c r="JWT526" s="901"/>
      <c r="JWU526" s="901"/>
      <c r="JWV526" s="901"/>
      <c r="JWW526" s="901"/>
      <c r="JWX526" s="901"/>
      <c r="JWY526" s="901"/>
      <c r="JWZ526" s="901"/>
      <c r="JXA526" s="901"/>
      <c r="JXB526" s="901"/>
      <c r="JXC526" s="901"/>
      <c r="JXD526" s="901"/>
      <c r="JXE526" s="901"/>
      <c r="JXF526" s="901"/>
      <c r="JXG526" s="901"/>
      <c r="JXH526" s="901"/>
      <c r="JXI526" s="901"/>
      <c r="JXJ526" s="901"/>
      <c r="JXK526" s="901"/>
      <c r="JXL526" s="901"/>
      <c r="JXM526" s="901"/>
      <c r="JXN526" s="901"/>
      <c r="JXO526" s="901"/>
      <c r="JXP526" s="901"/>
      <c r="JXQ526" s="901"/>
      <c r="JXR526" s="901"/>
      <c r="JXS526" s="901"/>
      <c r="JXT526" s="901"/>
      <c r="JXU526" s="901"/>
      <c r="JXV526" s="901"/>
      <c r="JXW526" s="901"/>
      <c r="JXX526" s="901"/>
      <c r="JXY526" s="901"/>
      <c r="JXZ526" s="901"/>
      <c r="JYA526" s="901"/>
      <c r="JYB526" s="901"/>
      <c r="JYC526" s="901"/>
      <c r="JYD526" s="901"/>
      <c r="JYE526" s="901"/>
      <c r="JYF526" s="901"/>
      <c r="JYG526" s="901"/>
      <c r="JYH526" s="901"/>
      <c r="JYI526" s="901"/>
      <c r="JYJ526" s="901"/>
      <c r="JYK526" s="901"/>
      <c r="JYL526" s="901"/>
      <c r="JYM526" s="901"/>
      <c r="JYN526" s="901"/>
      <c r="JYO526" s="901"/>
      <c r="JYP526" s="901"/>
      <c r="JYQ526" s="901"/>
      <c r="JYR526" s="901"/>
      <c r="JYS526" s="901"/>
      <c r="JYT526" s="901"/>
      <c r="JYU526" s="901"/>
      <c r="JYV526" s="901"/>
      <c r="JYW526" s="901"/>
      <c r="JYX526" s="901"/>
      <c r="JYY526" s="901"/>
      <c r="JYZ526" s="901"/>
      <c r="JZA526" s="901"/>
      <c r="JZB526" s="901"/>
      <c r="JZC526" s="901"/>
      <c r="JZD526" s="901"/>
      <c r="JZE526" s="901"/>
      <c r="JZF526" s="901"/>
      <c r="JZG526" s="901"/>
      <c r="JZH526" s="901"/>
      <c r="JZI526" s="901"/>
      <c r="JZJ526" s="901"/>
      <c r="JZK526" s="901"/>
      <c r="JZL526" s="901"/>
      <c r="JZM526" s="901"/>
      <c r="JZN526" s="901"/>
      <c r="JZO526" s="901"/>
      <c r="JZP526" s="901"/>
      <c r="JZQ526" s="901"/>
      <c r="JZR526" s="901"/>
      <c r="JZS526" s="901"/>
      <c r="JZT526" s="901"/>
      <c r="JZU526" s="901"/>
      <c r="JZV526" s="901"/>
      <c r="JZW526" s="901"/>
      <c r="JZX526" s="901"/>
      <c r="JZY526" s="901"/>
      <c r="JZZ526" s="901"/>
      <c r="KAA526" s="901"/>
      <c r="KAB526" s="901"/>
      <c r="KAC526" s="901"/>
      <c r="KAD526" s="901"/>
      <c r="KAE526" s="901"/>
      <c r="KAF526" s="901"/>
      <c r="KAG526" s="901"/>
      <c r="KAH526" s="901"/>
      <c r="KAI526" s="901"/>
      <c r="KAJ526" s="901"/>
      <c r="KAK526" s="901"/>
      <c r="KAL526" s="901"/>
      <c r="KAM526" s="901"/>
      <c r="KAN526" s="901"/>
      <c r="KAO526" s="901"/>
      <c r="KAP526" s="901"/>
      <c r="KAQ526" s="901"/>
      <c r="KAR526" s="901"/>
      <c r="KAS526" s="901"/>
      <c r="KAT526" s="901"/>
      <c r="KAU526" s="901"/>
      <c r="KAV526" s="901"/>
      <c r="KAW526" s="901"/>
      <c r="KAX526" s="901"/>
      <c r="KAY526" s="901"/>
      <c r="KAZ526" s="901"/>
      <c r="KBA526" s="901"/>
      <c r="KBB526" s="901"/>
      <c r="KBC526" s="901"/>
      <c r="KBD526" s="901"/>
      <c r="KBE526" s="901"/>
      <c r="KBF526" s="901"/>
      <c r="KBG526" s="901"/>
      <c r="KBH526" s="901"/>
      <c r="KBI526" s="901"/>
      <c r="KBJ526" s="901"/>
      <c r="KBK526" s="901"/>
      <c r="KBL526" s="901"/>
      <c r="KBM526" s="901"/>
      <c r="KBN526" s="901"/>
      <c r="KBO526" s="901"/>
      <c r="KBP526" s="901"/>
      <c r="KBQ526" s="901"/>
      <c r="KBR526" s="901"/>
      <c r="KBS526" s="901"/>
      <c r="KBT526" s="901"/>
      <c r="KBU526" s="901"/>
      <c r="KBV526" s="901"/>
      <c r="KBW526" s="901"/>
      <c r="KBX526" s="901"/>
      <c r="KBY526" s="901"/>
      <c r="KBZ526" s="901"/>
      <c r="KCA526" s="901"/>
      <c r="KCB526" s="901"/>
      <c r="KCC526" s="901"/>
      <c r="KCD526" s="901"/>
      <c r="KCE526" s="901"/>
      <c r="KCF526" s="901"/>
      <c r="KCG526" s="901"/>
      <c r="KCH526" s="901"/>
      <c r="KCI526" s="901"/>
      <c r="KCJ526" s="901"/>
      <c r="KCK526" s="901"/>
      <c r="KCL526" s="901"/>
      <c r="KCM526" s="901"/>
      <c r="KCN526" s="901"/>
      <c r="KCO526" s="901"/>
      <c r="KCP526" s="901"/>
      <c r="KCQ526" s="901"/>
      <c r="KCR526" s="901"/>
      <c r="KCS526" s="901"/>
      <c r="KCT526" s="901"/>
      <c r="KCU526" s="901"/>
      <c r="KCV526" s="901"/>
      <c r="KCW526" s="901"/>
      <c r="KCX526" s="901"/>
      <c r="KCY526" s="901"/>
      <c r="KCZ526" s="901"/>
      <c r="KDA526" s="901"/>
      <c r="KDB526" s="901"/>
      <c r="KDC526" s="901"/>
      <c r="KDD526" s="901"/>
      <c r="KDE526" s="901"/>
      <c r="KDF526" s="901"/>
      <c r="KDG526" s="901"/>
      <c r="KDH526" s="901"/>
      <c r="KDI526" s="901"/>
      <c r="KDJ526" s="901"/>
      <c r="KDK526" s="901"/>
      <c r="KDL526" s="901"/>
      <c r="KDM526" s="901"/>
      <c r="KDN526" s="901"/>
      <c r="KDO526" s="901"/>
      <c r="KDP526" s="901"/>
      <c r="KDQ526" s="901"/>
      <c r="KDR526" s="901"/>
      <c r="KDS526" s="901"/>
      <c r="KDT526" s="901"/>
      <c r="KDU526" s="901"/>
      <c r="KDV526" s="901"/>
      <c r="KDW526" s="901"/>
      <c r="KDX526" s="901"/>
      <c r="KDY526" s="901"/>
      <c r="KDZ526" s="901"/>
      <c r="KEA526" s="901"/>
      <c r="KEB526" s="901"/>
      <c r="KEC526" s="901"/>
      <c r="KED526" s="901"/>
      <c r="KEE526" s="901"/>
      <c r="KEF526" s="901"/>
      <c r="KEG526" s="901"/>
      <c r="KEH526" s="901"/>
      <c r="KEI526" s="901"/>
      <c r="KEJ526" s="901"/>
      <c r="KEK526" s="901"/>
      <c r="KEL526" s="901"/>
      <c r="KEM526" s="901"/>
      <c r="KEN526" s="901"/>
      <c r="KEO526" s="901"/>
      <c r="KEP526" s="901"/>
      <c r="KEQ526" s="901"/>
      <c r="KER526" s="901"/>
      <c r="KES526" s="901"/>
      <c r="KET526" s="901"/>
      <c r="KEU526" s="901"/>
      <c r="KEV526" s="901"/>
      <c r="KEW526" s="901"/>
      <c r="KEX526" s="901"/>
      <c r="KEY526" s="901"/>
      <c r="KEZ526" s="901"/>
      <c r="KFA526" s="901"/>
      <c r="KFB526" s="901"/>
      <c r="KFC526" s="901"/>
      <c r="KFD526" s="901"/>
      <c r="KFE526" s="901"/>
      <c r="KFF526" s="901"/>
      <c r="KFG526" s="901"/>
      <c r="KFH526" s="901"/>
      <c r="KFI526" s="901"/>
      <c r="KFJ526" s="901"/>
      <c r="KFK526" s="901"/>
      <c r="KFL526" s="901"/>
      <c r="KFM526" s="901"/>
      <c r="KFN526" s="901"/>
      <c r="KFO526" s="901"/>
      <c r="KFP526" s="901"/>
      <c r="KFQ526" s="901"/>
      <c r="KFR526" s="901"/>
      <c r="KFS526" s="901"/>
      <c r="KFT526" s="901"/>
      <c r="KFU526" s="901"/>
      <c r="KFV526" s="901"/>
      <c r="KFW526" s="901"/>
      <c r="KFX526" s="901"/>
      <c r="KFY526" s="901"/>
      <c r="KFZ526" s="901"/>
      <c r="KGA526" s="901"/>
      <c r="KGB526" s="901"/>
      <c r="KGC526" s="901"/>
      <c r="KGD526" s="901"/>
      <c r="KGE526" s="901"/>
      <c r="KGF526" s="901"/>
      <c r="KGG526" s="901"/>
      <c r="KGH526" s="901"/>
      <c r="KGI526" s="901"/>
      <c r="KGJ526" s="901"/>
      <c r="KGK526" s="901"/>
      <c r="KGL526" s="901"/>
      <c r="KGM526" s="901"/>
      <c r="KGN526" s="901"/>
      <c r="KGO526" s="901"/>
      <c r="KGP526" s="901"/>
      <c r="KGQ526" s="901"/>
      <c r="KGR526" s="901"/>
      <c r="KGS526" s="901"/>
      <c r="KGT526" s="901"/>
      <c r="KGU526" s="901"/>
      <c r="KGV526" s="901"/>
      <c r="KGW526" s="901"/>
      <c r="KGX526" s="901"/>
      <c r="KGY526" s="901"/>
      <c r="KGZ526" s="901"/>
      <c r="KHA526" s="901"/>
      <c r="KHB526" s="901"/>
      <c r="KHC526" s="901"/>
      <c r="KHD526" s="901"/>
      <c r="KHE526" s="901"/>
      <c r="KHF526" s="901"/>
      <c r="KHG526" s="901"/>
      <c r="KHH526" s="901"/>
      <c r="KHI526" s="901"/>
      <c r="KHJ526" s="901"/>
      <c r="KHK526" s="901"/>
      <c r="KHL526" s="901"/>
      <c r="KHM526" s="901"/>
      <c r="KHN526" s="901"/>
      <c r="KHO526" s="901"/>
      <c r="KHP526" s="901"/>
      <c r="KHQ526" s="901"/>
      <c r="KHR526" s="901"/>
      <c r="KHS526" s="901"/>
      <c r="KHT526" s="901"/>
      <c r="KHU526" s="901"/>
      <c r="KHV526" s="901"/>
      <c r="KHW526" s="901"/>
      <c r="KHX526" s="901"/>
      <c r="KHY526" s="901"/>
      <c r="KHZ526" s="901"/>
      <c r="KIA526" s="901"/>
      <c r="KIB526" s="901"/>
      <c r="KIC526" s="901"/>
      <c r="KID526" s="901"/>
      <c r="KIE526" s="901"/>
      <c r="KIF526" s="901"/>
      <c r="KIG526" s="901"/>
      <c r="KIH526" s="901"/>
      <c r="KII526" s="901"/>
      <c r="KIJ526" s="901"/>
      <c r="KIK526" s="901"/>
      <c r="KIL526" s="901"/>
      <c r="KIM526" s="901"/>
      <c r="KIN526" s="901"/>
      <c r="KIO526" s="901"/>
      <c r="KIP526" s="901"/>
      <c r="KIQ526" s="901"/>
      <c r="KIR526" s="901"/>
      <c r="KIS526" s="901"/>
      <c r="KIT526" s="901"/>
      <c r="KIU526" s="901"/>
      <c r="KIV526" s="901"/>
      <c r="KIW526" s="901"/>
      <c r="KIX526" s="901"/>
      <c r="KIY526" s="901"/>
      <c r="KIZ526" s="901"/>
      <c r="KJA526" s="901"/>
      <c r="KJB526" s="901"/>
      <c r="KJC526" s="901"/>
      <c r="KJD526" s="901"/>
      <c r="KJE526" s="901"/>
      <c r="KJF526" s="901"/>
      <c r="KJG526" s="901"/>
      <c r="KJH526" s="901"/>
      <c r="KJI526" s="901"/>
      <c r="KJJ526" s="901"/>
      <c r="KJK526" s="901"/>
      <c r="KJL526" s="901"/>
      <c r="KJM526" s="901"/>
      <c r="KJN526" s="901"/>
      <c r="KJO526" s="901"/>
      <c r="KJP526" s="901"/>
      <c r="KJQ526" s="901"/>
      <c r="KJR526" s="901"/>
      <c r="KJS526" s="901"/>
      <c r="KJT526" s="901"/>
      <c r="KJU526" s="901"/>
      <c r="KJV526" s="901"/>
      <c r="KJW526" s="901"/>
      <c r="KJX526" s="901"/>
      <c r="KJY526" s="901"/>
      <c r="KJZ526" s="901"/>
      <c r="KKA526" s="901"/>
      <c r="KKB526" s="901"/>
      <c r="KKC526" s="901"/>
      <c r="KKD526" s="901"/>
      <c r="KKE526" s="901"/>
      <c r="KKF526" s="901"/>
      <c r="KKG526" s="901"/>
      <c r="KKH526" s="901"/>
      <c r="KKI526" s="901"/>
      <c r="KKJ526" s="901"/>
      <c r="KKK526" s="901"/>
      <c r="KKL526" s="901"/>
      <c r="KKM526" s="901"/>
      <c r="KKN526" s="901"/>
      <c r="KKO526" s="901"/>
      <c r="KKP526" s="901"/>
      <c r="KKQ526" s="901"/>
      <c r="KKR526" s="901"/>
      <c r="KKS526" s="901"/>
      <c r="KKT526" s="901"/>
      <c r="KKU526" s="901"/>
      <c r="KKV526" s="901"/>
      <c r="KKW526" s="901"/>
      <c r="KKX526" s="901"/>
      <c r="KKY526" s="901"/>
      <c r="KKZ526" s="901"/>
      <c r="KLA526" s="901"/>
      <c r="KLB526" s="901"/>
      <c r="KLC526" s="901"/>
      <c r="KLD526" s="901"/>
      <c r="KLE526" s="901"/>
      <c r="KLF526" s="901"/>
      <c r="KLG526" s="901"/>
      <c r="KLH526" s="901"/>
      <c r="KLI526" s="901"/>
      <c r="KLJ526" s="901"/>
      <c r="KLK526" s="901"/>
      <c r="KLL526" s="901"/>
      <c r="KLM526" s="901"/>
      <c r="KLN526" s="901"/>
      <c r="KLO526" s="901"/>
      <c r="KLP526" s="901"/>
      <c r="KLQ526" s="901"/>
      <c r="KLR526" s="901"/>
      <c r="KLS526" s="901"/>
      <c r="KLT526" s="901"/>
      <c r="KLU526" s="901"/>
      <c r="KLV526" s="901"/>
      <c r="KLW526" s="901"/>
      <c r="KLX526" s="901"/>
      <c r="KLY526" s="901"/>
      <c r="KLZ526" s="901"/>
      <c r="KMA526" s="901"/>
      <c r="KMB526" s="901"/>
      <c r="KMC526" s="901"/>
      <c r="KMD526" s="901"/>
      <c r="KME526" s="901"/>
      <c r="KMF526" s="901"/>
      <c r="KMG526" s="901"/>
      <c r="KMH526" s="901"/>
      <c r="KMI526" s="901"/>
      <c r="KMJ526" s="901"/>
      <c r="KMK526" s="901"/>
      <c r="KML526" s="901"/>
      <c r="KMM526" s="901"/>
      <c r="KMN526" s="901"/>
      <c r="KMO526" s="901"/>
      <c r="KMP526" s="901"/>
      <c r="KMQ526" s="901"/>
      <c r="KMR526" s="901"/>
      <c r="KMS526" s="901"/>
      <c r="KMT526" s="901"/>
      <c r="KMU526" s="901"/>
      <c r="KMV526" s="901"/>
      <c r="KMW526" s="901"/>
      <c r="KMX526" s="901"/>
      <c r="KMY526" s="901"/>
      <c r="KMZ526" s="901"/>
      <c r="KNA526" s="901"/>
      <c r="KNB526" s="901"/>
      <c r="KNC526" s="901"/>
      <c r="KND526" s="901"/>
      <c r="KNE526" s="901"/>
      <c r="KNF526" s="901"/>
      <c r="KNG526" s="901"/>
      <c r="KNH526" s="901"/>
      <c r="KNI526" s="901"/>
      <c r="KNJ526" s="901"/>
      <c r="KNK526" s="901"/>
      <c r="KNL526" s="901"/>
      <c r="KNM526" s="901"/>
      <c r="KNN526" s="901"/>
      <c r="KNO526" s="901"/>
      <c r="KNP526" s="901"/>
      <c r="KNQ526" s="901"/>
      <c r="KNR526" s="901"/>
      <c r="KNS526" s="901"/>
      <c r="KNT526" s="901"/>
      <c r="KNU526" s="901"/>
      <c r="KNV526" s="901"/>
      <c r="KNW526" s="901"/>
      <c r="KNX526" s="901"/>
      <c r="KNY526" s="901"/>
      <c r="KNZ526" s="901"/>
      <c r="KOA526" s="901"/>
      <c r="KOB526" s="901"/>
      <c r="KOC526" s="901"/>
      <c r="KOD526" s="901"/>
      <c r="KOE526" s="901"/>
      <c r="KOF526" s="901"/>
      <c r="KOG526" s="901"/>
      <c r="KOH526" s="901"/>
      <c r="KOI526" s="901"/>
      <c r="KOJ526" s="901"/>
      <c r="KOK526" s="901"/>
      <c r="KOL526" s="901"/>
      <c r="KOM526" s="901"/>
      <c r="KON526" s="901"/>
      <c r="KOO526" s="901"/>
      <c r="KOP526" s="901"/>
      <c r="KOQ526" s="901"/>
      <c r="KOR526" s="901"/>
      <c r="KOS526" s="901"/>
      <c r="KOT526" s="901"/>
      <c r="KOU526" s="901"/>
      <c r="KOV526" s="901"/>
      <c r="KOW526" s="901"/>
      <c r="KOX526" s="901"/>
      <c r="KOY526" s="901"/>
      <c r="KOZ526" s="901"/>
      <c r="KPA526" s="901"/>
      <c r="KPB526" s="901"/>
      <c r="KPC526" s="901"/>
      <c r="KPD526" s="901"/>
      <c r="KPE526" s="901"/>
      <c r="KPF526" s="901"/>
      <c r="KPG526" s="901"/>
      <c r="KPH526" s="901"/>
      <c r="KPI526" s="901"/>
      <c r="KPJ526" s="901"/>
      <c r="KPK526" s="901"/>
      <c r="KPL526" s="901"/>
      <c r="KPM526" s="901"/>
      <c r="KPN526" s="901"/>
      <c r="KPO526" s="901"/>
      <c r="KPP526" s="901"/>
      <c r="KPQ526" s="901"/>
      <c r="KPR526" s="901"/>
      <c r="KPS526" s="901"/>
      <c r="KPT526" s="901"/>
      <c r="KPU526" s="901"/>
      <c r="KPV526" s="901"/>
      <c r="KPW526" s="901"/>
      <c r="KPX526" s="901"/>
      <c r="KPY526" s="901"/>
      <c r="KPZ526" s="901"/>
      <c r="KQA526" s="901"/>
      <c r="KQB526" s="901"/>
      <c r="KQC526" s="901"/>
      <c r="KQD526" s="901"/>
      <c r="KQE526" s="901"/>
      <c r="KQF526" s="901"/>
      <c r="KQG526" s="901"/>
      <c r="KQH526" s="901"/>
      <c r="KQI526" s="901"/>
      <c r="KQJ526" s="901"/>
      <c r="KQK526" s="901"/>
      <c r="KQL526" s="901"/>
      <c r="KQM526" s="901"/>
      <c r="KQN526" s="901"/>
      <c r="KQO526" s="901"/>
      <c r="KQP526" s="901"/>
      <c r="KQQ526" s="901"/>
      <c r="KQR526" s="901"/>
      <c r="KQS526" s="901"/>
      <c r="KQT526" s="901"/>
      <c r="KQU526" s="901"/>
      <c r="KQV526" s="901"/>
      <c r="KQW526" s="901"/>
      <c r="KQX526" s="901"/>
      <c r="KQY526" s="901"/>
      <c r="KQZ526" s="901"/>
      <c r="KRA526" s="901"/>
      <c r="KRB526" s="901"/>
      <c r="KRC526" s="901"/>
      <c r="KRD526" s="901"/>
      <c r="KRE526" s="901"/>
      <c r="KRF526" s="901"/>
      <c r="KRG526" s="901"/>
      <c r="KRH526" s="901"/>
      <c r="KRI526" s="901"/>
      <c r="KRJ526" s="901"/>
      <c r="KRK526" s="901"/>
      <c r="KRL526" s="901"/>
      <c r="KRM526" s="901"/>
      <c r="KRN526" s="901"/>
      <c r="KRO526" s="901"/>
      <c r="KRP526" s="901"/>
      <c r="KRQ526" s="901"/>
      <c r="KRR526" s="901"/>
      <c r="KRS526" s="901"/>
      <c r="KRT526" s="901"/>
      <c r="KRU526" s="901"/>
      <c r="KRV526" s="901"/>
      <c r="KRW526" s="901"/>
      <c r="KRX526" s="901"/>
      <c r="KRY526" s="901"/>
      <c r="KRZ526" s="901"/>
      <c r="KSA526" s="901"/>
      <c r="KSB526" s="901"/>
      <c r="KSC526" s="901"/>
      <c r="KSD526" s="901"/>
      <c r="KSE526" s="901"/>
      <c r="KSF526" s="901"/>
      <c r="KSG526" s="901"/>
      <c r="KSH526" s="901"/>
      <c r="KSI526" s="901"/>
      <c r="KSJ526" s="901"/>
      <c r="KSK526" s="901"/>
      <c r="KSL526" s="901"/>
      <c r="KSM526" s="901"/>
      <c r="KSN526" s="901"/>
      <c r="KSO526" s="901"/>
      <c r="KSP526" s="901"/>
      <c r="KSQ526" s="901"/>
      <c r="KSR526" s="901"/>
      <c r="KSS526" s="901"/>
      <c r="KST526" s="901"/>
      <c r="KSU526" s="901"/>
      <c r="KSV526" s="901"/>
      <c r="KSW526" s="901"/>
      <c r="KSX526" s="901"/>
      <c r="KSY526" s="901"/>
      <c r="KSZ526" s="901"/>
      <c r="KTA526" s="901"/>
      <c r="KTB526" s="901"/>
      <c r="KTC526" s="901"/>
      <c r="KTD526" s="901"/>
      <c r="KTE526" s="901"/>
      <c r="KTF526" s="901"/>
      <c r="KTG526" s="901"/>
      <c r="KTH526" s="901"/>
      <c r="KTI526" s="901"/>
      <c r="KTJ526" s="901"/>
      <c r="KTK526" s="901"/>
      <c r="KTL526" s="901"/>
      <c r="KTM526" s="901"/>
      <c r="KTN526" s="901"/>
      <c r="KTO526" s="901"/>
      <c r="KTP526" s="901"/>
      <c r="KTQ526" s="901"/>
      <c r="KTR526" s="901"/>
      <c r="KTS526" s="901"/>
      <c r="KTT526" s="901"/>
      <c r="KTU526" s="901"/>
      <c r="KTV526" s="901"/>
      <c r="KTW526" s="901"/>
      <c r="KTX526" s="901"/>
      <c r="KTY526" s="901"/>
      <c r="KTZ526" s="901"/>
      <c r="KUA526" s="901"/>
      <c r="KUB526" s="901"/>
      <c r="KUC526" s="901"/>
      <c r="KUD526" s="901"/>
      <c r="KUE526" s="901"/>
      <c r="KUF526" s="901"/>
      <c r="KUG526" s="901"/>
      <c r="KUH526" s="901"/>
      <c r="KUI526" s="901"/>
      <c r="KUJ526" s="901"/>
      <c r="KUK526" s="901"/>
      <c r="KUL526" s="901"/>
      <c r="KUM526" s="901"/>
      <c r="KUN526" s="901"/>
      <c r="KUO526" s="901"/>
      <c r="KUP526" s="901"/>
      <c r="KUQ526" s="901"/>
      <c r="KUR526" s="901"/>
      <c r="KUS526" s="901"/>
      <c r="KUT526" s="901"/>
      <c r="KUU526" s="901"/>
      <c r="KUV526" s="901"/>
      <c r="KUW526" s="901"/>
      <c r="KUX526" s="901"/>
      <c r="KUY526" s="901"/>
      <c r="KUZ526" s="901"/>
      <c r="KVA526" s="901"/>
      <c r="KVB526" s="901"/>
      <c r="KVC526" s="901"/>
      <c r="KVD526" s="901"/>
      <c r="KVE526" s="901"/>
      <c r="KVF526" s="901"/>
      <c r="KVG526" s="901"/>
      <c r="KVH526" s="901"/>
      <c r="KVI526" s="901"/>
      <c r="KVJ526" s="901"/>
      <c r="KVK526" s="901"/>
      <c r="KVL526" s="901"/>
      <c r="KVM526" s="901"/>
      <c r="KVN526" s="901"/>
      <c r="KVO526" s="901"/>
      <c r="KVP526" s="901"/>
      <c r="KVQ526" s="901"/>
      <c r="KVR526" s="901"/>
      <c r="KVS526" s="901"/>
      <c r="KVT526" s="901"/>
      <c r="KVU526" s="901"/>
      <c r="KVV526" s="901"/>
      <c r="KVW526" s="901"/>
      <c r="KVX526" s="901"/>
      <c r="KVY526" s="901"/>
      <c r="KVZ526" s="901"/>
      <c r="KWA526" s="901"/>
      <c r="KWB526" s="901"/>
      <c r="KWC526" s="901"/>
      <c r="KWD526" s="901"/>
      <c r="KWE526" s="901"/>
      <c r="KWF526" s="901"/>
      <c r="KWG526" s="901"/>
      <c r="KWH526" s="901"/>
      <c r="KWI526" s="901"/>
      <c r="KWJ526" s="901"/>
      <c r="KWK526" s="901"/>
      <c r="KWL526" s="901"/>
      <c r="KWM526" s="901"/>
      <c r="KWN526" s="901"/>
      <c r="KWO526" s="901"/>
      <c r="KWP526" s="901"/>
      <c r="KWQ526" s="901"/>
      <c r="KWR526" s="901"/>
      <c r="KWS526" s="901"/>
      <c r="KWT526" s="901"/>
      <c r="KWU526" s="901"/>
      <c r="KWV526" s="901"/>
      <c r="KWW526" s="901"/>
      <c r="KWX526" s="901"/>
      <c r="KWY526" s="901"/>
      <c r="KWZ526" s="901"/>
      <c r="KXA526" s="901"/>
      <c r="KXB526" s="901"/>
      <c r="KXC526" s="901"/>
      <c r="KXD526" s="901"/>
      <c r="KXE526" s="901"/>
      <c r="KXF526" s="901"/>
      <c r="KXG526" s="901"/>
      <c r="KXH526" s="901"/>
      <c r="KXI526" s="901"/>
      <c r="KXJ526" s="901"/>
      <c r="KXK526" s="901"/>
      <c r="KXL526" s="901"/>
      <c r="KXM526" s="901"/>
      <c r="KXN526" s="901"/>
      <c r="KXO526" s="901"/>
      <c r="KXP526" s="901"/>
      <c r="KXQ526" s="901"/>
      <c r="KXR526" s="901"/>
      <c r="KXS526" s="901"/>
      <c r="KXT526" s="901"/>
      <c r="KXU526" s="901"/>
      <c r="KXV526" s="901"/>
      <c r="KXW526" s="901"/>
      <c r="KXX526" s="901"/>
      <c r="KXY526" s="901"/>
      <c r="KXZ526" s="901"/>
      <c r="KYA526" s="901"/>
      <c r="KYB526" s="901"/>
      <c r="KYC526" s="901"/>
      <c r="KYD526" s="901"/>
      <c r="KYE526" s="901"/>
      <c r="KYF526" s="901"/>
      <c r="KYG526" s="901"/>
      <c r="KYH526" s="901"/>
      <c r="KYI526" s="901"/>
      <c r="KYJ526" s="901"/>
      <c r="KYK526" s="901"/>
      <c r="KYL526" s="901"/>
      <c r="KYM526" s="901"/>
      <c r="KYN526" s="901"/>
      <c r="KYO526" s="901"/>
      <c r="KYP526" s="901"/>
      <c r="KYQ526" s="901"/>
      <c r="KYR526" s="901"/>
      <c r="KYS526" s="901"/>
      <c r="KYT526" s="901"/>
      <c r="KYU526" s="901"/>
      <c r="KYV526" s="901"/>
      <c r="KYW526" s="901"/>
      <c r="KYX526" s="901"/>
      <c r="KYY526" s="901"/>
      <c r="KYZ526" s="901"/>
      <c r="KZA526" s="901"/>
      <c r="KZB526" s="901"/>
      <c r="KZC526" s="901"/>
      <c r="KZD526" s="901"/>
      <c r="KZE526" s="901"/>
      <c r="KZF526" s="901"/>
      <c r="KZG526" s="901"/>
      <c r="KZH526" s="901"/>
      <c r="KZI526" s="901"/>
      <c r="KZJ526" s="901"/>
      <c r="KZK526" s="901"/>
      <c r="KZL526" s="901"/>
      <c r="KZM526" s="901"/>
      <c r="KZN526" s="901"/>
      <c r="KZO526" s="901"/>
      <c r="KZP526" s="901"/>
      <c r="KZQ526" s="901"/>
      <c r="KZR526" s="901"/>
      <c r="KZS526" s="901"/>
      <c r="KZT526" s="901"/>
      <c r="KZU526" s="901"/>
      <c r="KZV526" s="901"/>
      <c r="KZW526" s="901"/>
      <c r="KZX526" s="901"/>
      <c r="KZY526" s="901"/>
      <c r="KZZ526" s="901"/>
      <c r="LAA526" s="901"/>
      <c r="LAB526" s="901"/>
      <c r="LAC526" s="901"/>
      <c r="LAD526" s="901"/>
      <c r="LAE526" s="901"/>
      <c r="LAF526" s="901"/>
      <c r="LAG526" s="901"/>
      <c r="LAH526" s="901"/>
      <c r="LAI526" s="901"/>
      <c r="LAJ526" s="901"/>
      <c r="LAK526" s="901"/>
      <c r="LAL526" s="901"/>
      <c r="LAM526" s="901"/>
      <c r="LAN526" s="901"/>
      <c r="LAO526" s="901"/>
      <c r="LAP526" s="901"/>
      <c r="LAQ526" s="901"/>
      <c r="LAR526" s="901"/>
      <c r="LAS526" s="901"/>
      <c r="LAT526" s="901"/>
      <c r="LAU526" s="901"/>
      <c r="LAV526" s="901"/>
      <c r="LAW526" s="901"/>
      <c r="LAX526" s="901"/>
      <c r="LAY526" s="901"/>
      <c r="LAZ526" s="901"/>
      <c r="LBA526" s="901"/>
      <c r="LBB526" s="901"/>
      <c r="LBC526" s="901"/>
      <c r="LBD526" s="901"/>
      <c r="LBE526" s="901"/>
      <c r="LBF526" s="901"/>
      <c r="LBG526" s="901"/>
      <c r="LBH526" s="901"/>
      <c r="LBI526" s="901"/>
      <c r="LBJ526" s="901"/>
      <c r="LBK526" s="901"/>
      <c r="LBL526" s="901"/>
      <c r="LBM526" s="901"/>
      <c r="LBN526" s="901"/>
      <c r="LBO526" s="901"/>
      <c r="LBP526" s="901"/>
      <c r="LBQ526" s="901"/>
      <c r="LBR526" s="901"/>
      <c r="LBS526" s="901"/>
      <c r="LBT526" s="901"/>
      <c r="LBU526" s="901"/>
      <c r="LBV526" s="901"/>
      <c r="LBW526" s="901"/>
      <c r="LBX526" s="901"/>
      <c r="LBY526" s="901"/>
      <c r="LBZ526" s="901"/>
      <c r="LCA526" s="901"/>
      <c r="LCB526" s="901"/>
      <c r="LCC526" s="901"/>
      <c r="LCD526" s="901"/>
      <c r="LCE526" s="901"/>
      <c r="LCF526" s="901"/>
      <c r="LCG526" s="901"/>
      <c r="LCH526" s="901"/>
      <c r="LCI526" s="901"/>
      <c r="LCJ526" s="901"/>
      <c r="LCK526" s="901"/>
      <c r="LCL526" s="901"/>
      <c r="LCM526" s="901"/>
      <c r="LCN526" s="901"/>
      <c r="LCO526" s="901"/>
      <c r="LCP526" s="901"/>
      <c r="LCQ526" s="901"/>
      <c r="LCR526" s="901"/>
      <c r="LCS526" s="901"/>
      <c r="LCT526" s="901"/>
      <c r="LCU526" s="901"/>
      <c r="LCV526" s="901"/>
      <c r="LCW526" s="901"/>
      <c r="LCX526" s="901"/>
      <c r="LCY526" s="901"/>
      <c r="LCZ526" s="901"/>
      <c r="LDA526" s="901"/>
      <c r="LDB526" s="901"/>
      <c r="LDC526" s="901"/>
      <c r="LDD526" s="901"/>
      <c r="LDE526" s="901"/>
      <c r="LDF526" s="901"/>
      <c r="LDG526" s="901"/>
      <c r="LDH526" s="901"/>
      <c r="LDI526" s="901"/>
      <c r="LDJ526" s="901"/>
      <c r="LDK526" s="901"/>
      <c r="LDL526" s="901"/>
      <c r="LDM526" s="901"/>
      <c r="LDN526" s="901"/>
      <c r="LDO526" s="901"/>
      <c r="LDP526" s="901"/>
      <c r="LDQ526" s="901"/>
      <c r="LDR526" s="901"/>
      <c r="LDS526" s="901"/>
      <c r="LDT526" s="901"/>
      <c r="LDU526" s="901"/>
      <c r="LDV526" s="901"/>
      <c r="LDW526" s="901"/>
      <c r="LDX526" s="901"/>
      <c r="LDY526" s="901"/>
      <c r="LDZ526" s="901"/>
      <c r="LEA526" s="901"/>
      <c r="LEB526" s="901"/>
      <c r="LEC526" s="901"/>
      <c r="LED526" s="901"/>
      <c r="LEE526" s="901"/>
      <c r="LEF526" s="901"/>
      <c r="LEG526" s="901"/>
      <c r="LEH526" s="901"/>
      <c r="LEI526" s="901"/>
      <c r="LEJ526" s="901"/>
      <c r="LEK526" s="901"/>
      <c r="LEL526" s="901"/>
      <c r="LEM526" s="901"/>
      <c r="LEN526" s="901"/>
      <c r="LEO526" s="901"/>
      <c r="LEP526" s="901"/>
      <c r="LEQ526" s="901"/>
      <c r="LER526" s="901"/>
      <c r="LES526" s="901"/>
      <c r="LET526" s="901"/>
      <c r="LEU526" s="901"/>
      <c r="LEV526" s="901"/>
      <c r="LEW526" s="901"/>
      <c r="LEX526" s="901"/>
      <c r="LEY526" s="901"/>
      <c r="LEZ526" s="901"/>
      <c r="LFA526" s="901"/>
      <c r="LFB526" s="901"/>
      <c r="LFC526" s="901"/>
      <c r="LFD526" s="901"/>
      <c r="LFE526" s="901"/>
      <c r="LFF526" s="901"/>
      <c r="LFG526" s="901"/>
      <c r="LFH526" s="901"/>
      <c r="LFI526" s="901"/>
      <c r="LFJ526" s="901"/>
      <c r="LFK526" s="901"/>
      <c r="LFL526" s="901"/>
      <c r="LFM526" s="901"/>
      <c r="LFN526" s="901"/>
      <c r="LFO526" s="901"/>
      <c r="LFP526" s="901"/>
      <c r="LFQ526" s="901"/>
      <c r="LFR526" s="901"/>
      <c r="LFS526" s="901"/>
      <c r="LFT526" s="901"/>
      <c r="LFU526" s="901"/>
      <c r="LFV526" s="901"/>
      <c r="LFW526" s="901"/>
      <c r="LFX526" s="901"/>
      <c r="LFY526" s="901"/>
      <c r="LFZ526" s="901"/>
      <c r="LGA526" s="901"/>
      <c r="LGB526" s="901"/>
      <c r="LGC526" s="901"/>
      <c r="LGD526" s="901"/>
      <c r="LGE526" s="901"/>
      <c r="LGF526" s="901"/>
      <c r="LGG526" s="901"/>
      <c r="LGH526" s="901"/>
      <c r="LGI526" s="901"/>
      <c r="LGJ526" s="901"/>
      <c r="LGK526" s="901"/>
      <c r="LGL526" s="901"/>
      <c r="LGM526" s="901"/>
      <c r="LGN526" s="901"/>
      <c r="LGO526" s="901"/>
      <c r="LGP526" s="901"/>
      <c r="LGQ526" s="901"/>
      <c r="LGR526" s="901"/>
      <c r="LGS526" s="901"/>
      <c r="LGT526" s="901"/>
      <c r="LGU526" s="901"/>
      <c r="LGV526" s="901"/>
      <c r="LGW526" s="901"/>
      <c r="LGX526" s="901"/>
      <c r="LGY526" s="901"/>
      <c r="LGZ526" s="901"/>
      <c r="LHA526" s="901"/>
      <c r="LHB526" s="901"/>
      <c r="LHC526" s="901"/>
      <c r="LHD526" s="901"/>
      <c r="LHE526" s="901"/>
      <c r="LHF526" s="901"/>
      <c r="LHG526" s="901"/>
      <c r="LHH526" s="901"/>
      <c r="LHI526" s="901"/>
      <c r="LHJ526" s="901"/>
      <c r="LHK526" s="901"/>
      <c r="LHL526" s="901"/>
      <c r="LHM526" s="901"/>
      <c r="LHN526" s="901"/>
      <c r="LHO526" s="901"/>
      <c r="LHP526" s="901"/>
      <c r="LHQ526" s="901"/>
      <c r="LHR526" s="901"/>
      <c r="LHS526" s="901"/>
      <c r="LHT526" s="901"/>
      <c r="LHU526" s="901"/>
      <c r="LHV526" s="901"/>
      <c r="LHW526" s="901"/>
      <c r="LHX526" s="901"/>
      <c r="LHY526" s="901"/>
      <c r="LHZ526" s="901"/>
      <c r="LIA526" s="901"/>
      <c r="LIB526" s="901"/>
      <c r="LIC526" s="901"/>
      <c r="LID526" s="901"/>
      <c r="LIE526" s="901"/>
      <c r="LIF526" s="901"/>
      <c r="LIG526" s="901"/>
      <c r="LIH526" s="901"/>
      <c r="LII526" s="901"/>
      <c r="LIJ526" s="901"/>
      <c r="LIK526" s="901"/>
      <c r="LIL526" s="901"/>
      <c r="LIM526" s="901"/>
      <c r="LIN526" s="901"/>
      <c r="LIO526" s="901"/>
      <c r="LIP526" s="901"/>
      <c r="LIQ526" s="901"/>
      <c r="LIR526" s="901"/>
      <c r="LIS526" s="901"/>
      <c r="LIT526" s="901"/>
      <c r="LIU526" s="901"/>
      <c r="LIV526" s="901"/>
      <c r="LIW526" s="901"/>
      <c r="LIX526" s="901"/>
      <c r="LIY526" s="901"/>
      <c r="LIZ526" s="901"/>
      <c r="LJA526" s="901"/>
      <c r="LJB526" s="901"/>
      <c r="LJC526" s="901"/>
      <c r="LJD526" s="901"/>
      <c r="LJE526" s="901"/>
      <c r="LJF526" s="901"/>
      <c r="LJG526" s="901"/>
      <c r="LJH526" s="901"/>
      <c r="LJI526" s="901"/>
      <c r="LJJ526" s="901"/>
      <c r="LJK526" s="901"/>
      <c r="LJL526" s="901"/>
      <c r="LJM526" s="901"/>
      <c r="LJN526" s="901"/>
      <c r="LJO526" s="901"/>
      <c r="LJP526" s="901"/>
      <c r="LJQ526" s="901"/>
      <c r="LJR526" s="901"/>
      <c r="LJS526" s="901"/>
      <c r="LJT526" s="901"/>
      <c r="LJU526" s="901"/>
      <c r="LJV526" s="901"/>
      <c r="LJW526" s="901"/>
      <c r="LJX526" s="901"/>
      <c r="LJY526" s="901"/>
      <c r="LJZ526" s="901"/>
      <c r="LKA526" s="901"/>
      <c r="LKB526" s="901"/>
      <c r="LKC526" s="901"/>
      <c r="LKD526" s="901"/>
      <c r="LKE526" s="901"/>
      <c r="LKF526" s="901"/>
      <c r="LKG526" s="901"/>
      <c r="LKH526" s="901"/>
      <c r="LKI526" s="901"/>
      <c r="LKJ526" s="901"/>
      <c r="LKK526" s="901"/>
      <c r="LKL526" s="901"/>
      <c r="LKM526" s="901"/>
      <c r="LKN526" s="901"/>
      <c r="LKO526" s="901"/>
      <c r="LKP526" s="901"/>
      <c r="LKQ526" s="901"/>
      <c r="LKR526" s="901"/>
      <c r="LKS526" s="901"/>
      <c r="LKT526" s="901"/>
      <c r="LKU526" s="901"/>
      <c r="LKV526" s="901"/>
      <c r="LKW526" s="901"/>
      <c r="LKX526" s="901"/>
      <c r="LKY526" s="901"/>
      <c r="LKZ526" s="901"/>
      <c r="LLA526" s="901"/>
      <c r="LLB526" s="901"/>
      <c r="LLC526" s="901"/>
      <c r="LLD526" s="901"/>
      <c r="LLE526" s="901"/>
      <c r="LLF526" s="901"/>
      <c r="LLG526" s="901"/>
      <c r="LLH526" s="901"/>
      <c r="LLI526" s="901"/>
      <c r="LLJ526" s="901"/>
      <c r="LLK526" s="901"/>
      <c r="LLL526" s="901"/>
      <c r="LLM526" s="901"/>
      <c r="LLN526" s="901"/>
      <c r="LLO526" s="901"/>
      <c r="LLP526" s="901"/>
      <c r="LLQ526" s="901"/>
      <c r="LLR526" s="901"/>
      <c r="LLS526" s="901"/>
      <c r="LLT526" s="901"/>
      <c r="LLU526" s="901"/>
      <c r="LLV526" s="901"/>
      <c r="LLW526" s="901"/>
      <c r="LLX526" s="901"/>
      <c r="LLY526" s="901"/>
      <c r="LLZ526" s="901"/>
      <c r="LMA526" s="901"/>
      <c r="LMB526" s="901"/>
      <c r="LMC526" s="901"/>
      <c r="LMD526" s="901"/>
      <c r="LME526" s="901"/>
      <c r="LMF526" s="901"/>
      <c r="LMG526" s="901"/>
      <c r="LMH526" s="901"/>
      <c r="LMI526" s="901"/>
      <c r="LMJ526" s="901"/>
      <c r="LMK526" s="901"/>
      <c r="LML526" s="901"/>
      <c r="LMM526" s="901"/>
      <c r="LMN526" s="901"/>
      <c r="LMO526" s="901"/>
      <c r="LMP526" s="901"/>
      <c r="LMQ526" s="901"/>
      <c r="LMR526" s="901"/>
      <c r="LMS526" s="901"/>
      <c r="LMT526" s="901"/>
      <c r="LMU526" s="901"/>
      <c r="LMV526" s="901"/>
      <c r="LMW526" s="901"/>
      <c r="LMX526" s="901"/>
      <c r="LMY526" s="901"/>
      <c r="LMZ526" s="901"/>
      <c r="LNA526" s="901"/>
      <c r="LNB526" s="901"/>
      <c r="LNC526" s="901"/>
      <c r="LND526" s="901"/>
      <c r="LNE526" s="901"/>
      <c r="LNF526" s="901"/>
      <c r="LNG526" s="901"/>
      <c r="LNH526" s="901"/>
      <c r="LNI526" s="901"/>
      <c r="LNJ526" s="901"/>
      <c r="LNK526" s="901"/>
      <c r="LNL526" s="901"/>
      <c r="LNM526" s="901"/>
      <c r="LNN526" s="901"/>
      <c r="LNO526" s="901"/>
      <c r="LNP526" s="901"/>
      <c r="LNQ526" s="901"/>
      <c r="LNR526" s="901"/>
      <c r="LNS526" s="901"/>
      <c r="LNT526" s="901"/>
      <c r="LNU526" s="901"/>
      <c r="LNV526" s="901"/>
      <c r="LNW526" s="901"/>
      <c r="LNX526" s="901"/>
      <c r="LNY526" s="901"/>
      <c r="LNZ526" s="901"/>
      <c r="LOA526" s="901"/>
      <c r="LOB526" s="901"/>
      <c r="LOC526" s="901"/>
      <c r="LOD526" s="901"/>
      <c r="LOE526" s="901"/>
      <c r="LOF526" s="901"/>
      <c r="LOG526" s="901"/>
      <c r="LOH526" s="901"/>
      <c r="LOI526" s="901"/>
      <c r="LOJ526" s="901"/>
      <c r="LOK526" s="901"/>
      <c r="LOL526" s="901"/>
      <c r="LOM526" s="901"/>
      <c r="LON526" s="901"/>
      <c r="LOO526" s="901"/>
      <c r="LOP526" s="901"/>
      <c r="LOQ526" s="901"/>
      <c r="LOR526" s="901"/>
      <c r="LOS526" s="901"/>
      <c r="LOT526" s="901"/>
      <c r="LOU526" s="901"/>
      <c r="LOV526" s="901"/>
      <c r="LOW526" s="901"/>
      <c r="LOX526" s="901"/>
      <c r="LOY526" s="901"/>
      <c r="LOZ526" s="901"/>
      <c r="LPA526" s="901"/>
      <c r="LPB526" s="901"/>
      <c r="LPC526" s="901"/>
      <c r="LPD526" s="901"/>
      <c r="LPE526" s="901"/>
      <c r="LPF526" s="901"/>
      <c r="LPG526" s="901"/>
      <c r="LPH526" s="901"/>
      <c r="LPI526" s="901"/>
      <c r="LPJ526" s="901"/>
      <c r="LPK526" s="901"/>
      <c r="LPL526" s="901"/>
      <c r="LPM526" s="901"/>
      <c r="LPN526" s="901"/>
      <c r="LPO526" s="901"/>
      <c r="LPP526" s="901"/>
      <c r="LPQ526" s="901"/>
      <c r="LPR526" s="901"/>
      <c r="LPS526" s="901"/>
      <c r="LPT526" s="901"/>
      <c r="LPU526" s="901"/>
      <c r="LPV526" s="901"/>
      <c r="LPW526" s="901"/>
      <c r="LPX526" s="901"/>
      <c r="LPY526" s="901"/>
      <c r="LPZ526" s="901"/>
      <c r="LQA526" s="901"/>
      <c r="LQB526" s="901"/>
      <c r="LQC526" s="901"/>
      <c r="LQD526" s="901"/>
      <c r="LQE526" s="901"/>
      <c r="LQF526" s="901"/>
      <c r="LQG526" s="901"/>
      <c r="LQH526" s="901"/>
      <c r="LQI526" s="901"/>
      <c r="LQJ526" s="901"/>
      <c r="LQK526" s="901"/>
      <c r="LQL526" s="901"/>
      <c r="LQM526" s="901"/>
      <c r="LQN526" s="901"/>
      <c r="LQO526" s="901"/>
      <c r="LQP526" s="901"/>
      <c r="LQQ526" s="901"/>
      <c r="LQR526" s="901"/>
      <c r="LQS526" s="901"/>
      <c r="LQT526" s="901"/>
      <c r="LQU526" s="901"/>
      <c r="LQV526" s="901"/>
      <c r="LQW526" s="901"/>
      <c r="LQX526" s="901"/>
      <c r="LQY526" s="901"/>
      <c r="LQZ526" s="901"/>
      <c r="LRA526" s="901"/>
      <c r="LRB526" s="901"/>
      <c r="LRC526" s="901"/>
      <c r="LRD526" s="901"/>
      <c r="LRE526" s="901"/>
      <c r="LRF526" s="901"/>
      <c r="LRG526" s="901"/>
      <c r="LRH526" s="901"/>
      <c r="LRI526" s="901"/>
      <c r="LRJ526" s="901"/>
      <c r="LRK526" s="901"/>
      <c r="LRL526" s="901"/>
      <c r="LRM526" s="901"/>
      <c r="LRN526" s="901"/>
      <c r="LRO526" s="901"/>
      <c r="LRP526" s="901"/>
      <c r="LRQ526" s="901"/>
      <c r="LRR526" s="901"/>
      <c r="LRS526" s="901"/>
      <c r="LRT526" s="901"/>
      <c r="LRU526" s="901"/>
      <c r="LRV526" s="901"/>
      <c r="LRW526" s="901"/>
      <c r="LRX526" s="901"/>
      <c r="LRY526" s="901"/>
      <c r="LRZ526" s="901"/>
      <c r="LSA526" s="901"/>
      <c r="LSB526" s="901"/>
      <c r="LSC526" s="901"/>
      <c r="LSD526" s="901"/>
      <c r="LSE526" s="901"/>
      <c r="LSF526" s="901"/>
      <c r="LSG526" s="901"/>
      <c r="LSH526" s="901"/>
      <c r="LSI526" s="901"/>
      <c r="LSJ526" s="901"/>
      <c r="LSK526" s="901"/>
      <c r="LSL526" s="901"/>
      <c r="LSM526" s="901"/>
      <c r="LSN526" s="901"/>
      <c r="LSO526" s="901"/>
      <c r="LSP526" s="901"/>
      <c r="LSQ526" s="901"/>
      <c r="LSR526" s="901"/>
      <c r="LSS526" s="901"/>
      <c r="LST526" s="901"/>
      <c r="LSU526" s="901"/>
      <c r="LSV526" s="901"/>
      <c r="LSW526" s="901"/>
      <c r="LSX526" s="901"/>
      <c r="LSY526" s="901"/>
      <c r="LSZ526" s="901"/>
      <c r="LTA526" s="901"/>
      <c r="LTB526" s="901"/>
      <c r="LTC526" s="901"/>
      <c r="LTD526" s="901"/>
      <c r="LTE526" s="901"/>
      <c r="LTF526" s="901"/>
      <c r="LTG526" s="901"/>
      <c r="LTH526" s="901"/>
      <c r="LTI526" s="901"/>
      <c r="LTJ526" s="901"/>
      <c r="LTK526" s="901"/>
      <c r="LTL526" s="901"/>
      <c r="LTM526" s="901"/>
      <c r="LTN526" s="901"/>
      <c r="LTO526" s="901"/>
      <c r="LTP526" s="901"/>
      <c r="LTQ526" s="901"/>
      <c r="LTR526" s="901"/>
      <c r="LTS526" s="901"/>
      <c r="LTT526" s="901"/>
      <c r="LTU526" s="901"/>
      <c r="LTV526" s="901"/>
      <c r="LTW526" s="901"/>
      <c r="LTX526" s="901"/>
      <c r="LTY526" s="901"/>
      <c r="LTZ526" s="901"/>
      <c r="LUA526" s="901"/>
      <c r="LUB526" s="901"/>
      <c r="LUC526" s="901"/>
      <c r="LUD526" s="901"/>
      <c r="LUE526" s="901"/>
      <c r="LUF526" s="901"/>
      <c r="LUG526" s="901"/>
      <c r="LUH526" s="901"/>
      <c r="LUI526" s="901"/>
      <c r="LUJ526" s="901"/>
      <c r="LUK526" s="901"/>
      <c r="LUL526" s="901"/>
      <c r="LUM526" s="901"/>
      <c r="LUN526" s="901"/>
      <c r="LUO526" s="901"/>
      <c r="LUP526" s="901"/>
      <c r="LUQ526" s="901"/>
      <c r="LUR526" s="901"/>
      <c r="LUS526" s="901"/>
      <c r="LUT526" s="901"/>
      <c r="LUU526" s="901"/>
      <c r="LUV526" s="901"/>
      <c r="LUW526" s="901"/>
      <c r="LUX526" s="901"/>
      <c r="LUY526" s="901"/>
      <c r="LUZ526" s="901"/>
      <c r="LVA526" s="901"/>
      <c r="LVB526" s="901"/>
      <c r="LVC526" s="901"/>
      <c r="LVD526" s="901"/>
      <c r="LVE526" s="901"/>
      <c r="LVF526" s="901"/>
      <c r="LVG526" s="901"/>
      <c r="LVH526" s="901"/>
      <c r="LVI526" s="901"/>
      <c r="LVJ526" s="901"/>
      <c r="LVK526" s="901"/>
      <c r="LVL526" s="901"/>
      <c r="LVM526" s="901"/>
      <c r="LVN526" s="901"/>
      <c r="LVO526" s="901"/>
      <c r="LVP526" s="901"/>
      <c r="LVQ526" s="901"/>
      <c r="LVR526" s="901"/>
      <c r="LVS526" s="901"/>
      <c r="LVT526" s="901"/>
      <c r="LVU526" s="901"/>
      <c r="LVV526" s="901"/>
      <c r="LVW526" s="901"/>
      <c r="LVX526" s="901"/>
      <c r="LVY526" s="901"/>
      <c r="LVZ526" s="901"/>
      <c r="LWA526" s="901"/>
      <c r="LWB526" s="901"/>
      <c r="LWC526" s="901"/>
      <c r="LWD526" s="901"/>
      <c r="LWE526" s="901"/>
      <c r="LWF526" s="901"/>
      <c r="LWG526" s="901"/>
      <c r="LWH526" s="901"/>
      <c r="LWI526" s="901"/>
      <c r="LWJ526" s="901"/>
      <c r="LWK526" s="901"/>
      <c r="LWL526" s="901"/>
      <c r="LWM526" s="901"/>
      <c r="LWN526" s="901"/>
      <c r="LWO526" s="901"/>
      <c r="LWP526" s="901"/>
      <c r="LWQ526" s="901"/>
      <c r="LWR526" s="901"/>
      <c r="LWS526" s="901"/>
      <c r="LWT526" s="901"/>
      <c r="LWU526" s="901"/>
      <c r="LWV526" s="901"/>
      <c r="LWW526" s="901"/>
      <c r="LWX526" s="901"/>
      <c r="LWY526" s="901"/>
      <c r="LWZ526" s="901"/>
      <c r="LXA526" s="901"/>
      <c r="LXB526" s="901"/>
      <c r="LXC526" s="901"/>
      <c r="LXD526" s="901"/>
      <c r="LXE526" s="901"/>
      <c r="LXF526" s="901"/>
      <c r="LXG526" s="901"/>
      <c r="LXH526" s="901"/>
      <c r="LXI526" s="901"/>
      <c r="LXJ526" s="901"/>
      <c r="LXK526" s="901"/>
      <c r="LXL526" s="901"/>
      <c r="LXM526" s="901"/>
      <c r="LXN526" s="901"/>
      <c r="LXO526" s="901"/>
      <c r="LXP526" s="901"/>
      <c r="LXQ526" s="901"/>
      <c r="LXR526" s="901"/>
      <c r="LXS526" s="901"/>
      <c r="LXT526" s="901"/>
      <c r="LXU526" s="901"/>
      <c r="LXV526" s="901"/>
      <c r="LXW526" s="901"/>
      <c r="LXX526" s="901"/>
      <c r="LXY526" s="901"/>
      <c r="LXZ526" s="901"/>
      <c r="LYA526" s="901"/>
      <c r="LYB526" s="901"/>
      <c r="LYC526" s="901"/>
      <c r="LYD526" s="901"/>
      <c r="LYE526" s="901"/>
      <c r="LYF526" s="901"/>
      <c r="LYG526" s="901"/>
      <c r="LYH526" s="901"/>
      <c r="LYI526" s="901"/>
      <c r="LYJ526" s="901"/>
      <c r="LYK526" s="901"/>
      <c r="LYL526" s="901"/>
      <c r="LYM526" s="901"/>
      <c r="LYN526" s="901"/>
      <c r="LYO526" s="901"/>
      <c r="LYP526" s="901"/>
      <c r="LYQ526" s="901"/>
      <c r="LYR526" s="901"/>
      <c r="LYS526" s="901"/>
      <c r="LYT526" s="901"/>
      <c r="LYU526" s="901"/>
      <c r="LYV526" s="901"/>
      <c r="LYW526" s="901"/>
      <c r="LYX526" s="901"/>
      <c r="LYY526" s="901"/>
      <c r="LYZ526" s="901"/>
      <c r="LZA526" s="901"/>
      <c r="LZB526" s="901"/>
      <c r="LZC526" s="901"/>
      <c r="LZD526" s="901"/>
      <c r="LZE526" s="901"/>
      <c r="LZF526" s="901"/>
      <c r="LZG526" s="901"/>
      <c r="LZH526" s="901"/>
      <c r="LZI526" s="901"/>
      <c r="LZJ526" s="901"/>
      <c r="LZK526" s="901"/>
      <c r="LZL526" s="901"/>
      <c r="LZM526" s="901"/>
      <c r="LZN526" s="901"/>
      <c r="LZO526" s="901"/>
      <c r="LZP526" s="901"/>
      <c r="LZQ526" s="901"/>
      <c r="LZR526" s="901"/>
      <c r="LZS526" s="901"/>
      <c r="LZT526" s="901"/>
      <c r="LZU526" s="901"/>
      <c r="LZV526" s="901"/>
      <c r="LZW526" s="901"/>
      <c r="LZX526" s="901"/>
      <c r="LZY526" s="901"/>
      <c r="LZZ526" s="901"/>
      <c r="MAA526" s="901"/>
      <c r="MAB526" s="901"/>
      <c r="MAC526" s="901"/>
      <c r="MAD526" s="901"/>
      <c r="MAE526" s="901"/>
      <c r="MAF526" s="901"/>
      <c r="MAG526" s="901"/>
      <c r="MAH526" s="901"/>
      <c r="MAI526" s="901"/>
      <c r="MAJ526" s="901"/>
      <c r="MAK526" s="901"/>
      <c r="MAL526" s="901"/>
      <c r="MAM526" s="901"/>
      <c r="MAN526" s="901"/>
      <c r="MAO526" s="901"/>
      <c r="MAP526" s="901"/>
      <c r="MAQ526" s="901"/>
      <c r="MAR526" s="901"/>
      <c r="MAS526" s="901"/>
      <c r="MAT526" s="901"/>
      <c r="MAU526" s="901"/>
      <c r="MAV526" s="901"/>
      <c r="MAW526" s="901"/>
      <c r="MAX526" s="901"/>
      <c r="MAY526" s="901"/>
      <c r="MAZ526" s="901"/>
      <c r="MBA526" s="901"/>
      <c r="MBB526" s="901"/>
      <c r="MBC526" s="901"/>
      <c r="MBD526" s="901"/>
      <c r="MBE526" s="901"/>
      <c r="MBF526" s="901"/>
      <c r="MBG526" s="901"/>
      <c r="MBH526" s="901"/>
      <c r="MBI526" s="901"/>
      <c r="MBJ526" s="901"/>
      <c r="MBK526" s="901"/>
      <c r="MBL526" s="901"/>
      <c r="MBM526" s="901"/>
      <c r="MBN526" s="901"/>
      <c r="MBO526" s="901"/>
      <c r="MBP526" s="901"/>
      <c r="MBQ526" s="901"/>
      <c r="MBR526" s="901"/>
      <c r="MBS526" s="901"/>
      <c r="MBT526" s="901"/>
      <c r="MBU526" s="901"/>
      <c r="MBV526" s="901"/>
      <c r="MBW526" s="901"/>
      <c r="MBX526" s="901"/>
      <c r="MBY526" s="901"/>
      <c r="MBZ526" s="901"/>
      <c r="MCA526" s="901"/>
      <c r="MCB526" s="901"/>
      <c r="MCC526" s="901"/>
      <c r="MCD526" s="901"/>
      <c r="MCE526" s="901"/>
      <c r="MCF526" s="901"/>
      <c r="MCG526" s="901"/>
      <c r="MCH526" s="901"/>
      <c r="MCI526" s="901"/>
      <c r="MCJ526" s="901"/>
      <c r="MCK526" s="901"/>
      <c r="MCL526" s="901"/>
      <c r="MCM526" s="901"/>
      <c r="MCN526" s="901"/>
      <c r="MCO526" s="901"/>
      <c r="MCP526" s="901"/>
      <c r="MCQ526" s="901"/>
      <c r="MCR526" s="901"/>
      <c r="MCS526" s="901"/>
      <c r="MCT526" s="901"/>
      <c r="MCU526" s="901"/>
      <c r="MCV526" s="901"/>
      <c r="MCW526" s="901"/>
      <c r="MCX526" s="901"/>
      <c r="MCY526" s="901"/>
      <c r="MCZ526" s="901"/>
      <c r="MDA526" s="901"/>
      <c r="MDB526" s="901"/>
      <c r="MDC526" s="901"/>
      <c r="MDD526" s="901"/>
      <c r="MDE526" s="901"/>
      <c r="MDF526" s="901"/>
      <c r="MDG526" s="901"/>
      <c r="MDH526" s="901"/>
      <c r="MDI526" s="901"/>
      <c r="MDJ526" s="901"/>
      <c r="MDK526" s="901"/>
      <c r="MDL526" s="901"/>
      <c r="MDM526" s="901"/>
      <c r="MDN526" s="901"/>
      <c r="MDO526" s="901"/>
      <c r="MDP526" s="901"/>
      <c r="MDQ526" s="901"/>
      <c r="MDR526" s="901"/>
      <c r="MDS526" s="901"/>
      <c r="MDT526" s="901"/>
      <c r="MDU526" s="901"/>
      <c r="MDV526" s="901"/>
      <c r="MDW526" s="901"/>
      <c r="MDX526" s="901"/>
      <c r="MDY526" s="901"/>
      <c r="MDZ526" s="901"/>
      <c r="MEA526" s="901"/>
      <c r="MEB526" s="901"/>
      <c r="MEC526" s="901"/>
      <c r="MED526" s="901"/>
      <c r="MEE526" s="901"/>
      <c r="MEF526" s="901"/>
      <c r="MEG526" s="901"/>
      <c r="MEH526" s="901"/>
      <c r="MEI526" s="901"/>
      <c r="MEJ526" s="901"/>
      <c r="MEK526" s="901"/>
      <c r="MEL526" s="901"/>
      <c r="MEM526" s="901"/>
      <c r="MEN526" s="901"/>
      <c r="MEO526" s="901"/>
      <c r="MEP526" s="901"/>
      <c r="MEQ526" s="901"/>
      <c r="MER526" s="901"/>
      <c r="MES526" s="901"/>
      <c r="MET526" s="901"/>
      <c r="MEU526" s="901"/>
      <c r="MEV526" s="901"/>
      <c r="MEW526" s="901"/>
      <c r="MEX526" s="901"/>
      <c r="MEY526" s="901"/>
      <c r="MEZ526" s="901"/>
      <c r="MFA526" s="901"/>
      <c r="MFB526" s="901"/>
      <c r="MFC526" s="901"/>
      <c r="MFD526" s="901"/>
      <c r="MFE526" s="901"/>
      <c r="MFF526" s="901"/>
      <c r="MFG526" s="901"/>
      <c r="MFH526" s="901"/>
      <c r="MFI526" s="901"/>
      <c r="MFJ526" s="901"/>
      <c r="MFK526" s="901"/>
      <c r="MFL526" s="901"/>
      <c r="MFM526" s="901"/>
      <c r="MFN526" s="901"/>
      <c r="MFO526" s="901"/>
      <c r="MFP526" s="901"/>
      <c r="MFQ526" s="901"/>
      <c r="MFR526" s="901"/>
      <c r="MFS526" s="901"/>
      <c r="MFT526" s="901"/>
      <c r="MFU526" s="901"/>
      <c r="MFV526" s="901"/>
      <c r="MFW526" s="901"/>
      <c r="MFX526" s="901"/>
      <c r="MFY526" s="901"/>
      <c r="MFZ526" s="901"/>
      <c r="MGA526" s="901"/>
      <c r="MGB526" s="901"/>
      <c r="MGC526" s="901"/>
      <c r="MGD526" s="901"/>
      <c r="MGE526" s="901"/>
      <c r="MGF526" s="901"/>
      <c r="MGG526" s="901"/>
      <c r="MGH526" s="901"/>
      <c r="MGI526" s="901"/>
      <c r="MGJ526" s="901"/>
      <c r="MGK526" s="901"/>
      <c r="MGL526" s="901"/>
      <c r="MGM526" s="901"/>
      <c r="MGN526" s="901"/>
      <c r="MGO526" s="901"/>
      <c r="MGP526" s="901"/>
      <c r="MGQ526" s="901"/>
      <c r="MGR526" s="901"/>
      <c r="MGS526" s="901"/>
      <c r="MGT526" s="901"/>
      <c r="MGU526" s="901"/>
      <c r="MGV526" s="901"/>
      <c r="MGW526" s="901"/>
      <c r="MGX526" s="901"/>
      <c r="MGY526" s="901"/>
      <c r="MGZ526" s="901"/>
      <c r="MHA526" s="901"/>
      <c r="MHB526" s="901"/>
      <c r="MHC526" s="901"/>
      <c r="MHD526" s="901"/>
      <c r="MHE526" s="901"/>
      <c r="MHF526" s="901"/>
      <c r="MHG526" s="901"/>
      <c r="MHH526" s="901"/>
      <c r="MHI526" s="901"/>
      <c r="MHJ526" s="901"/>
      <c r="MHK526" s="901"/>
      <c r="MHL526" s="901"/>
      <c r="MHM526" s="901"/>
      <c r="MHN526" s="901"/>
      <c r="MHO526" s="901"/>
      <c r="MHP526" s="901"/>
      <c r="MHQ526" s="901"/>
      <c r="MHR526" s="901"/>
      <c r="MHS526" s="901"/>
      <c r="MHT526" s="901"/>
      <c r="MHU526" s="901"/>
      <c r="MHV526" s="901"/>
      <c r="MHW526" s="901"/>
      <c r="MHX526" s="901"/>
      <c r="MHY526" s="901"/>
      <c r="MHZ526" s="901"/>
      <c r="MIA526" s="901"/>
      <c r="MIB526" s="901"/>
      <c r="MIC526" s="901"/>
      <c r="MID526" s="901"/>
      <c r="MIE526" s="901"/>
      <c r="MIF526" s="901"/>
      <c r="MIG526" s="901"/>
      <c r="MIH526" s="901"/>
      <c r="MII526" s="901"/>
      <c r="MIJ526" s="901"/>
      <c r="MIK526" s="901"/>
      <c r="MIL526" s="901"/>
      <c r="MIM526" s="901"/>
      <c r="MIN526" s="901"/>
      <c r="MIO526" s="901"/>
      <c r="MIP526" s="901"/>
      <c r="MIQ526" s="901"/>
      <c r="MIR526" s="901"/>
      <c r="MIS526" s="901"/>
      <c r="MIT526" s="901"/>
      <c r="MIU526" s="901"/>
      <c r="MIV526" s="901"/>
      <c r="MIW526" s="901"/>
      <c r="MIX526" s="901"/>
      <c r="MIY526" s="901"/>
      <c r="MIZ526" s="901"/>
      <c r="MJA526" s="901"/>
      <c r="MJB526" s="901"/>
      <c r="MJC526" s="901"/>
      <c r="MJD526" s="901"/>
      <c r="MJE526" s="901"/>
      <c r="MJF526" s="901"/>
      <c r="MJG526" s="901"/>
      <c r="MJH526" s="901"/>
      <c r="MJI526" s="901"/>
      <c r="MJJ526" s="901"/>
      <c r="MJK526" s="901"/>
      <c r="MJL526" s="901"/>
      <c r="MJM526" s="901"/>
      <c r="MJN526" s="901"/>
      <c r="MJO526" s="901"/>
      <c r="MJP526" s="901"/>
      <c r="MJQ526" s="901"/>
      <c r="MJR526" s="901"/>
      <c r="MJS526" s="901"/>
      <c r="MJT526" s="901"/>
      <c r="MJU526" s="901"/>
      <c r="MJV526" s="901"/>
      <c r="MJW526" s="901"/>
      <c r="MJX526" s="901"/>
      <c r="MJY526" s="901"/>
      <c r="MJZ526" s="901"/>
      <c r="MKA526" s="901"/>
      <c r="MKB526" s="901"/>
      <c r="MKC526" s="901"/>
      <c r="MKD526" s="901"/>
      <c r="MKE526" s="901"/>
      <c r="MKF526" s="901"/>
      <c r="MKG526" s="901"/>
      <c r="MKH526" s="901"/>
      <c r="MKI526" s="901"/>
      <c r="MKJ526" s="901"/>
      <c r="MKK526" s="901"/>
      <c r="MKL526" s="901"/>
      <c r="MKM526" s="901"/>
      <c r="MKN526" s="901"/>
      <c r="MKO526" s="901"/>
      <c r="MKP526" s="901"/>
      <c r="MKQ526" s="901"/>
      <c r="MKR526" s="901"/>
      <c r="MKS526" s="901"/>
      <c r="MKT526" s="901"/>
      <c r="MKU526" s="901"/>
      <c r="MKV526" s="901"/>
      <c r="MKW526" s="901"/>
      <c r="MKX526" s="901"/>
      <c r="MKY526" s="901"/>
      <c r="MKZ526" s="901"/>
      <c r="MLA526" s="901"/>
      <c r="MLB526" s="901"/>
      <c r="MLC526" s="901"/>
      <c r="MLD526" s="901"/>
      <c r="MLE526" s="901"/>
      <c r="MLF526" s="901"/>
      <c r="MLG526" s="901"/>
      <c r="MLH526" s="901"/>
      <c r="MLI526" s="901"/>
      <c r="MLJ526" s="901"/>
      <c r="MLK526" s="901"/>
      <c r="MLL526" s="901"/>
      <c r="MLM526" s="901"/>
      <c r="MLN526" s="901"/>
      <c r="MLO526" s="901"/>
      <c r="MLP526" s="901"/>
      <c r="MLQ526" s="901"/>
      <c r="MLR526" s="901"/>
      <c r="MLS526" s="901"/>
      <c r="MLT526" s="901"/>
      <c r="MLU526" s="901"/>
      <c r="MLV526" s="901"/>
      <c r="MLW526" s="901"/>
      <c r="MLX526" s="901"/>
      <c r="MLY526" s="901"/>
      <c r="MLZ526" s="901"/>
      <c r="MMA526" s="901"/>
      <c r="MMB526" s="901"/>
      <c r="MMC526" s="901"/>
      <c r="MMD526" s="901"/>
      <c r="MME526" s="901"/>
      <c r="MMF526" s="901"/>
      <c r="MMG526" s="901"/>
      <c r="MMH526" s="901"/>
      <c r="MMI526" s="901"/>
      <c r="MMJ526" s="901"/>
      <c r="MMK526" s="901"/>
      <c r="MML526" s="901"/>
      <c r="MMM526" s="901"/>
      <c r="MMN526" s="901"/>
      <c r="MMO526" s="901"/>
      <c r="MMP526" s="901"/>
      <c r="MMQ526" s="901"/>
      <c r="MMR526" s="901"/>
      <c r="MMS526" s="901"/>
      <c r="MMT526" s="901"/>
      <c r="MMU526" s="901"/>
      <c r="MMV526" s="901"/>
      <c r="MMW526" s="901"/>
      <c r="MMX526" s="901"/>
      <c r="MMY526" s="901"/>
      <c r="MMZ526" s="901"/>
      <c r="MNA526" s="901"/>
      <c r="MNB526" s="901"/>
      <c r="MNC526" s="901"/>
      <c r="MND526" s="901"/>
      <c r="MNE526" s="901"/>
      <c r="MNF526" s="901"/>
      <c r="MNG526" s="901"/>
      <c r="MNH526" s="901"/>
      <c r="MNI526" s="901"/>
      <c r="MNJ526" s="901"/>
      <c r="MNK526" s="901"/>
      <c r="MNL526" s="901"/>
      <c r="MNM526" s="901"/>
      <c r="MNN526" s="901"/>
      <c r="MNO526" s="901"/>
      <c r="MNP526" s="901"/>
      <c r="MNQ526" s="901"/>
      <c r="MNR526" s="901"/>
      <c r="MNS526" s="901"/>
      <c r="MNT526" s="901"/>
      <c r="MNU526" s="901"/>
      <c r="MNV526" s="901"/>
      <c r="MNW526" s="901"/>
      <c r="MNX526" s="901"/>
      <c r="MNY526" s="901"/>
      <c r="MNZ526" s="901"/>
      <c r="MOA526" s="901"/>
      <c r="MOB526" s="901"/>
      <c r="MOC526" s="901"/>
      <c r="MOD526" s="901"/>
      <c r="MOE526" s="901"/>
      <c r="MOF526" s="901"/>
      <c r="MOG526" s="901"/>
      <c r="MOH526" s="901"/>
      <c r="MOI526" s="901"/>
      <c r="MOJ526" s="901"/>
      <c r="MOK526" s="901"/>
      <c r="MOL526" s="901"/>
      <c r="MOM526" s="901"/>
      <c r="MON526" s="901"/>
      <c r="MOO526" s="901"/>
      <c r="MOP526" s="901"/>
      <c r="MOQ526" s="901"/>
      <c r="MOR526" s="901"/>
      <c r="MOS526" s="901"/>
      <c r="MOT526" s="901"/>
      <c r="MOU526" s="901"/>
      <c r="MOV526" s="901"/>
      <c r="MOW526" s="901"/>
      <c r="MOX526" s="901"/>
      <c r="MOY526" s="901"/>
      <c r="MOZ526" s="901"/>
      <c r="MPA526" s="901"/>
      <c r="MPB526" s="901"/>
      <c r="MPC526" s="901"/>
      <c r="MPD526" s="901"/>
      <c r="MPE526" s="901"/>
      <c r="MPF526" s="901"/>
      <c r="MPG526" s="901"/>
      <c r="MPH526" s="901"/>
      <c r="MPI526" s="901"/>
      <c r="MPJ526" s="901"/>
      <c r="MPK526" s="901"/>
      <c r="MPL526" s="901"/>
      <c r="MPM526" s="901"/>
      <c r="MPN526" s="901"/>
      <c r="MPO526" s="901"/>
      <c r="MPP526" s="901"/>
      <c r="MPQ526" s="901"/>
      <c r="MPR526" s="901"/>
      <c r="MPS526" s="901"/>
      <c r="MPT526" s="901"/>
      <c r="MPU526" s="901"/>
      <c r="MPV526" s="901"/>
      <c r="MPW526" s="901"/>
      <c r="MPX526" s="901"/>
      <c r="MPY526" s="901"/>
      <c r="MPZ526" s="901"/>
      <c r="MQA526" s="901"/>
      <c r="MQB526" s="901"/>
      <c r="MQC526" s="901"/>
      <c r="MQD526" s="901"/>
      <c r="MQE526" s="901"/>
      <c r="MQF526" s="901"/>
      <c r="MQG526" s="901"/>
      <c r="MQH526" s="901"/>
      <c r="MQI526" s="901"/>
      <c r="MQJ526" s="901"/>
      <c r="MQK526" s="901"/>
      <c r="MQL526" s="901"/>
      <c r="MQM526" s="901"/>
      <c r="MQN526" s="901"/>
      <c r="MQO526" s="901"/>
      <c r="MQP526" s="901"/>
      <c r="MQQ526" s="901"/>
      <c r="MQR526" s="901"/>
      <c r="MQS526" s="901"/>
      <c r="MQT526" s="901"/>
      <c r="MQU526" s="901"/>
      <c r="MQV526" s="901"/>
      <c r="MQW526" s="901"/>
      <c r="MQX526" s="901"/>
      <c r="MQY526" s="901"/>
      <c r="MQZ526" s="901"/>
      <c r="MRA526" s="901"/>
      <c r="MRB526" s="901"/>
      <c r="MRC526" s="901"/>
      <c r="MRD526" s="901"/>
      <c r="MRE526" s="901"/>
      <c r="MRF526" s="901"/>
      <c r="MRG526" s="901"/>
      <c r="MRH526" s="901"/>
      <c r="MRI526" s="901"/>
      <c r="MRJ526" s="901"/>
      <c r="MRK526" s="901"/>
      <c r="MRL526" s="901"/>
      <c r="MRM526" s="901"/>
      <c r="MRN526" s="901"/>
      <c r="MRO526" s="901"/>
      <c r="MRP526" s="901"/>
      <c r="MRQ526" s="901"/>
      <c r="MRR526" s="901"/>
      <c r="MRS526" s="901"/>
      <c r="MRT526" s="901"/>
      <c r="MRU526" s="901"/>
      <c r="MRV526" s="901"/>
      <c r="MRW526" s="901"/>
      <c r="MRX526" s="901"/>
      <c r="MRY526" s="901"/>
      <c r="MRZ526" s="901"/>
      <c r="MSA526" s="901"/>
      <c r="MSB526" s="901"/>
      <c r="MSC526" s="901"/>
      <c r="MSD526" s="901"/>
      <c r="MSE526" s="901"/>
      <c r="MSF526" s="901"/>
      <c r="MSG526" s="901"/>
      <c r="MSH526" s="901"/>
      <c r="MSI526" s="901"/>
      <c r="MSJ526" s="901"/>
      <c r="MSK526" s="901"/>
      <c r="MSL526" s="901"/>
      <c r="MSM526" s="901"/>
      <c r="MSN526" s="901"/>
      <c r="MSO526" s="901"/>
      <c r="MSP526" s="901"/>
      <c r="MSQ526" s="901"/>
      <c r="MSR526" s="901"/>
      <c r="MSS526" s="901"/>
      <c r="MST526" s="901"/>
      <c r="MSU526" s="901"/>
      <c r="MSV526" s="901"/>
      <c r="MSW526" s="901"/>
      <c r="MSX526" s="901"/>
      <c r="MSY526" s="901"/>
      <c r="MSZ526" s="901"/>
      <c r="MTA526" s="901"/>
      <c r="MTB526" s="901"/>
      <c r="MTC526" s="901"/>
      <c r="MTD526" s="901"/>
      <c r="MTE526" s="901"/>
      <c r="MTF526" s="901"/>
      <c r="MTG526" s="901"/>
      <c r="MTH526" s="901"/>
      <c r="MTI526" s="901"/>
      <c r="MTJ526" s="901"/>
      <c r="MTK526" s="901"/>
      <c r="MTL526" s="901"/>
      <c r="MTM526" s="901"/>
      <c r="MTN526" s="901"/>
      <c r="MTO526" s="901"/>
      <c r="MTP526" s="901"/>
      <c r="MTQ526" s="901"/>
      <c r="MTR526" s="901"/>
      <c r="MTS526" s="901"/>
      <c r="MTT526" s="901"/>
      <c r="MTU526" s="901"/>
      <c r="MTV526" s="901"/>
      <c r="MTW526" s="901"/>
      <c r="MTX526" s="901"/>
      <c r="MTY526" s="901"/>
      <c r="MTZ526" s="901"/>
      <c r="MUA526" s="901"/>
      <c r="MUB526" s="901"/>
      <c r="MUC526" s="901"/>
      <c r="MUD526" s="901"/>
      <c r="MUE526" s="901"/>
      <c r="MUF526" s="901"/>
      <c r="MUG526" s="901"/>
      <c r="MUH526" s="901"/>
      <c r="MUI526" s="901"/>
      <c r="MUJ526" s="901"/>
      <c r="MUK526" s="901"/>
      <c r="MUL526" s="901"/>
      <c r="MUM526" s="901"/>
      <c r="MUN526" s="901"/>
      <c r="MUO526" s="901"/>
      <c r="MUP526" s="901"/>
      <c r="MUQ526" s="901"/>
      <c r="MUR526" s="901"/>
      <c r="MUS526" s="901"/>
      <c r="MUT526" s="901"/>
      <c r="MUU526" s="901"/>
      <c r="MUV526" s="901"/>
      <c r="MUW526" s="901"/>
      <c r="MUX526" s="901"/>
      <c r="MUY526" s="901"/>
      <c r="MUZ526" s="901"/>
      <c r="MVA526" s="901"/>
      <c r="MVB526" s="901"/>
      <c r="MVC526" s="901"/>
      <c r="MVD526" s="901"/>
      <c r="MVE526" s="901"/>
      <c r="MVF526" s="901"/>
      <c r="MVG526" s="901"/>
      <c r="MVH526" s="901"/>
      <c r="MVI526" s="901"/>
      <c r="MVJ526" s="901"/>
      <c r="MVK526" s="901"/>
      <c r="MVL526" s="901"/>
      <c r="MVM526" s="901"/>
      <c r="MVN526" s="901"/>
      <c r="MVO526" s="901"/>
      <c r="MVP526" s="901"/>
      <c r="MVQ526" s="901"/>
      <c r="MVR526" s="901"/>
      <c r="MVS526" s="901"/>
      <c r="MVT526" s="901"/>
      <c r="MVU526" s="901"/>
      <c r="MVV526" s="901"/>
      <c r="MVW526" s="901"/>
      <c r="MVX526" s="901"/>
      <c r="MVY526" s="901"/>
      <c r="MVZ526" s="901"/>
      <c r="MWA526" s="901"/>
      <c r="MWB526" s="901"/>
      <c r="MWC526" s="901"/>
      <c r="MWD526" s="901"/>
      <c r="MWE526" s="901"/>
      <c r="MWF526" s="901"/>
      <c r="MWG526" s="901"/>
      <c r="MWH526" s="901"/>
      <c r="MWI526" s="901"/>
      <c r="MWJ526" s="901"/>
      <c r="MWK526" s="901"/>
      <c r="MWL526" s="901"/>
      <c r="MWM526" s="901"/>
      <c r="MWN526" s="901"/>
      <c r="MWO526" s="901"/>
      <c r="MWP526" s="901"/>
      <c r="MWQ526" s="901"/>
      <c r="MWR526" s="901"/>
      <c r="MWS526" s="901"/>
      <c r="MWT526" s="901"/>
      <c r="MWU526" s="901"/>
      <c r="MWV526" s="901"/>
      <c r="MWW526" s="901"/>
      <c r="MWX526" s="901"/>
      <c r="MWY526" s="901"/>
      <c r="MWZ526" s="901"/>
      <c r="MXA526" s="901"/>
      <c r="MXB526" s="901"/>
      <c r="MXC526" s="901"/>
      <c r="MXD526" s="901"/>
      <c r="MXE526" s="901"/>
      <c r="MXF526" s="901"/>
      <c r="MXG526" s="901"/>
      <c r="MXH526" s="901"/>
      <c r="MXI526" s="901"/>
      <c r="MXJ526" s="901"/>
      <c r="MXK526" s="901"/>
      <c r="MXL526" s="901"/>
      <c r="MXM526" s="901"/>
      <c r="MXN526" s="901"/>
      <c r="MXO526" s="901"/>
      <c r="MXP526" s="901"/>
      <c r="MXQ526" s="901"/>
      <c r="MXR526" s="901"/>
      <c r="MXS526" s="901"/>
      <c r="MXT526" s="901"/>
      <c r="MXU526" s="901"/>
      <c r="MXV526" s="901"/>
      <c r="MXW526" s="901"/>
      <c r="MXX526" s="901"/>
      <c r="MXY526" s="901"/>
      <c r="MXZ526" s="901"/>
      <c r="MYA526" s="901"/>
      <c r="MYB526" s="901"/>
      <c r="MYC526" s="901"/>
      <c r="MYD526" s="901"/>
      <c r="MYE526" s="901"/>
      <c r="MYF526" s="901"/>
      <c r="MYG526" s="901"/>
      <c r="MYH526" s="901"/>
      <c r="MYI526" s="901"/>
      <c r="MYJ526" s="901"/>
      <c r="MYK526" s="901"/>
      <c r="MYL526" s="901"/>
      <c r="MYM526" s="901"/>
      <c r="MYN526" s="901"/>
      <c r="MYO526" s="901"/>
      <c r="MYP526" s="901"/>
      <c r="MYQ526" s="901"/>
      <c r="MYR526" s="901"/>
      <c r="MYS526" s="901"/>
      <c r="MYT526" s="901"/>
      <c r="MYU526" s="901"/>
      <c r="MYV526" s="901"/>
      <c r="MYW526" s="901"/>
      <c r="MYX526" s="901"/>
      <c r="MYY526" s="901"/>
      <c r="MYZ526" s="901"/>
      <c r="MZA526" s="901"/>
      <c r="MZB526" s="901"/>
      <c r="MZC526" s="901"/>
      <c r="MZD526" s="901"/>
      <c r="MZE526" s="901"/>
      <c r="MZF526" s="901"/>
      <c r="MZG526" s="901"/>
      <c r="MZH526" s="901"/>
      <c r="MZI526" s="901"/>
      <c r="MZJ526" s="901"/>
      <c r="MZK526" s="901"/>
      <c r="MZL526" s="901"/>
      <c r="MZM526" s="901"/>
      <c r="MZN526" s="901"/>
      <c r="MZO526" s="901"/>
      <c r="MZP526" s="901"/>
      <c r="MZQ526" s="901"/>
      <c r="MZR526" s="901"/>
      <c r="MZS526" s="901"/>
      <c r="MZT526" s="901"/>
      <c r="MZU526" s="901"/>
      <c r="MZV526" s="901"/>
      <c r="MZW526" s="901"/>
      <c r="MZX526" s="901"/>
      <c r="MZY526" s="901"/>
      <c r="MZZ526" s="901"/>
      <c r="NAA526" s="901"/>
      <c r="NAB526" s="901"/>
      <c r="NAC526" s="901"/>
      <c r="NAD526" s="901"/>
      <c r="NAE526" s="901"/>
      <c r="NAF526" s="901"/>
      <c r="NAG526" s="901"/>
      <c r="NAH526" s="901"/>
      <c r="NAI526" s="901"/>
      <c r="NAJ526" s="901"/>
      <c r="NAK526" s="901"/>
      <c r="NAL526" s="901"/>
      <c r="NAM526" s="901"/>
      <c r="NAN526" s="901"/>
      <c r="NAO526" s="901"/>
      <c r="NAP526" s="901"/>
      <c r="NAQ526" s="901"/>
      <c r="NAR526" s="901"/>
      <c r="NAS526" s="901"/>
      <c r="NAT526" s="901"/>
      <c r="NAU526" s="901"/>
      <c r="NAV526" s="901"/>
      <c r="NAW526" s="901"/>
      <c r="NAX526" s="901"/>
      <c r="NAY526" s="901"/>
      <c r="NAZ526" s="901"/>
      <c r="NBA526" s="901"/>
      <c r="NBB526" s="901"/>
      <c r="NBC526" s="901"/>
      <c r="NBD526" s="901"/>
      <c r="NBE526" s="901"/>
      <c r="NBF526" s="901"/>
      <c r="NBG526" s="901"/>
      <c r="NBH526" s="901"/>
      <c r="NBI526" s="901"/>
      <c r="NBJ526" s="901"/>
      <c r="NBK526" s="901"/>
      <c r="NBL526" s="901"/>
      <c r="NBM526" s="901"/>
      <c r="NBN526" s="901"/>
      <c r="NBO526" s="901"/>
      <c r="NBP526" s="901"/>
      <c r="NBQ526" s="901"/>
      <c r="NBR526" s="901"/>
      <c r="NBS526" s="901"/>
      <c r="NBT526" s="901"/>
      <c r="NBU526" s="901"/>
      <c r="NBV526" s="901"/>
      <c r="NBW526" s="901"/>
      <c r="NBX526" s="901"/>
      <c r="NBY526" s="901"/>
      <c r="NBZ526" s="901"/>
      <c r="NCA526" s="901"/>
      <c r="NCB526" s="901"/>
      <c r="NCC526" s="901"/>
      <c r="NCD526" s="901"/>
      <c r="NCE526" s="901"/>
      <c r="NCF526" s="901"/>
      <c r="NCG526" s="901"/>
      <c r="NCH526" s="901"/>
      <c r="NCI526" s="901"/>
      <c r="NCJ526" s="901"/>
      <c r="NCK526" s="901"/>
      <c r="NCL526" s="901"/>
      <c r="NCM526" s="901"/>
      <c r="NCN526" s="901"/>
      <c r="NCO526" s="901"/>
      <c r="NCP526" s="901"/>
      <c r="NCQ526" s="901"/>
      <c r="NCR526" s="901"/>
      <c r="NCS526" s="901"/>
      <c r="NCT526" s="901"/>
      <c r="NCU526" s="901"/>
      <c r="NCV526" s="901"/>
      <c r="NCW526" s="901"/>
      <c r="NCX526" s="901"/>
      <c r="NCY526" s="901"/>
      <c r="NCZ526" s="901"/>
      <c r="NDA526" s="901"/>
      <c r="NDB526" s="901"/>
      <c r="NDC526" s="901"/>
      <c r="NDD526" s="901"/>
      <c r="NDE526" s="901"/>
      <c r="NDF526" s="901"/>
      <c r="NDG526" s="901"/>
      <c r="NDH526" s="901"/>
      <c r="NDI526" s="901"/>
      <c r="NDJ526" s="901"/>
      <c r="NDK526" s="901"/>
      <c r="NDL526" s="901"/>
      <c r="NDM526" s="901"/>
      <c r="NDN526" s="901"/>
      <c r="NDO526" s="901"/>
      <c r="NDP526" s="901"/>
      <c r="NDQ526" s="901"/>
      <c r="NDR526" s="901"/>
      <c r="NDS526" s="901"/>
      <c r="NDT526" s="901"/>
      <c r="NDU526" s="901"/>
      <c r="NDV526" s="901"/>
      <c r="NDW526" s="901"/>
      <c r="NDX526" s="901"/>
      <c r="NDY526" s="901"/>
      <c r="NDZ526" s="901"/>
      <c r="NEA526" s="901"/>
      <c r="NEB526" s="901"/>
      <c r="NEC526" s="901"/>
      <c r="NED526" s="901"/>
      <c r="NEE526" s="901"/>
      <c r="NEF526" s="901"/>
      <c r="NEG526" s="901"/>
      <c r="NEH526" s="901"/>
      <c r="NEI526" s="901"/>
      <c r="NEJ526" s="901"/>
      <c r="NEK526" s="901"/>
      <c r="NEL526" s="901"/>
      <c r="NEM526" s="901"/>
      <c r="NEN526" s="901"/>
      <c r="NEO526" s="901"/>
      <c r="NEP526" s="901"/>
      <c r="NEQ526" s="901"/>
      <c r="NER526" s="901"/>
      <c r="NES526" s="901"/>
      <c r="NET526" s="901"/>
      <c r="NEU526" s="901"/>
      <c r="NEV526" s="901"/>
      <c r="NEW526" s="901"/>
      <c r="NEX526" s="901"/>
      <c r="NEY526" s="901"/>
      <c r="NEZ526" s="901"/>
      <c r="NFA526" s="901"/>
      <c r="NFB526" s="901"/>
      <c r="NFC526" s="901"/>
      <c r="NFD526" s="901"/>
      <c r="NFE526" s="901"/>
      <c r="NFF526" s="901"/>
      <c r="NFG526" s="901"/>
      <c r="NFH526" s="901"/>
      <c r="NFI526" s="901"/>
      <c r="NFJ526" s="901"/>
      <c r="NFK526" s="901"/>
      <c r="NFL526" s="901"/>
      <c r="NFM526" s="901"/>
      <c r="NFN526" s="901"/>
      <c r="NFO526" s="901"/>
      <c r="NFP526" s="901"/>
      <c r="NFQ526" s="901"/>
      <c r="NFR526" s="901"/>
      <c r="NFS526" s="901"/>
      <c r="NFT526" s="901"/>
      <c r="NFU526" s="901"/>
      <c r="NFV526" s="901"/>
      <c r="NFW526" s="901"/>
      <c r="NFX526" s="901"/>
      <c r="NFY526" s="901"/>
      <c r="NFZ526" s="901"/>
      <c r="NGA526" s="901"/>
      <c r="NGB526" s="901"/>
      <c r="NGC526" s="901"/>
      <c r="NGD526" s="901"/>
      <c r="NGE526" s="901"/>
      <c r="NGF526" s="901"/>
      <c r="NGG526" s="901"/>
      <c r="NGH526" s="901"/>
      <c r="NGI526" s="901"/>
      <c r="NGJ526" s="901"/>
      <c r="NGK526" s="901"/>
      <c r="NGL526" s="901"/>
      <c r="NGM526" s="901"/>
      <c r="NGN526" s="901"/>
      <c r="NGO526" s="901"/>
      <c r="NGP526" s="901"/>
      <c r="NGQ526" s="901"/>
      <c r="NGR526" s="901"/>
      <c r="NGS526" s="901"/>
      <c r="NGT526" s="901"/>
      <c r="NGU526" s="901"/>
      <c r="NGV526" s="901"/>
      <c r="NGW526" s="901"/>
      <c r="NGX526" s="901"/>
      <c r="NGY526" s="901"/>
      <c r="NGZ526" s="901"/>
      <c r="NHA526" s="901"/>
      <c r="NHB526" s="901"/>
      <c r="NHC526" s="901"/>
      <c r="NHD526" s="901"/>
      <c r="NHE526" s="901"/>
      <c r="NHF526" s="901"/>
      <c r="NHG526" s="901"/>
      <c r="NHH526" s="901"/>
      <c r="NHI526" s="901"/>
      <c r="NHJ526" s="901"/>
      <c r="NHK526" s="901"/>
      <c r="NHL526" s="901"/>
      <c r="NHM526" s="901"/>
      <c r="NHN526" s="901"/>
      <c r="NHO526" s="901"/>
      <c r="NHP526" s="901"/>
      <c r="NHQ526" s="901"/>
      <c r="NHR526" s="901"/>
      <c r="NHS526" s="901"/>
      <c r="NHT526" s="901"/>
      <c r="NHU526" s="901"/>
      <c r="NHV526" s="901"/>
      <c r="NHW526" s="901"/>
      <c r="NHX526" s="901"/>
      <c r="NHY526" s="901"/>
      <c r="NHZ526" s="901"/>
      <c r="NIA526" s="901"/>
      <c r="NIB526" s="901"/>
      <c r="NIC526" s="901"/>
      <c r="NID526" s="901"/>
      <c r="NIE526" s="901"/>
      <c r="NIF526" s="901"/>
      <c r="NIG526" s="901"/>
      <c r="NIH526" s="901"/>
      <c r="NII526" s="901"/>
      <c r="NIJ526" s="901"/>
      <c r="NIK526" s="901"/>
      <c r="NIL526" s="901"/>
      <c r="NIM526" s="901"/>
      <c r="NIN526" s="901"/>
      <c r="NIO526" s="901"/>
      <c r="NIP526" s="901"/>
      <c r="NIQ526" s="901"/>
      <c r="NIR526" s="901"/>
      <c r="NIS526" s="901"/>
      <c r="NIT526" s="901"/>
      <c r="NIU526" s="901"/>
      <c r="NIV526" s="901"/>
      <c r="NIW526" s="901"/>
      <c r="NIX526" s="901"/>
      <c r="NIY526" s="901"/>
      <c r="NIZ526" s="901"/>
      <c r="NJA526" s="901"/>
      <c r="NJB526" s="901"/>
      <c r="NJC526" s="901"/>
      <c r="NJD526" s="901"/>
      <c r="NJE526" s="901"/>
      <c r="NJF526" s="901"/>
      <c r="NJG526" s="901"/>
      <c r="NJH526" s="901"/>
      <c r="NJI526" s="901"/>
      <c r="NJJ526" s="901"/>
      <c r="NJK526" s="901"/>
      <c r="NJL526" s="901"/>
      <c r="NJM526" s="901"/>
      <c r="NJN526" s="901"/>
      <c r="NJO526" s="901"/>
      <c r="NJP526" s="901"/>
      <c r="NJQ526" s="901"/>
      <c r="NJR526" s="901"/>
      <c r="NJS526" s="901"/>
      <c r="NJT526" s="901"/>
      <c r="NJU526" s="901"/>
      <c r="NJV526" s="901"/>
      <c r="NJW526" s="901"/>
      <c r="NJX526" s="901"/>
      <c r="NJY526" s="901"/>
      <c r="NJZ526" s="901"/>
      <c r="NKA526" s="901"/>
      <c r="NKB526" s="901"/>
      <c r="NKC526" s="901"/>
      <c r="NKD526" s="901"/>
      <c r="NKE526" s="901"/>
      <c r="NKF526" s="901"/>
      <c r="NKG526" s="901"/>
      <c r="NKH526" s="901"/>
      <c r="NKI526" s="901"/>
      <c r="NKJ526" s="901"/>
      <c r="NKK526" s="901"/>
      <c r="NKL526" s="901"/>
      <c r="NKM526" s="901"/>
      <c r="NKN526" s="901"/>
      <c r="NKO526" s="901"/>
      <c r="NKP526" s="901"/>
      <c r="NKQ526" s="901"/>
      <c r="NKR526" s="901"/>
      <c r="NKS526" s="901"/>
      <c r="NKT526" s="901"/>
      <c r="NKU526" s="901"/>
      <c r="NKV526" s="901"/>
      <c r="NKW526" s="901"/>
      <c r="NKX526" s="901"/>
      <c r="NKY526" s="901"/>
      <c r="NKZ526" s="901"/>
      <c r="NLA526" s="901"/>
      <c r="NLB526" s="901"/>
      <c r="NLC526" s="901"/>
      <c r="NLD526" s="901"/>
      <c r="NLE526" s="901"/>
      <c r="NLF526" s="901"/>
      <c r="NLG526" s="901"/>
      <c r="NLH526" s="901"/>
      <c r="NLI526" s="901"/>
      <c r="NLJ526" s="901"/>
      <c r="NLK526" s="901"/>
      <c r="NLL526" s="901"/>
      <c r="NLM526" s="901"/>
      <c r="NLN526" s="901"/>
      <c r="NLO526" s="901"/>
      <c r="NLP526" s="901"/>
      <c r="NLQ526" s="901"/>
      <c r="NLR526" s="901"/>
      <c r="NLS526" s="901"/>
      <c r="NLT526" s="901"/>
      <c r="NLU526" s="901"/>
      <c r="NLV526" s="901"/>
      <c r="NLW526" s="901"/>
      <c r="NLX526" s="901"/>
      <c r="NLY526" s="901"/>
      <c r="NLZ526" s="901"/>
      <c r="NMA526" s="901"/>
      <c r="NMB526" s="901"/>
      <c r="NMC526" s="901"/>
      <c r="NMD526" s="901"/>
      <c r="NME526" s="901"/>
      <c r="NMF526" s="901"/>
      <c r="NMG526" s="901"/>
      <c r="NMH526" s="901"/>
      <c r="NMI526" s="901"/>
      <c r="NMJ526" s="901"/>
      <c r="NMK526" s="901"/>
      <c r="NML526" s="901"/>
      <c r="NMM526" s="901"/>
      <c r="NMN526" s="901"/>
      <c r="NMO526" s="901"/>
      <c r="NMP526" s="901"/>
      <c r="NMQ526" s="901"/>
      <c r="NMR526" s="901"/>
      <c r="NMS526" s="901"/>
      <c r="NMT526" s="901"/>
      <c r="NMU526" s="901"/>
      <c r="NMV526" s="901"/>
      <c r="NMW526" s="901"/>
      <c r="NMX526" s="901"/>
      <c r="NMY526" s="901"/>
      <c r="NMZ526" s="901"/>
      <c r="NNA526" s="901"/>
      <c r="NNB526" s="901"/>
      <c r="NNC526" s="901"/>
      <c r="NND526" s="901"/>
      <c r="NNE526" s="901"/>
      <c r="NNF526" s="901"/>
      <c r="NNG526" s="901"/>
      <c r="NNH526" s="901"/>
      <c r="NNI526" s="901"/>
      <c r="NNJ526" s="901"/>
      <c r="NNK526" s="901"/>
      <c r="NNL526" s="901"/>
      <c r="NNM526" s="901"/>
      <c r="NNN526" s="901"/>
      <c r="NNO526" s="901"/>
      <c r="NNP526" s="901"/>
      <c r="NNQ526" s="901"/>
      <c r="NNR526" s="901"/>
      <c r="NNS526" s="901"/>
      <c r="NNT526" s="901"/>
      <c r="NNU526" s="901"/>
      <c r="NNV526" s="901"/>
      <c r="NNW526" s="901"/>
      <c r="NNX526" s="901"/>
      <c r="NNY526" s="901"/>
      <c r="NNZ526" s="901"/>
      <c r="NOA526" s="901"/>
      <c r="NOB526" s="901"/>
      <c r="NOC526" s="901"/>
      <c r="NOD526" s="901"/>
      <c r="NOE526" s="901"/>
      <c r="NOF526" s="901"/>
      <c r="NOG526" s="901"/>
      <c r="NOH526" s="901"/>
      <c r="NOI526" s="901"/>
      <c r="NOJ526" s="901"/>
      <c r="NOK526" s="901"/>
      <c r="NOL526" s="901"/>
      <c r="NOM526" s="901"/>
      <c r="NON526" s="901"/>
      <c r="NOO526" s="901"/>
      <c r="NOP526" s="901"/>
      <c r="NOQ526" s="901"/>
      <c r="NOR526" s="901"/>
      <c r="NOS526" s="901"/>
      <c r="NOT526" s="901"/>
      <c r="NOU526" s="901"/>
      <c r="NOV526" s="901"/>
      <c r="NOW526" s="901"/>
      <c r="NOX526" s="901"/>
      <c r="NOY526" s="901"/>
      <c r="NOZ526" s="901"/>
      <c r="NPA526" s="901"/>
      <c r="NPB526" s="901"/>
      <c r="NPC526" s="901"/>
      <c r="NPD526" s="901"/>
      <c r="NPE526" s="901"/>
      <c r="NPF526" s="901"/>
      <c r="NPG526" s="901"/>
      <c r="NPH526" s="901"/>
      <c r="NPI526" s="901"/>
      <c r="NPJ526" s="901"/>
      <c r="NPK526" s="901"/>
      <c r="NPL526" s="901"/>
      <c r="NPM526" s="901"/>
      <c r="NPN526" s="901"/>
      <c r="NPO526" s="901"/>
      <c r="NPP526" s="901"/>
      <c r="NPQ526" s="901"/>
      <c r="NPR526" s="901"/>
      <c r="NPS526" s="901"/>
      <c r="NPT526" s="901"/>
      <c r="NPU526" s="901"/>
      <c r="NPV526" s="901"/>
      <c r="NPW526" s="901"/>
      <c r="NPX526" s="901"/>
      <c r="NPY526" s="901"/>
      <c r="NPZ526" s="901"/>
      <c r="NQA526" s="901"/>
      <c r="NQB526" s="901"/>
      <c r="NQC526" s="901"/>
      <c r="NQD526" s="901"/>
      <c r="NQE526" s="901"/>
      <c r="NQF526" s="901"/>
      <c r="NQG526" s="901"/>
      <c r="NQH526" s="901"/>
      <c r="NQI526" s="901"/>
      <c r="NQJ526" s="901"/>
      <c r="NQK526" s="901"/>
      <c r="NQL526" s="901"/>
      <c r="NQM526" s="901"/>
      <c r="NQN526" s="901"/>
      <c r="NQO526" s="901"/>
      <c r="NQP526" s="901"/>
      <c r="NQQ526" s="901"/>
      <c r="NQR526" s="901"/>
      <c r="NQS526" s="901"/>
      <c r="NQT526" s="901"/>
      <c r="NQU526" s="901"/>
      <c r="NQV526" s="901"/>
      <c r="NQW526" s="901"/>
      <c r="NQX526" s="901"/>
      <c r="NQY526" s="901"/>
      <c r="NQZ526" s="901"/>
      <c r="NRA526" s="901"/>
      <c r="NRB526" s="901"/>
      <c r="NRC526" s="901"/>
      <c r="NRD526" s="901"/>
      <c r="NRE526" s="901"/>
      <c r="NRF526" s="901"/>
      <c r="NRG526" s="901"/>
      <c r="NRH526" s="901"/>
      <c r="NRI526" s="901"/>
      <c r="NRJ526" s="901"/>
      <c r="NRK526" s="901"/>
      <c r="NRL526" s="901"/>
      <c r="NRM526" s="901"/>
      <c r="NRN526" s="901"/>
      <c r="NRO526" s="901"/>
      <c r="NRP526" s="901"/>
      <c r="NRQ526" s="901"/>
      <c r="NRR526" s="901"/>
      <c r="NRS526" s="901"/>
      <c r="NRT526" s="901"/>
      <c r="NRU526" s="901"/>
      <c r="NRV526" s="901"/>
      <c r="NRW526" s="901"/>
      <c r="NRX526" s="901"/>
      <c r="NRY526" s="901"/>
      <c r="NRZ526" s="901"/>
      <c r="NSA526" s="901"/>
      <c r="NSB526" s="901"/>
      <c r="NSC526" s="901"/>
      <c r="NSD526" s="901"/>
      <c r="NSE526" s="901"/>
      <c r="NSF526" s="901"/>
      <c r="NSG526" s="901"/>
      <c r="NSH526" s="901"/>
      <c r="NSI526" s="901"/>
      <c r="NSJ526" s="901"/>
      <c r="NSK526" s="901"/>
      <c r="NSL526" s="901"/>
      <c r="NSM526" s="901"/>
      <c r="NSN526" s="901"/>
      <c r="NSO526" s="901"/>
      <c r="NSP526" s="901"/>
      <c r="NSQ526" s="901"/>
      <c r="NSR526" s="901"/>
      <c r="NSS526" s="901"/>
      <c r="NST526" s="901"/>
      <c r="NSU526" s="901"/>
      <c r="NSV526" s="901"/>
      <c r="NSW526" s="901"/>
      <c r="NSX526" s="901"/>
      <c r="NSY526" s="901"/>
      <c r="NSZ526" s="901"/>
      <c r="NTA526" s="901"/>
      <c r="NTB526" s="901"/>
      <c r="NTC526" s="901"/>
      <c r="NTD526" s="901"/>
      <c r="NTE526" s="901"/>
      <c r="NTF526" s="901"/>
      <c r="NTG526" s="901"/>
      <c r="NTH526" s="901"/>
      <c r="NTI526" s="901"/>
      <c r="NTJ526" s="901"/>
      <c r="NTK526" s="901"/>
      <c r="NTL526" s="901"/>
      <c r="NTM526" s="901"/>
      <c r="NTN526" s="901"/>
      <c r="NTO526" s="901"/>
      <c r="NTP526" s="901"/>
      <c r="NTQ526" s="901"/>
      <c r="NTR526" s="901"/>
      <c r="NTS526" s="901"/>
      <c r="NTT526" s="901"/>
      <c r="NTU526" s="901"/>
      <c r="NTV526" s="901"/>
      <c r="NTW526" s="901"/>
      <c r="NTX526" s="901"/>
      <c r="NTY526" s="901"/>
      <c r="NTZ526" s="901"/>
      <c r="NUA526" s="901"/>
      <c r="NUB526" s="901"/>
      <c r="NUC526" s="901"/>
      <c r="NUD526" s="901"/>
      <c r="NUE526" s="901"/>
      <c r="NUF526" s="901"/>
      <c r="NUG526" s="901"/>
      <c r="NUH526" s="901"/>
      <c r="NUI526" s="901"/>
      <c r="NUJ526" s="901"/>
      <c r="NUK526" s="901"/>
      <c r="NUL526" s="901"/>
      <c r="NUM526" s="901"/>
      <c r="NUN526" s="901"/>
      <c r="NUO526" s="901"/>
      <c r="NUP526" s="901"/>
      <c r="NUQ526" s="901"/>
      <c r="NUR526" s="901"/>
      <c r="NUS526" s="901"/>
      <c r="NUT526" s="901"/>
      <c r="NUU526" s="901"/>
      <c r="NUV526" s="901"/>
      <c r="NUW526" s="901"/>
      <c r="NUX526" s="901"/>
      <c r="NUY526" s="901"/>
      <c r="NUZ526" s="901"/>
      <c r="NVA526" s="901"/>
      <c r="NVB526" s="901"/>
      <c r="NVC526" s="901"/>
      <c r="NVD526" s="901"/>
      <c r="NVE526" s="901"/>
      <c r="NVF526" s="901"/>
      <c r="NVG526" s="901"/>
      <c r="NVH526" s="901"/>
      <c r="NVI526" s="901"/>
      <c r="NVJ526" s="901"/>
      <c r="NVK526" s="901"/>
      <c r="NVL526" s="901"/>
      <c r="NVM526" s="901"/>
      <c r="NVN526" s="901"/>
      <c r="NVO526" s="901"/>
      <c r="NVP526" s="901"/>
      <c r="NVQ526" s="901"/>
      <c r="NVR526" s="901"/>
      <c r="NVS526" s="901"/>
      <c r="NVT526" s="901"/>
      <c r="NVU526" s="901"/>
      <c r="NVV526" s="901"/>
      <c r="NVW526" s="901"/>
      <c r="NVX526" s="901"/>
      <c r="NVY526" s="901"/>
      <c r="NVZ526" s="901"/>
      <c r="NWA526" s="901"/>
      <c r="NWB526" s="901"/>
      <c r="NWC526" s="901"/>
      <c r="NWD526" s="901"/>
      <c r="NWE526" s="901"/>
      <c r="NWF526" s="901"/>
      <c r="NWG526" s="901"/>
      <c r="NWH526" s="901"/>
      <c r="NWI526" s="901"/>
      <c r="NWJ526" s="901"/>
      <c r="NWK526" s="901"/>
      <c r="NWL526" s="901"/>
      <c r="NWM526" s="901"/>
      <c r="NWN526" s="901"/>
      <c r="NWO526" s="901"/>
      <c r="NWP526" s="901"/>
      <c r="NWQ526" s="901"/>
      <c r="NWR526" s="901"/>
      <c r="NWS526" s="901"/>
      <c r="NWT526" s="901"/>
      <c r="NWU526" s="901"/>
      <c r="NWV526" s="901"/>
      <c r="NWW526" s="901"/>
      <c r="NWX526" s="901"/>
      <c r="NWY526" s="901"/>
      <c r="NWZ526" s="901"/>
      <c r="NXA526" s="901"/>
      <c r="NXB526" s="901"/>
      <c r="NXC526" s="901"/>
      <c r="NXD526" s="901"/>
      <c r="NXE526" s="901"/>
      <c r="NXF526" s="901"/>
      <c r="NXG526" s="901"/>
      <c r="NXH526" s="901"/>
      <c r="NXI526" s="901"/>
      <c r="NXJ526" s="901"/>
      <c r="NXK526" s="901"/>
      <c r="NXL526" s="901"/>
      <c r="NXM526" s="901"/>
      <c r="NXN526" s="901"/>
      <c r="NXO526" s="901"/>
      <c r="NXP526" s="901"/>
      <c r="NXQ526" s="901"/>
      <c r="NXR526" s="901"/>
      <c r="NXS526" s="901"/>
      <c r="NXT526" s="901"/>
      <c r="NXU526" s="901"/>
      <c r="NXV526" s="901"/>
      <c r="NXW526" s="901"/>
      <c r="NXX526" s="901"/>
      <c r="NXY526" s="901"/>
      <c r="NXZ526" s="901"/>
      <c r="NYA526" s="901"/>
      <c r="NYB526" s="901"/>
      <c r="NYC526" s="901"/>
      <c r="NYD526" s="901"/>
      <c r="NYE526" s="901"/>
      <c r="NYF526" s="901"/>
      <c r="NYG526" s="901"/>
      <c r="NYH526" s="901"/>
      <c r="NYI526" s="901"/>
      <c r="NYJ526" s="901"/>
      <c r="NYK526" s="901"/>
      <c r="NYL526" s="901"/>
      <c r="NYM526" s="901"/>
      <c r="NYN526" s="901"/>
      <c r="NYO526" s="901"/>
      <c r="NYP526" s="901"/>
      <c r="NYQ526" s="901"/>
      <c r="NYR526" s="901"/>
      <c r="NYS526" s="901"/>
      <c r="NYT526" s="901"/>
      <c r="NYU526" s="901"/>
      <c r="NYV526" s="901"/>
      <c r="NYW526" s="901"/>
      <c r="NYX526" s="901"/>
      <c r="NYY526" s="901"/>
      <c r="NYZ526" s="901"/>
      <c r="NZA526" s="901"/>
      <c r="NZB526" s="901"/>
      <c r="NZC526" s="901"/>
      <c r="NZD526" s="901"/>
      <c r="NZE526" s="901"/>
      <c r="NZF526" s="901"/>
      <c r="NZG526" s="901"/>
      <c r="NZH526" s="901"/>
      <c r="NZI526" s="901"/>
      <c r="NZJ526" s="901"/>
      <c r="NZK526" s="901"/>
      <c r="NZL526" s="901"/>
      <c r="NZM526" s="901"/>
      <c r="NZN526" s="901"/>
      <c r="NZO526" s="901"/>
      <c r="NZP526" s="901"/>
      <c r="NZQ526" s="901"/>
      <c r="NZR526" s="901"/>
      <c r="NZS526" s="901"/>
      <c r="NZT526" s="901"/>
      <c r="NZU526" s="901"/>
      <c r="NZV526" s="901"/>
      <c r="NZW526" s="901"/>
      <c r="NZX526" s="901"/>
      <c r="NZY526" s="901"/>
      <c r="NZZ526" s="901"/>
      <c r="OAA526" s="901"/>
      <c r="OAB526" s="901"/>
      <c r="OAC526" s="901"/>
      <c r="OAD526" s="901"/>
      <c r="OAE526" s="901"/>
      <c r="OAF526" s="901"/>
      <c r="OAG526" s="901"/>
      <c r="OAH526" s="901"/>
      <c r="OAI526" s="901"/>
      <c r="OAJ526" s="901"/>
      <c r="OAK526" s="901"/>
      <c r="OAL526" s="901"/>
      <c r="OAM526" s="901"/>
      <c r="OAN526" s="901"/>
      <c r="OAO526" s="901"/>
      <c r="OAP526" s="901"/>
      <c r="OAQ526" s="901"/>
      <c r="OAR526" s="901"/>
      <c r="OAS526" s="901"/>
      <c r="OAT526" s="901"/>
      <c r="OAU526" s="901"/>
      <c r="OAV526" s="901"/>
      <c r="OAW526" s="901"/>
      <c r="OAX526" s="901"/>
      <c r="OAY526" s="901"/>
      <c r="OAZ526" s="901"/>
      <c r="OBA526" s="901"/>
      <c r="OBB526" s="901"/>
      <c r="OBC526" s="901"/>
      <c r="OBD526" s="901"/>
      <c r="OBE526" s="901"/>
      <c r="OBF526" s="901"/>
      <c r="OBG526" s="901"/>
      <c r="OBH526" s="901"/>
      <c r="OBI526" s="901"/>
      <c r="OBJ526" s="901"/>
      <c r="OBK526" s="901"/>
      <c r="OBL526" s="901"/>
      <c r="OBM526" s="901"/>
      <c r="OBN526" s="901"/>
      <c r="OBO526" s="901"/>
      <c r="OBP526" s="901"/>
      <c r="OBQ526" s="901"/>
      <c r="OBR526" s="901"/>
      <c r="OBS526" s="901"/>
      <c r="OBT526" s="901"/>
      <c r="OBU526" s="901"/>
      <c r="OBV526" s="901"/>
      <c r="OBW526" s="901"/>
      <c r="OBX526" s="901"/>
      <c r="OBY526" s="901"/>
      <c r="OBZ526" s="901"/>
      <c r="OCA526" s="901"/>
      <c r="OCB526" s="901"/>
      <c r="OCC526" s="901"/>
      <c r="OCD526" s="901"/>
      <c r="OCE526" s="901"/>
      <c r="OCF526" s="901"/>
      <c r="OCG526" s="901"/>
      <c r="OCH526" s="901"/>
      <c r="OCI526" s="901"/>
      <c r="OCJ526" s="901"/>
      <c r="OCK526" s="901"/>
      <c r="OCL526" s="901"/>
      <c r="OCM526" s="901"/>
      <c r="OCN526" s="901"/>
      <c r="OCO526" s="901"/>
      <c r="OCP526" s="901"/>
      <c r="OCQ526" s="901"/>
      <c r="OCR526" s="901"/>
      <c r="OCS526" s="901"/>
      <c r="OCT526" s="901"/>
      <c r="OCU526" s="901"/>
      <c r="OCV526" s="901"/>
      <c r="OCW526" s="901"/>
      <c r="OCX526" s="901"/>
      <c r="OCY526" s="901"/>
      <c r="OCZ526" s="901"/>
      <c r="ODA526" s="901"/>
      <c r="ODB526" s="901"/>
      <c r="ODC526" s="901"/>
      <c r="ODD526" s="901"/>
      <c r="ODE526" s="901"/>
      <c r="ODF526" s="901"/>
      <c r="ODG526" s="901"/>
      <c r="ODH526" s="901"/>
      <c r="ODI526" s="901"/>
      <c r="ODJ526" s="901"/>
      <c r="ODK526" s="901"/>
      <c r="ODL526" s="901"/>
      <c r="ODM526" s="901"/>
      <c r="ODN526" s="901"/>
      <c r="ODO526" s="901"/>
      <c r="ODP526" s="901"/>
      <c r="ODQ526" s="901"/>
      <c r="ODR526" s="901"/>
      <c r="ODS526" s="901"/>
      <c r="ODT526" s="901"/>
      <c r="ODU526" s="901"/>
      <c r="ODV526" s="901"/>
      <c r="ODW526" s="901"/>
      <c r="ODX526" s="901"/>
      <c r="ODY526" s="901"/>
      <c r="ODZ526" s="901"/>
      <c r="OEA526" s="901"/>
      <c r="OEB526" s="901"/>
      <c r="OEC526" s="901"/>
      <c r="OED526" s="901"/>
      <c r="OEE526" s="901"/>
      <c r="OEF526" s="901"/>
      <c r="OEG526" s="901"/>
      <c r="OEH526" s="901"/>
      <c r="OEI526" s="901"/>
      <c r="OEJ526" s="901"/>
      <c r="OEK526" s="901"/>
      <c r="OEL526" s="901"/>
      <c r="OEM526" s="901"/>
      <c r="OEN526" s="901"/>
      <c r="OEO526" s="901"/>
      <c r="OEP526" s="901"/>
      <c r="OEQ526" s="901"/>
      <c r="OER526" s="901"/>
      <c r="OES526" s="901"/>
      <c r="OET526" s="901"/>
      <c r="OEU526" s="901"/>
      <c r="OEV526" s="901"/>
      <c r="OEW526" s="901"/>
      <c r="OEX526" s="901"/>
      <c r="OEY526" s="901"/>
      <c r="OEZ526" s="901"/>
      <c r="OFA526" s="901"/>
      <c r="OFB526" s="901"/>
      <c r="OFC526" s="901"/>
      <c r="OFD526" s="901"/>
      <c r="OFE526" s="901"/>
      <c r="OFF526" s="901"/>
      <c r="OFG526" s="901"/>
      <c r="OFH526" s="901"/>
      <c r="OFI526" s="901"/>
      <c r="OFJ526" s="901"/>
      <c r="OFK526" s="901"/>
      <c r="OFL526" s="901"/>
      <c r="OFM526" s="901"/>
      <c r="OFN526" s="901"/>
      <c r="OFO526" s="901"/>
      <c r="OFP526" s="901"/>
      <c r="OFQ526" s="901"/>
      <c r="OFR526" s="901"/>
      <c r="OFS526" s="901"/>
      <c r="OFT526" s="901"/>
      <c r="OFU526" s="901"/>
      <c r="OFV526" s="901"/>
      <c r="OFW526" s="901"/>
      <c r="OFX526" s="901"/>
      <c r="OFY526" s="901"/>
      <c r="OFZ526" s="901"/>
      <c r="OGA526" s="901"/>
      <c r="OGB526" s="901"/>
      <c r="OGC526" s="901"/>
      <c r="OGD526" s="901"/>
      <c r="OGE526" s="901"/>
      <c r="OGF526" s="901"/>
      <c r="OGG526" s="901"/>
      <c r="OGH526" s="901"/>
      <c r="OGI526" s="901"/>
      <c r="OGJ526" s="901"/>
      <c r="OGK526" s="901"/>
      <c r="OGL526" s="901"/>
      <c r="OGM526" s="901"/>
      <c r="OGN526" s="901"/>
      <c r="OGO526" s="901"/>
      <c r="OGP526" s="901"/>
      <c r="OGQ526" s="901"/>
      <c r="OGR526" s="901"/>
      <c r="OGS526" s="901"/>
      <c r="OGT526" s="901"/>
      <c r="OGU526" s="901"/>
      <c r="OGV526" s="901"/>
      <c r="OGW526" s="901"/>
      <c r="OGX526" s="901"/>
      <c r="OGY526" s="901"/>
      <c r="OGZ526" s="901"/>
      <c r="OHA526" s="901"/>
      <c r="OHB526" s="901"/>
      <c r="OHC526" s="901"/>
      <c r="OHD526" s="901"/>
      <c r="OHE526" s="901"/>
      <c r="OHF526" s="901"/>
      <c r="OHG526" s="901"/>
      <c r="OHH526" s="901"/>
      <c r="OHI526" s="901"/>
      <c r="OHJ526" s="901"/>
      <c r="OHK526" s="901"/>
      <c r="OHL526" s="901"/>
      <c r="OHM526" s="901"/>
      <c r="OHN526" s="901"/>
      <c r="OHO526" s="901"/>
      <c r="OHP526" s="901"/>
      <c r="OHQ526" s="901"/>
      <c r="OHR526" s="901"/>
      <c r="OHS526" s="901"/>
      <c r="OHT526" s="901"/>
      <c r="OHU526" s="901"/>
      <c r="OHV526" s="901"/>
      <c r="OHW526" s="901"/>
      <c r="OHX526" s="901"/>
      <c r="OHY526" s="901"/>
      <c r="OHZ526" s="901"/>
      <c r="OIA526" s="901"/>
      <c r="OIB526" s="901"/>
      <c r="OIC526" s="901"/>
      <c r="OID526" s="901"/>
      <c r="OIE526" s="901"/>
      <c r="OIF526" s="901"/>
      <c r="OIG526" s="901"/>
      <c r="OIH526" s="901"/>
      <c r="OII526" s="901"/>
      <c r="OIJ526" s="901"/>
      <c r="OIK526" s="901"/>
      <c r="OIL526" s="901"/>
      <c r="OIM526" s="901"/>
      <c r="OIN526" s="901"/>
      <c r="OIO526" s="901"/>
      <c r="OIP526" s="901"/>
      <c r="OIQ526" s="901"/>
      <c r="OIR526" s="901"/>
      <c r="OIS526" s="901"/>
      <c r="OIT526" s="901"/>
      <c r="OIU526" s="901"/>
      <c r="OIV526" s="901"/>
      <c r="OIW526" s="901"/>
      <c r="OIX526" s="901"/>
      <c r="OIY526" s="901"/>
      <c r="OIZ526" s="901"/>
      <c r="OJA526" s="901"/>
      <c r="OJB526" s="901"/>
      <c r="OJC526" s="901"/>
      <c r="OJD526" s="901"/>
      <c r="OJE526" s="901"/>
      <c r="OJF526" s="901"/>
      <c r="OJG526" s="901"/>
      <c r="OJH526" s="901"/>
      <c r="OJI526" s="901"/>
      <c r="OJJ526" s="901"/>
      <c r="OJK526" s="901"/>
      <c r="OJL526" s="901"/>
      <c r="OJM526" s="901"/>
      <c r="OJN526" s="901"/>
      <c r="OJO526" s="901"/>
      <c r="OJP526" s="901"/>
      <c r="OJQ526" s="901"/>
      <c r="OJR526" s="901"/>
      <c r="OJS526" s="901"/>
      <c r="OJT526" s="901"/>
      <c r="OJU526" s="901"/>
      <c r="OJV526" s="901"/>
      <c r="OJW526" s="901"/>
      <c r="OJX526" s="901"/>
      <c r="OJY526" s="901"/>
      <c r="OJZ526" s="901"/>
      <c r="OKA526" s="901"/>
      <c r="OKB526" s="901"/>
      <c r="OKC526" s="901"/>
      <c r="OKD526" s="901"/>
      <c r="OKE526" s="901"/>
      <c r="OKF526" s="901"/>
      <c r="OKG526" s="901"/>
      <c r="OKH526" s="901"/>
      <c r="OKI526" s="901"/>
      <c r="OKJ526" s="901"/>
      <c r="OKK526" s="901"/>
      <c r="OKL526" s="901"/>
      <c r="OKM526" s="901"/>
      <c r="OKN526" s="901"/>
      <c r="OKO526" s="901"/>
      <c r="OKP526" s="901"/>
      <c r="OKQ526" s="901"/>
      <c r="OKR526" s="901"/>
      <c r="OKS526" s="901"/>
      <c r="OKT526" s="901"/>
      <c r="OKU526" s="901"/>
      <c r="OKV526" s="901"/>
      <c r="OKW526" s="901"/>
      <c r="OKX526" s="901"/>
      <c r="OKY526" s="901"/>
      <c r="OKZ526" s="901"/>
      <c r="OLA526" s="901"/>
      <c r="OLB526" s="901"/>
      <c r="OLC526" s="901"/>
      <c r="OLD526" s="901"/>
      <c r="OLE526" s="901"/>
      <c r="OLF526" s="901"/>
      <c r="OLG526" s="901"/>
      <c r="OLH526" s="901"/>
      <c r="OLI526" s="901"/>
      <c r="OLJ526" s="901"/>
      <c r="OLK526" s="901"/>
      <c r="OLL526" s="901"/>
      <c r="OLM526" s="901"/>
      <c r="OLN526" s="901"/>
      <c r="OLO526" s="901"/>
      <c r="OLP526" s="901"/>
      <c r="OLQ526" s="901"/>
      <c r="OLR526" s="901"/>
      <c r="OLS526" s="901"/>
      <c r="OLT526" s="901"/>
      <c r="OLU526" s="901"/>
      <c r="OLV526" s="901"/>
      <c r="OLW526" s="901"/>
      <c r="OLX526" s="901"/>
      <c r="OLY526" s="901"/>
      <c r="OLZ526" s="901"/>
      <c r="OMA526" s="901"/>
      <c r="OMB526" s="901"/>
      <c r="OMC526" s="901"/>
      <c r="OMD526" s="901"/>
      <c r="OME526" s="901"/>
      <c r="OMF526" s="901"/>
      <c r="OMG526" s="901"/>
      <c r="OMH526" s="901"/>
      <c r="OMI526" s="901"/>
      <c r="OMJ526" s="901"/>
      <c r="OMK526" s="901"/>
      <c r="OML526" s="901"/>
      <c r="OMM526" s="901"/>
      <c r="OMN526" s="901"/>
      <c r="OMO526" s="901"/>
      <c r="OMP526" s="901"/>
      <c r="OMQ526" s="901"/>
      <c r="OMR526" s="901"/>
      <c r="OMS526" s="901"/>
      <c r="OMT526" s="901"/>
      <c r="OMU526" s="901"/>
      <c r="OMV526" s="901"/>
      <c r="OMW526" s="901"/>
      <c r="OMX526" s="901"/>
      <c r="OMY526" s="901"/>
      <c r="OMZ526" s="901"/>
      <c r="ONA526" s="901"/>
      <c r="ONB526" s="901"/>
      <c r="ONC526" s="901"/>
      <c r="OND526" s="901"/>
      <c r="ONE526" s="901"/>
      <c r="ONF526" s="901"/>
      <c r="ONG526" s="901"/>
      <c r="ONH526" s="901"/>
      <c r="ONI526" s="901"/>
      <c r="ONJ526" s="901"/>
      <c r="ONK526" s="901"/>
      <c r="ONL526" s="901"/>
      <c r="ONM526" s="901"/>
      <c r="ONN526" s="901"/>
      <c r="ONO526" s="901"/>
      <c r="ONP526" s="901"/>
      <c r="ONQ526" s="901"/>
      <c r="ONR526" s="901"/>
      <c r="ONS526" s="901"/>
      <c r="ONT526" s="901"/>
      <c r="ONU526" s="901"/>
      <c r="ONV526" s="901"/>
      <c r="ONW526" s="901"/>
      <c r="ONX526" s="901"/>
      <c r="ONY526" s="901"/>
      <c r="ONZ526" s="901"/>
      <c r="OOA526" s="901"/>
      <c r="OOB526" s="901"/>
      <c r="OOC526" s="901"/>
      <c r="OOD526" s="901"/>
      <c r="OOE526" s="901"/>
      <c r="OOF526" s="901"/>
      <c r="OOG526" s="901"/>
      <c r="OOH526" s="901"/>
      <c r="OOI526" s="901"/>
      <c r="OOJ526" s="901"/>
      <c r="OOK526" s="901"/>
      <c r="OOL526" s="901"/>
      <c r="OOM526" s="901"/>
      <c r="OON526" s="901"/>
      <c r="OOO526" s="901"/>
      <c r="OOP526" s="901"/>
      <c r="OOQ526" s="901"/>
      <c r="OOR526" s="901"/>
      <c r="OOS526" s="901"/>
      <c r="OOT526" s="901"/>
      <c r="OOU526" s="901"/>
      <c r="OOV526" s="901"/>
      <c r="OOW526" s="901"/>
      <c r="OOX526" s="901"/>
      <c r="OOY526" s="901"/>
      <c r="OOZ526" s="901"/>
      <c r="OPA526" s="901"/>
      <c r="OPB526" s="901"/>
      <c r="OPC526" s="901"/>
      <c r="OPD526" s="901"/>
      <c r="OPE526" s="901"/>
      <c r="OPF526" s="901"/>
      <c r="OPG526" s="901"/>
      <c r="OPH526" s="901"/>
      <c r="OPI526" s="901"/>
      <c r="OPJ526" s="901"/>
      <c r="OPK526" s="901"/>
      <c r="OPL526" s="901"/>
      <c r="OPM526" s="901"/>
      <c r="OPN526" s="901"/>
      <c r="OPO526" s="901"/>
      <c r="OPP526" s="901"/>
      <c r="OPQ526" s="901"/>
      <c r="OPR526" s="901"/>
      <c r="OPS526" s="901"/>
      <c r="OPT526" s="901"/>
      <c r="OPU526" s="901"/>
      <c r="OPV526" s="901"/>
      <c r="OPW526" s="901"/>
      <c r="OPX526" s="901"/>
      <c r="OPY526" s="901"/>
      <c r="OPZ526" s="901"/>
      <c r="OQA526" s="901"/>
      <c r="OQB526" s="901"/>
      <c r="OQC526" s="901"/>
      <c r="OQD526" s="901"/>
      <c r="OQE526" s="901"/>
      <c r="OQF526" s="901"/>
      <c r="OQG526" s="901"/>
      <c r="OQH526" s="901"/>
      <c r="OQI526" s="901"/>
      <c r="OQJ526" s="901"/>
      <c r="OQK526" s="901"/>
      <c r="OQL526" s="901"/>
      <c r="OQM526" s="901"/>
      <c r="OQN526" s="901"/>
      <c r="OQO526" s="901"/>
      <c r="OQP526" s="901"/>
      <c r="OQQ526" s="901"/>
      <c r="OQR526" s="901"/>
      <c r="OQS526" s="901"/>
      <c r="OQT526" s="901"/>
      <c r="OQU526" s="901"/>
      <c r="OQV526" s="901"/>
      <c r="OQW526" s="901"/>
      <c r="OQX526" s="901"/>
      <c r="OQY526" s="901"/>
      <c r="OQZ526" s="901"/>
      <c r="ORA526" s="901"/>
      <c r="ORB526" s="901"/>
      <c r="ORC526" s="901"/>
      <c r="ORD526" s="901"/>
      <c r="ORE526" s="901"/>
      <c r="ORF526" s="901"/>
      <c r="ORG526" s="901"/>
      <c r="ORH526" s="901"/>
      <c r="ORI526" s="901"/>
      <c r="ORJ526" s="901"/>
      <c r="ORK526" s="901"/>
      <c r="ORL526" s="901"/>
      <c r="ORM526" s="901"/>
      <c r="ORN526" s="901"/>
      <c r="ORO526" s="901"/>
      <c r="ORP526" s="901"/>
      <c r="ORQ526" s="901"/>
      <c r="ORR526" s="901"/>
      <c r="ORS526" s="901"/>
      <c r="ORT526" s="901"/>
      <c r="ORU526" s="901"/>
      <c r="ORV526" s="901"/>
      <c r="ORW526" s="901"/>
      <c r="ORX526" s="901"/>
      <c r="ORY526" s="901"/>
      <c r="ORZ526" s="901"/>
      <c r="OSA526" s="901"/>
      <c r="OSB526" s="901"/>
      <c r="OSC526" s="901"/>
      <c r="OSD526" s="901"/>
      <c r="OSE526" s="901"/>
      <c r="OSF526" s="901"/>
      <c r="OSG526" s="901"/>
      <c r="OSH526" s="901"/>
      <c r="OSI526" s="901"/>
      <c r="OSJ526" s="901"/>
      <c r="OSK526" s="901"/>
      <c r="OSL526" s="901"/>
      <c r="OSM526" s="901"/>
      <c r="OSN526" s="901"/>
      <c r="OSO526" s="901"/>
      <c r="OSP526" s="901"/>
      <c r="OSQ526" s="901"/>
      <c r="OSR526" s="901"/>
      <c r="OSS526" s="901"/>
      <c r="OST526" s="901"/>
      <c r="OSU526" s="901"/>
      <c r="OSV526" s="901"/>
      <c r="OSW526" s="901"/>
      <c r="OSX526" s="901"/>
      <c r="OSY526" s="901"/>
      <c r="OSZ526" s="901"/>
      <c r="OTA526" s="901"/>
      <c r="OTB526" s="901"/>
      <c r="OTC526" s="901"/>
      <c r="OTD526" s="901"/>
      <c r="OTE526" s="901"/>
      <c r="OTF526" s="901"/>
      <c r="OTG526" s="901"/>
      <c r="OTH526" s="901"/>
      <c r="OTI526" s="901"/>
      <c r="OTJ526" s="901"/>
      <c r="OTK526" s="901"/>
      <c r="OTL526" s="901"/>
      <c r="OTM526" s="901"/>
      <c r="OTN526" s="901"/>
      <c r="OTO526" s="901"/>
      <c r="OTP526" s="901"/>
      <c r="OTQ526" s="901"/>
      <c r="OTR526" s="901"/>
      <c r="OTS526" s="901"/>
      <c r="OTT526" s="901"/>
      <c r="OTU526" s="901"/>
      <c r="OTV526" s="901"/>
      <c r="OTW526" s="901"/>
      <c r="OTX526" s="901"/>
      <c r="OTY526" s="901"/>
      <c r="OTZ526" s="901"/>
      <c r="OUA526" s="901"/>
      <c r="OUB526" s="901"/>
      <c r="OUC526" s="901"/>
      <c r="OUD526" s="901"/>
      <c r="OUE526" s="901"/>
      <c r="OUF526" s="901"/>
      <c r="OUG526" s="901"/>
      <c r="OUH526" s="901"/>
      <c r="OUI526" s="901"/>
      <c r="OUJ526" s="901"/>
      <c r="OUK526" s="901"/>
      <c r="OUL526" s="901"/>
      <c r="OUM526" s="901"/>
      <c r="OUN526" s="901"/>
      <c r="OUO526" s="901"/>
      <c r="OUP526" s="901"/>
      <c r="OUQ526" s="901"/>
      <c r="OUR526" s="901"/>
      <c r="OUS526" s="901"/>
      <c r="OUT526" s="901"/>
      <c r="OUU526" s="901"/>
      <c r="OUV526" s="901"/>
      <c r="OUW526" s="901"/>
      <c r="OUX526" s="901"/>
      <c r="OUY526" s="901"/>
      <c r="OUZ526" s="901"/>
      <c r="OVA526" s="901"/>
      <c r="OVB526" s="901"/>
      <c r="OVC526" s="901"/>
      <c r="OVD526" s="901"/>
      <c r="OVE526" s="901"/>
      <c r="OVF526" s="901"/>
      <c r="OVG526" s="901"/>
      <c r="OVH526" s="901"/>
      <c r="OVI526" s="901"/>
      <c r="OVJ526" s="901"/>
      <c r="OVK526" s="901"/>
      <c r="OVL526" s="901"/>
      <c r="OVM526" s="901"/>
      <c r="OVN526" s="901"/>
      <c r="OVO526" s="901"/>
      <c r="OVP526" s="901"/>
      <c r="OVQ526" s="901"/>
      <c r="OVR526" s="901"/>
      <c r="OVS526" s="901"/>
      <c r="OVT526" s="901"/>
      <c r="OVU526" s="901"/>
      <c r="OVV526" s="901"/>
      <c r="OVW526" s="901"/>
      <c r="OVX526" s="901"/>
      <c r="OVY526" s="901"/>
      <c r="OVZ526" s="901"/>
      <c r="OWA526" s="901"/>
      <c r="OWB526" s="901"/>
      <c r="OWC526" s="901"/>
      <c r="OWD526" s="901"/>
      <c r="OWE526" s="901"/>
      <c r="OWF526" s="901"/>
      <c r="OWG526" s="901"/>
      <c r="OWH526" s="901"/>
      <c r="OWI526" s="901"/>
      <c r="OWJ526" s="901"/>
      <c r="OWK526" s="901"/>
      <c r="OWL526" s="901"/>
      <c r="OWM526" s="901"/>
      <c r="OWN526" s="901"/>
      <c r="OWO526" s="901"/>
      <c r="OWP526" s="901"/>
      <c r="OWQ526" s="901"/>
      <c r="OWR526" s="901"/>
      <c r="OWS526" s="901"/>
      <c r="OWT526" s="901"/>
      <c r="OWU526" s="901"/>
      <c r="OWV526" s="901"/>
      <c r="OWW526" s="901"/>
      <c r="OWX526" s="901"/>
      <c r="OWY526" s="901"/>
      <c r="OWZ526" s="901"/>
      <c r="OXA526" s="901"/>
      <c r="OXB526" s="901"/>
      <c r="OXC526" s="901"/>
      <c r="OXD526" s="901"/>
      <c r="OXE526" s="901"/>
      <c r="OXF526" s="901"/>
      <c r="OXG526" s="901"/>
      <c r="OXH526" s="901"/>
      <c r="OXI526" s="901"/>
      <c r="OXJ526" s="901"/>
      <c r="OXK526" s="901"/>
      <c r="OXL526" s="901"/>
      <c r="OXM526" s="901"/>
      <c r="OXN526" s="901"/>
      <c r="OXO526" s="901"/>
      <c r="OXP526" s="901"/>
      <c r="OXQ526" s="901"/>
      <c r="OXR526" s="901"/>
      <c r="OXS526" s="901"/>
      <c r="OXT526" s="901"/>
      <c r="OXU526" s="901"/>
      <c r="OXV526" s="901"/>
      <c r="OXW526" s="901"/>
      <c r="OXX526" s="901"/>
      <c r="OXY526" s="901"/>
      <c r="OXZ526" s="901"/>
      <c r="OYA526" s="901"/>
      <c r="OYB526" s="901"/>
      <c r="OYC526" s="901"/>
      <c r="OYD526" s="901"/>
      <c r="OYE526" s="901"/>
      <c r="OYF526" s="901"/>
      <c r="OYG526" s="901"/>
      <c r="OYH526" s="901"/>
      <c r="OYI526" s="901"/>
      <c r="OYJ526" s="901"/>
      <c r="OYK526" s="901"/>
      <c r="OYL526" s="901"/>
      <c r="OYM526" s="901"/>
      <c r="OYN526" s="901"/>
      <c r="OYO526" s="901"/>
      <c r="OYP526" s="901"/>
      <c r="OYQ526" s="901"/>
      <c r="OYR526" s="901"/>
      <c r="OYS526" s="901"/>
      <c r="OYT526" s="901"/>
      <c r="OYU526" s="901"/>
      <c r="OYV526" s="901"/>
      <c r="OYW526" s="901"/>
      <c r="OYX526" s="901"/>
      <c r="OYY526" s="901"/>
      <c r="OYZ526" s="901"/>
      <c r="OZA526" s="901"/>
      <c r="OZB526" s="901"/>
      <c r="OZC526" s="901"/>
      <c r="OZD526" s="901"/>
      <c r="OZE526" s="901"/>
      <c r="OZF526" s="901"/>
      <c r="OZG526" s="901"/>
      <c r="OZH526" s="901"/>
      <c r="OZI526" s="901"/>
      <c r="OZJ526" s="901"/>
      <c r="OZK526" s="901"/>
      <c r="OZL526" s="901"/>
      <c r="OZM526" s="901"/>
      <c r="OZN526" s="901"/>
      <c r="OZO526" s="901"/>
      <c r="OZP526" s="901"/>
      <c r="OZQ526" s="901"/>
      <c r="OZR526" s="901"/>
      <c r="OZS526" s="901"/>
      <c r="OZT526" s="901"/>
      <c r="OZU526" s="901"/>
      <c r="OZV526" s="901"/>
      <c r="OZW526" s="901"/>
      <c r="OZX526" s="901"/>
      <c r="OZY526" s="901"/>
      <c r="OZZ526" s="901"/>
      <c r="PAA526" s="901"/>
      <c r="PAB526" s="901"/>
      <c r="PAC526" s="901"/>
      <c r="PAD526" s="901"/>
      <c r="PAE526" s="901"/>
      <c r="PAF526" s="901"/>
      <c r="PAG526" s="901"/>
      <c r="PAH526" s="901"/>
      <c r="PAI526" s="901"/>
      <c r="PAJ526" s="901"/>
      <c r="PAK526" s="901"/>
      <c r="PAL526" s="901"/>
      <c r="PAM526" s="901"/>
      <c r="PAN526" s="901"/>
      <c r="PAO526" s="901"/>
      <c r="PAP526" s="901"/>
      <c r="PAQ526" s="901"/>
      <c r="PAR526" s="901"/>
      <c r="PAS526" s="901"/>
      <c r="PAT526" s="901"/>
      <c r="PAU526" s="901"/>
      <c r="PAV526" s="901"/>
      <c r="PAW526" s="901"/>
      <c r="PAX526" s="901"/>
      <c r="PAY526" s="901"/>
      <c r="PAZ526" s="901"/>
      <c r="PBA526" s="901"/>
      <c r="PBB526" s="901"/>
      <c r="PBC526" s="901"/>
      <c r="PBD526" s="901"/>
      <c r="PBE526" s="901"/>
      <c r="PBF526" s="901"/>
      <c r="PBG526" s="901"/>
      <c r="PBH526" s="901"/>
      <c r="PBI526" s="901"/>
      <c r="PBJ526" s="901"/>
      <c r="PBK526" s="901"/>
      <c r="PBL526" s="901"/>
      <c r="PBM526" s="901"/>
      <c r="PBN526" s="901"/>
      <c r="PBO526" s="901"/>
      <c r="PBP526" s="901"/>
      <c r="PBQ526" s="901"/>
      <c r="PBR526" s="901"/>
      <c r="PBS526" s="901"/>
      <c r="PBT526" s="901"/>
      <c r="PBU526" s="901"/>
      <c r="PBV526" s="901"/>
      <c r="PBW526" s="901"/>
      <c r="PBX526" s="901"/>
      <c r="PBY526" s="901"/>
      <c r="PBZ526" s="901"/>
      <c r="PCA526" s="901"/>
      <c r="PCB526" s="901"/>
      <c r="PCC526" s="901"/>
      <c r="PCD526" s="901"/>
      <c r="PCE526" s="901"/>
      <c r="PCF526" s="901"/>
      <c r="PCG526" s="901"/>
      <c r="PCH526" s="901"/>
      <c r="PCI526" s="901"/>
      <c r="PCJ526" s="901"/>
      <c r="PCK526" s="901"/>
      <c r="PCL526" s="901"/>
      <c r="PCM526" s="901"/>
      <c r="PCN526" s="901"/>
      <c r="PCO526" s="901"/>
      <c r="PCP526" s="901"/>
      <c r="PCQ526" s="901"/>
      <c r="PCR526" s="901"/>
      <c r="PCS526" s="901"/>
      <c r="PCT526" s="901"/>
      <c r="PCU526" s="901"/>
      <c r="PCV526" s="901"/>
      <c r="PCW526" s="901"/>
      <c r="PCX526" s="901"/>
      <c r="PCY526" s="901"/>
      <c r="PCZ526" s="901"/>
      <c r="PDA526" s="901"/>
      <c r="PDB526" s="901"/>
      <c r="PDC526" s="901"/>
      <c r="PDD526" s="901"/>
      <c r="PDE526" s="901"/>
      <c r="PDF526" s="901"/>
      <c r="PDG526" s="901"/>
      <c r="PDH526" s="901"/>
      <c r="PDI526" s="901"/>
      <c r="PDJ526" s="901"/>
      <c r="PDK526" s="901"/>
      <c r="PDL526" s="901"/>
      <c r="PDM526" s="901"/>
      <c r="PDN526" s="901"/>
      <c r="PDO526" s="901"/>
      <c r="PDP526" s="901"/>
      <c r="PDQ526" s="901"/>
      <c r="PDR526" s="901"/>
      <c r="PDS526" s="901"/>
      <c r="PDT526" s="901"/>
      <c r="PDU526" s="901"/>
      <c r="PDV526" s="901"/>
      <c r="PDW526" s="901"/>
      <c r="PDX526" s="901"/>
      <c r="PDY526" s="901"/>
      <c r="PDZ526" s="901"/>
      <c r="PEA526" s="901"/>
      <c r="PEB526" s="901"/>
      <c r="PEC526" s="901"/>
      <c r="PED526" s="901"/>
      <c r="PEE526" s="901"/>
      <c r="PEF526" s="901"/>
      <c r="PEG526" s="901"/>
      <c r="PEH526" s="901"/>
      <c r="PEI526" s="901"/>
      <c r="PEJ526" s="901"/>
      <c r="PEK526" s="901"/>
      <c r="PEL526" s="901"/>
      <c r="PEM526" s="901"/>
      <c r="PEN526" s="901"/>
      <c r="PEO526" s="901"/>
      <c r="PEP526" s="901"/>
      <c r="PEQ526" s="901"/>
      <c r="PER526" s="901"/>
      <c r="PES526" s="901"/>
      <c r="PET526" s="901"/>
      <c r="PEU526" s="901"/>
      <c r="PEV526" s="901"/>
      <c r="PEW526" s="901"/>
      <c r="PEX526" s="901"/>
      <c r="PEY526" s="901"/>
      <c r="PEZ526" s="901"/>
      <c r="PFA526" s="901"/>
      <c r="PFB526" s="901"/>
      <c r="PFC526" s="901"/>
      <c r="PFD526" s="901"/>
      <c r="PFE526" s="901"/>
      <c r="PFF526" s="901"/>
      <c r="PFG526" s="901"/>
      <c r="PFH526" s="901"/>
      <c r="PFI526" s="901"/>
      <c r="PFJ526" s="901"/>
      <c r="PFK526" s="901"/>
      <c r="PFL526" s="901"/>
      <c r="PFM526" s="901"/>
      <c r="PFN526" s="901"/>
      <c r="PFO526" s="901"/>
      <c r="PFP526" s="901"/>
      <c r="PFQ526" s="901"/>
      <c r="PFR526" s="901"/>
      <c r="PFS526" s="901"/>
      <c r="PFT526" s="901"/>
      <c r="PFU526" s="901"/>
      <c r="PFV526" s="901"/>
      <c r="PFW526" s="901"/>
      <c r="PFX526" s="901"/>
      <c r="PFY526" s="901"/>
      <c r="PFZ526" s="901"/>
      <c r="PGA526" s="901"/>
      <c r="PGB526" s="901"/>
      <c r="PGC526" s="901"/>
      <c r="PGD526" s="901"/>
      <c r="PGE526" s="901"/>
      <c r="PGF526" s="901"/>
      <c r="PGG526" s="901"/>
      <c r="PGH526" s="901"/>
      <c r="PGI526" s="901"/>
      <c r="PGJ526" s="901"/>
      <c r="PGK526" s="901"/>
      <c r="PGL526" s="901"/>
      <c r="PGM526" s="901"/>
      <c r="PGN526" s="901"/>
      <c r="PGO526" s="901"/>
      <c r="PGP526" s="901"/>
      <c r="PGQ526" s="901"/>
      <c r="PGR526" s="901"/>
      <c r="PGS526" s="901"/>
      <c r="PGT526" s="901"/>
      <c r="PGU526" s="901"/>
      <c r="PGV526" s="901"/>
      <c r="PGW526" s="901"/>
      <c r="PGX526" s="901"/>
      <c r="PGY526" s="901"/>
      <c r="PGZ526" s="901"/>
      <c r="PHA526" s="901"/>
      <c r="PHB526" s="901"/>
      <c r="PHC526" s="901"/>
      <c r="PHD526" s="901"/>
      <c r="PHE526" s="901"/>
      <c r="PHF526" s="901"/>
      <c r="PHG526" s="901"/>
      <c r="PHH526" s="901"/>
      <c r="PHI526" s="901"/>
      <c r="PHJ526" s="901"/>
      <c r="PHK526" s="901"/>
      <c r="PHL526" s="901"/>
      <c r="PHM526" s="901"/>
      <c r="PHN526" s="901"/>
      <c r="PHO526" s="901"/>
      <c r="PHP526" s="901"/>
      <c r="PHQ526" s="901"/>
      <c r="PHR526" s="901"/>
      <c r="PHS526" s="901"/>
      <c r="PHT526" s="901"/>
      <c r="PHU526" s="901"/>
      <c r="PHV526" s="901"/>
      <c r="PHW526" s="901"/>
      <c r="PHX526" s="901"/>
      <c r="PHY526" s="901"/>
      <c r="PHZ526" s="901"/>
      <c r="PIA526" s="901"/>
      <c r="PIB526" s="901"/>
      <c r="PIC526" s="901"/>
      <c r="PID526" s="901"/>
      <c r="PIE526" s="901"/>
      <c r="PIF526" s="901"/>
      <c r="PIG526" s="901"/>
      <c r="PIH526" s="901"/>
      <c r="PII526" s="901"/>
      <c r="PIJ526" s="901"/>
      <c r="PIK526" s="901"/>
      <c r="PIL526" s="901"/>
      <c r="PIM526" s="901"/>
      <c r="PIN526" s="901"/>
      <c r="PIO526" s="901"/>
      <c r="PIP526" s="901"/>
      <c r="PIQ526" s="901"/>
      <c r="PIR526" s="901"/>
      <c r="PIS526" s="901"/>
      <c r="PIT526" s="901"/>
      <c r="PIU526" s="901"/>
      <c r="PIV526" s="901"/>
      <c r="PIW526" s="901"/>
      <c r="PIX526" s="901"/>
      <c r="PIY526" s="901"/>
      <c r="PIZ526" s="901"/>
      <c r="PJA526" s="901"/>
      <c r="PJB526" s="901"/>
      <c r="PJC526" s="901"/>
      <c r="PJD526" s="901"/>
      <c r="PJE526" s="901"/>
      <c r="PJF526" s="901"/>
      <c r="PJG526" s="901"/>
      <c r="PJH526" s="901"/>
      <c r="PJI526" s="901"/>
      <c r="PJJ526" s="901"/>
      <c r="PJK526" s="901"/>
      <c r="PJL526" s="901"/>
      <c r="PJM526" s="901"/>
      <c r="PJN526" s="901"/>
      <c r="PJO526" s="901"/>
      <c r="PJP526" s="901"/>
      <c r="PJQ526" s="901"/>
      <c r="PJR526" s="901"/>
      <c r="PJS526" s="901"/>
      <c r="PJT526" s="901"/>
      <c r="PJU526" s="901"/>
      <c r="PJV526" s="901"/>
      <c r="PJW526" s="901"/>
      <c r="PJX526" s="901"/>
      <c r="PJY526" s="901"/>
      <c r="PJZ526" s="901"/>
      <c r="PKA526" s="901"/>
      <c r="PKB526" s="901"/>
      <c r="PKC526" s="901"/>
      <c r="PKD526" s="901"/>
      <c r="PKE526" s="901"/>
      <c r="PKF526" s="901"/>
      <c r="PKG526" s="901"/>
      <c r="PKH526" s="901"/>
      <c r="PKI526" s="901"/>
      <c r="PKJ526" s="901"/>
      <c r="PKK526" s="901"/>
      <c r="PKL526" s="901"/>
      <c r="PKM526" s="901"/>
      <c r="PKN526" s="901"/>
      <c r="PKO526" s="901"/>
      <c r="PKP526" s="901"/>
      <c r="PKQ526" s="901"/>
      <c r="PKR526" s="901"/>
      <c r="PKS526" s="901"/>
      <c r="PKT526" s="901"/>
      <c r="PKU526" s="901"/>
      <c r="PKV526" s="901"/>
      <c r="PKW526" s="901"/>
      <c r="PKX526" s="901"/>
      <c r="PKY526" s="901"/>
      <c r="PKZ526" s="901"/>
      <c r="PLA526" s="901"/>
      <c r="PLB526" s="901"/>
      <c r="PLC526" s="901"/>
      <c r="PLD526" s="901"/>
      <c r="PLE526" s="901"/>
      <c r="PLF526" s="901"/>
      <c r="PLG526" s="901"/>
      <c r="PLH526" s="901"/>
      <c r="PLI526" s="901"/>
      <c r="PLJ526" s="901"/>
      <c r="PLK526" s="901"/>
      <c r="PLL526" s="901"/>
      <c r="PLM526" s="901"/>
      <c r="PLN526" s="901"/>
      <c r="PLO526" s="901"/>
      <c r="PLP526" s="901"/>
      <c r="PLQ526" s="901"/>
      <c r="PLR526" s="901"/>
      <c r="PLS526" s="901"/>
      <c r="PLT526" s="901"/>
      <c r="PLU526" s="901"/>
      <c r="PLV526" s="901"/>
      <c r="PLW526" s="901"/>
      <c r="PLX526" s="901"/>
      <c r="PLY526" s="901"/>
      <c r="PLZ526" s="901"/>
      <c r="PMA526" s="901"/>
      <c r="PMB526" s="901"/>
      <c r="PMC526" s="901"/>
      <c r="PMD526" s="901"/>
      <c r="PME526" s="901"/>
      <c r="PMF526" s="901"/>
      <c r="PMG526" s="901"/>
      <c r="PMH526" s="901"/>
      <c r="PMI526" s="901"/>
      <c r="PMJ526" s="901"/>
      <c r="PMK526" s="901"/>
      <c r="PML526" s="901"/>
      <c r="PMM526" s="901"/>
      <c r="PMN526" s="901"/>
      <c r="PMO526" s="901"/>
      <c r="PMP526" s="901"/>
      <c r="PMQ526" s="901"/>
      <c r="PMR526" s="901"/>
      <c r="PMS526" s="901"/>
      <c r="PMT526" s="901"/>
      <c r="PMU526" s="901"/>
      <c r="PMV526" s="901"/>
      <c r="PMW526" s="901"/>
      <c r="PMX526" s="901"/>
      <c r="PMY526" s="901"/>
      <c r="PMZ526" s="901"/>
      <c r="PNA526" s="901"/>
      <c r="PNB526" s="901"/>
      <c r="PNC526" s="901"/>
      <c r="PND526" s="901"/>
      <c r="PNE526" s="901"/>
      <c r="PNF526" s="901"/>
      <c r="PNG526" s="901"/>
      <c r="PNH526" s="901"/>
      <c r="PNI526" s="901"/>
      <c r="PNJ526" s="901"/>
      <c r="PNK526" s="901"/>
      <c r="PNL526" s="901"/>
      <c r="PNM526" s="901"/>
      <c r="PNN526" s="901"/>
      <c r="PNO526" s="901"/>
      <c r="PNP526" s="901"/>
      <c r="PNQ526" s="901"/>
      <c r="PNR526" s="901"/>
      <c r="PNS526" s="901"/>
      <c r="PNT526" s="901"/>
      <c r="PNU526" s="901"/>
      <c r="PNV526" s="901"/>
      <c r="PNW526" s="901"/>
      <c r="PNX526" s="901"/>
      <c r="PNY526" s="901"/>
      <c r="PNZ526" s="901"/>
      <c r="POA526" s="901"/>
      <c r="POB526" s="901"/>
      <c r="POC526" s="901"/>
      <c r="POD526" s="901"/>
      <c r="POE526" s="901"/>
      <c r="POF526" s="901"/>
      <c r="POG526" s="901"/>
      <c r="POH526" s="901"/>
      <c r="POI526" s="901"/>
      <c r="POJ526" s="901"/>
      <c r="POK526" s="901"/>
      <c r="POL526" s="901"/>
      <c r="POM526" s="901"/>
      <c r="PON526" s="901"/>
      <c r="POO526" s="901"/>
      <c r="POP526" s="901"/>
      <c r="POQ526" s="901"/>
      <c r="POR526" s="901"/>
      <c r="POS526" s="901"/>
      <c r="POT526" s="901"/>
      <c r="POU526" s="901"/>
      <c r="POV526" s="901"/>
      <c r="POW526" s="901"/>
      <c r="POX526" s="901"/>
      <c r="POY526" s="901"/>
      <c r="POZ526" s="901"/>
      <c r="PPA526" s="901"/>
      <c r="PPB526" s="901"/>
      <c r="PPC526" s="901"/>
      <c r="PPD526" s="901"/>
      <c r="PPE526" s="901"/>
      <c r="PPF526" s="901"/>
      <c r="PPG526" s="901"/>
      <c r="PPH526" s="901"/>
      <c r="PPI526" s="901"/>
      <c r="PPJ526" s="901"/>
      <c r="PPK526" s="901"/>
      <c r="PPL526" s="901"/>
      <c r="PPM526" s="901"/>
      <c r="PPN526" s="901"/>
      <c r="PPO526" s="901"/>
      <c r="PPP526" s="901"/>
      <c r="PPQ526" s="901"/>
      <c r="PPR526" s="901"/>
      <c r="PPS526" s="901"/>
      <c r="PPT526" s="901"/>
      <c r="PPU526" s="901"/>
      <c r="PPV526" s="901"/>
      <c r="PPW526" s="901"/>
      <c r="PPX526" s="901"/>
      <c r="PPY526" s="901"/>
      <c r="PPZ526" s="901"/>
      <c r="PQA526" s="901"/>
      <c r="PQB526" s="901"/>
      <c r="PQC526" s="901"/>
      <c r="PQD526" s="901"/>
      <c r="PQE526" s="901"/>
      <c r="PQF526" s="901"/>
      <c r="PQG526" s="901"/>
      <c r="PQH526" s="901"/>
      <c r="PQI526" s="901"/>
      <c r="PQJ526" s="901"/>
      <c r="PQK526" s="901"/>
      <c r="PQL526" s="901"/>
      <c r="PQM526" s="901"/>
      <c r="PQN526" s="901"/>
      <c r="PQO526" s="901"/>
      <c r="PQP526" s="901"/>
      <c r="PQQ526" s="901"/>
      <c r="PQR526" s="901"/>
      <c r="PQS526" s="901"/>
      <c r="PQT526" s="901"/>
      <c r="PQU526" s="901"/>
      <c r="PQV526" s="901"/>
      <c r="PQW526" s="901"/>
      <c r="PQX526" s="901"/>
      <c r="PQY526" s="901"/>
      <c r="PQZ526" s="901"/>
      <c r="PRA526" s="901"/>
      <c r="PRB526" s="901"/>
      <c r="PRC526" s="901"/>
      <c r="PRD526" s="901"/>
      <c r="PRE526" s="901"/>
      <c r="PRF526" s="901"/>
      <c r="PRG526" s="901"/>
      <c r="PRH526" s="901"/>
      <c r="PRI526" s="901"/>
      <c r="PRJ526" s="901"/>
      <c r="PRK526" s="901"/>
      <c r="PRL526" s="901"/>
      <c r="PRM526" s="901"/>
      <c r="PRN526" s="901"/>
      <c r="PRO526" s="901"/>
      <c r="PRP526" s="901"/>
      <c r="PRQ526" s="901"/>
      <c r="PRR526" s="901"/>
      <c r="PRS526" s="901"/>
      <c r="PRT526" s="901"/>
      <c r="PRU526" s="901"/>
      <c r="PRV526" s="901"/>
      <c r="PRW526" s="901"/>
      <c r="PRX526" s="901"/>
      <c r="PRY526" s="901"/>
      <c r="PRZ526" s="901"/>
      <c r="PSA526" s="901"/>
      <c r="PSB526" s="901"/>
      <c r="PSC526" s="901"/>
      <c r="PSD526" s="901"/>
      <c r="PSE526" s="901"/>
      <c r="PSF526" s="901"/>
      <c r="PSG526" s="901"/>
      <c r="PSH526" s="901"/>
      <c r="PSI526" s="901"/>
      <c r="PSJ526" s="901"/>
      <c r="PSK526" s="901"/>
      <c r="PSL526" s="901"/>
      <c r="PSM526" s="901"/>
      <c r="PSN526" s="901"/>
      <c r="PSO526" s="901"/>
      <c r="PSP526" s="901"/>
      <c r="PSQ526" s="901"/>
      <c r="PSR526" s="901"/>
      <c r="PSS526" s="901"/>
      <c r="PST526" s="901"/>
      <c r="PSU526" s="901"/>
      <c r="PSV526" s="901"/>
      <c r="PSW526" s="901"/>
      <c r="PSX526" s="901"/>
      <c r="PSY526" s="901"/>
      <c r="PSZ526" s="901"/>
      <c r="PTA526" s="901"/>
      <c r="PTB526" s="901"/>
      <c r="PTC526" s="901"/>
      <c r="PTD526" s="901"/>
      <c r="PTE526" s="901"/>
      <c r="PTF526" s="901"/>
      <c r="PTG526" s="901"/>
      <c r="PTH526" s="901"/>
      <c r="PTI526" s="901"/>
      <c r="PTJ526" s="901"/>
      <c r="PTK526" s="901"/>
      <c r="PTL526" s="901"/>
      <c r="PTM526" s="901"/>
      <c r="PTN526" s="901"/>
      <c r="PTO526" s="901"/>
      <c r="PTP526" s="901"/>
      <c r="PTQ526" s="901"/>
      <c r="PTR526" s="901"/>
      <c r="PTS526" s="901"/>
      <c r="PTT526" s="901"/>
      <c r="PTU526" s="901"/>
      <c r="PTV526" s="901"/>
      <c r="PTW526" s="901"/>
      <c r="PTX526" s="901"/>
      <c r="PTY526" s="901"/>
      <c r="PTZ526" s="901"/>
      <c r="PUA526" s="901"/>
      <c r="PUB526" s="901"/>
      <c r="PUC526" s="901"/>
      <c r="PUD526" s="901"/>
      <c r="PUE526" s="901"/>
      <c r="PUF526" s="901"/>
      <c r="PUG526" s="901"/>
      <c r="PUH526" s="901"/>
      <c r="PUI526" s="901"/>
      <c r="PUJ526" s="901"/>
      <c r="PUK526" s="901"/>
      <c r="PUL526" s="901"/>
      <c r="PUM526" s="901"/>
      <c r="PUN526" s="901"/>
      <c r="PUO526" s="901"/>
      <c r="PUP526" s="901"/>
      <c r="PUQ526" s="901"/>
      <c r="PUR526" s="901"/>
      <c r="PUS526" s="901"/>
      <c r="PUT526" s="901"/>
      <c r="PUU526" s="901"/>
      <c r="PUV526" s="901"/>
      <c r="PUW526" s="901"/>
      <c r="PUX526" s="901"/>
      <c r="PUY526" s="901"/>
      <c r="PUZ526" s="901"/>
      <c r="PVA526" s="901"/>
      <c r="PVB526" s="901"/>
      <c r="PVC526" s="901"/>
      <c r="PVD526" s="901"/>
      <c r="PVE526" s="901"/>
      <c r="PVF526" s="901"/>
      <c r="PVG526" s="901"/>
      <c r="PVH526" s="901"/>
      <c r="PVI526" s="901"/>
      <c r="PVJ526" s="901"/>
      <c r="PVK526" s="901"/>
      <c r="PVL526" s="901"/>
      <c r="PVM526" s="901"/>
      <c r="PVN526" s="901"/>
      <c r="PVO526" s="901"/>
      <c r="PVP526" s="901"/>
      <c r="PVQ526" s="901"/>
      <c r="PVR526" s="901"/>
      <c r="PVS526" s="901"/>
      <c r="PVT526" s="901"/>
      <c r="PVU526" s="901"/>
      <c r="PVV526" s="901"/>
      <c r="PVW526" s="901"/>
      <c r="PVX526" s="901"/>
      <c r="PVY526" s="901"/>
      <c r="PVZ526" s="901"/>
      <c r="PWA526" s="901"/>
      <c r="PWB526" s="901"/>
      <c r="PWC526" s="901"/>
      <c r="PWD526" s="901"/>
      <c r="PWE526" s="901"/>
      <c r="PWF526" s="901"/>
      <c r="PWG526" s="901"/>
      <c r="PWH526" s="901"/>
      <c r="PWI526" s="901"/>
      <c r="PWJ526" s="901"/>
      <c r="PWK526" s="901"/>
      <c r="PWL526" s="901"/>
      <c r="PWM526" s="901"/>
      <c r="PWN526" s="901"/>
      <c r="PWO526" s="901"/>
      <c r="PWP526" s="901"/>
      <c r="PWQ526" s="901"/>
      <c r="PWR526" s="901"/>
      <c r="PWS526" s="901"/>
      <c r="PWT526" s="901"/>
      <c r="PWU526" s="901"/>
      <c r="PWV526" s="901"/>
      <c r="PWW526" s="901"/>
      <c r="PWX526" s="901"/>
      <c r="PWY526" s="901"/>
      <c r="PWZ526" s="901"/>
      <c r="PXA526" s="901"/>
      <c r="PXB526" s="901"/>
      <c r="PXC526" s="901"/>
      <c r="PXD526" s="901"/>
      <c r="PXE526" s="901"/>
      <c r="PXF526" s="901"/>
      <c r="PXG526" s="901"/>
      <c r="PXH526" s="901"/>
      <c r="PXI526" s="901"/>
      <c r="PXJ526" s="901"/>
      <c r="PXK526" s="901"/>
      <c r="PXL526" s="901"/>
      <c r="PXM526" s="901"/>
      <c r="PXN526" s="901"/>
      <c r="PXO526" s="901"/>
      <c r="PXP526" s="901"/>
      <c r="PXQ526" s="901"/>
      <c r="PXR526" s="901"/>
      <c r="PXS526" s="901"/>
      <c r="PXT526" s="901"/>
      <c r="PXU526" s="901"/>
      <c r="PXV526" s="901"/>
      <c r="PXW526" s="901"/>
      <c r="PXX526" s="901"/>
      <c r="PXY526" s="901"/>
      <c r="PXZ526" s="901"/>
      <c r="PYA526" s="901"/>
      <c r="PYB526" s="901"/>
      <c r="PYC526" s="901"/>
      <c r="PYD526" s="901"/>
      <c r="PYE526" s="901"/>
      <c r="PYF526" s="901"/>
      <c r="PYG526" s="901"/>
      <c r="PYH526" s="901"/>
      <c r="PYI526" s="901"/>
      <c r="PYJ526" s="901"/>
      <c r="PYK526" s="901"/>
      <c r="PYL526" s="901"/>
      <c r="PYM526" s="901"/>
      <c r="PYN526" s="901"/>
      <c r="PYO526" s="901"/>
      <c r="PYP526" s="901"/>
      <c r="PYQ526" s="901"/>
      <c r="PYR526" s="901"/>
      <c r="PYS526" s="901"/>
      <c r="PYT526" s="901"/>
      <c r="PYU526" s="901"/>
      <c r="PYV526" s="901"/>
      <c r="PYW526" s="901"/>
      <c r="PYX526" s="901"/>
      <c r="PYY526" s="901"/>
      <c r="PYZ526" s="901"/>
      <c r="PZA526" s="901"/>
      <c r="PZB526" s="901"/>
      <c r="PZC526" s="901"/>
      <c r="PZD526" s="901"/>
      <c r="PZE526" s="901"/>
      <c r="PZF526" s="901"/>
      <c r="PZG526" s="901"/>
      <c r="PZH526" s="901"/>
      <c r="PZI526" s="901"/>
      <c r="PZJ526" s="901"/>
      <c r="PZK526" s="901"/>
      <c r="PZL526" s="901"/>
      <c r="PZM526" s="901"/>
      <c r="PZN526" s="901"/>
      <c r="PZO526" s="901"/>
      <c r="PZP526" s="901"/>
      <c r="PZQ526" s="901"/>
      <c r="PZR526" s="901"/>
      <c r="PZS526" s="901"/>
      <c r="PZT526" s="901"/>
      <c r="PZU526" s="901"/>
      <c r="PZV526" s="901"/>
      <c r="PZW526" s="901"/>
      <c r="PZX526" s="901"/>
      <c r="PZY526" s="901"/>
      <c r="PZZ526" s="901"/>
      <c r="QAA526" s="901"/>
      <c r="QAB526" s="901"/>
      <c r="QAC526" s="901"/>
      <c r="QAD526" s="901"/>
      <c r="QAE526" s="901"/>
      <c r="QAF526" s="901"/>
      <c r="QAG526" s="901"/>
      <c r="QAH526" s="901"/>
      <c r="QAI526" s="901"/>
      <c r="QAJ526" s="901"/>
      <c r="QAK526" s="901"/>
      <c r="QAL526" s="901"/>
      <c r="QAM526" s="901"/>
      <c r="QAN526" s="901"/>
      <c r="QAO526" s="901"/>
      <c r="QAP526" s="901"/>
      <c r="QAQ526" s="901"/>
      <c r="QAR526" s="901"/>
      <c r="QAS526" s="901"/>
      <c r="QAT526" s="901"/>
      <c r="QAU526" s="901"/>
      <c r="QAV526" s="901"/>
      <c r="QAW526" s="901"/>
      <c r="QAX526" s="901"/>
      <c r="QAY526" s="901"/>
      <c r="QAZ526" s="901"/>
      <c r="QBA526" s="901"/>
      <c r="QBB526" s="901"/>
      <c r="QBC526" s="901"/>
      <c r="QBD526" s="901"/>
      <c r="QBE526" s="901"/>
      <c r="QBF526" s="901"/>
      <c r="QBG526" s="901"/>
      <c r="QBH526" s="901"/>
      <c r="QBI526" s="901"/>
      <c r="QBJ526" s="901"/>
      <c r="QBK526" s="901"/>
      <c r="QBL526" s="901"/>
      <c r="QBM526" s="901"/>
      <c r="QBN526" s="901"/>
      <c r="QBO526" s="901"/>
      <c r="QBP526" s="901"/>
      <c r="QBQ526" s="901"/>
      <c r="QBR526" s="901"/>
      <c r="QBS526" s="901"/>
      <c r="QBT526" s="901"/>
      <c r="QBU526" s="901"/>
      <c r="QBV526" s="901"/>
      <c r="QBW526" s="901"/>
      <c r="QBX526" s="901"/>
      <c r="QBY526" s="901"/>
      <c r="QBZ526" s="901"/>
      <c r="QCA526" s="901"/>
      <c r="QCB526" s="901"/>
      <c r="QCC526" s="901"/>
      <c r="QCD526" s="901"/>
      <c r="QCE526" s="901"/>
      <c r="QCF526" s="901"/>
      <c r="QCG526" s="901"/>
      <c r="QCH526" s="901"/>
      <c r="QCI526" s="901"/>
      <c r="QCJ526" s="901"/>
      <c r="QCK526" s="901"/>
      <c r="QCL526" s="901"/>
      <c r="QCM526" s="901"/>
      <c r="QCN526" s="901"/>
      <c r="QCO526" s="901"/>
      <c r="QCP526" s="901"/>
      <c r="QCQ526" s="901"/>
      <c r="QCR526" s="901"/>
      <c r="QCS526" s="901"/>
      <c r="QCT526" s="901"/>
      <c r="QCU526" s="901"/>
      <c r="QCV526" s="901"/>
      <c r="QCW526" s="901"/>
      <c r="QCX526" s="901"/>
      <c r="QCY526" s="901"/>
      <c r="QCZ526" s="901"/>
      <c r="QDA526" s="901"/>
      <c r="QDB526" s="901"/>
      <c r="QDC526" s="901"/>
      <c r="QDD526" s="901"/>
      <c r="QDE526" s="901"/>
      <c r="QDF526" s="901"/>
      <c r="QDG526" s="901"/>
      <c r="QDH526" s="901"/>
      <c r="QDI526" s="901"/>
      <c r="QDJ526" s="901"/>
      <c r="QDK526" s="901"/>
      <c r="QDL526" s="901"/>
      <c r="QDM526" s="901"/>
      <c r="QDN526" s="901"/>
      <c r="QDO526" s="901"/>
      <c r="QDP526" s="901"/>
      <c r="QDQ526" s="901"/>
      <c r="QDR526" s="901"/>
      <c r="QDS526" s="901"/>
      <c r="QDT526" s="901"/>
      <c r="QDU526" s="901"/>
      <c r="QDV526" s="901"/>
      <c r="QDW526" s="901"/>
      <c r="QDX526" s="901"/>
      <c r="QDY526" s="901"/>
      <c r="QDZ526" s="901"/>
      <c r="QEA526" s="901"/>
      <c r="QEB526" s="901"/>
      <c r="QEC526" s="901"/>
      <c r="QED526" s="901"/>
      <c r="QEE526" s="901"/>
      <c r="QEF526" s="901"/>
      <c r="QEG526" s="901"/>
      <c r="QEH526" s="901"/>
      <c r="QEI526" s="901"/>
      <c r="QEJ526" s="901"/>
      <c r="QEK526" s="901"/>
      <c r="QEL526" s="901"/>
      <c r="QEM526" s="901"/>
      <c r="QEN526" s="901"/>
      <c r="QEO526" s="901"/>
      <c r="QEP526" s="901"/>
      <c r="QEQ526" s="901"/>
      <c r="QER526" s="901"/>
      <c r="QES526" s="901"/>
      <c r="QET526" s="901"/>
      <c r="QEU526" s="901"/>
      <c r="QEV526" s="901"/>
      <c r="QEW526" s="901"/>
      <c r="QEX526" s="901"/>
      <c r="QEY526" s="901"/>
      <c r="QEZ526" s="901"/>
      <c r="QFA526" s="901"/>
      <c r="QFB526" s="901"/>
      <c r="QFC526" s="901"/>
      <c r="QFD526" s="901"/>
      <c r="QFE526" s="901"/>
      <c r="QFF526" s="901"/>
      <c r="QFG526" s="901"/>
      <c r="QFH526" s="901"/>
      <c r="QFI526" s="901"/>
      <c r="QFJ526" s="901"/>
      <c r="QFK526" s="901"/>
      <c r="QFL526" s="901"/>
      <c r="QFM526" s="901"/>
      <c r="QFN526" s="901"/>
      <c r="QFO526" s="901"/>
      <c r="QFP526" s="901"/>
      <c r="QFQ526" s="901"/>
      <c r="QFR526" s="901"/>
      <c r="QFS526" s="901"/>
      <c r="QFT526" s="901"/>
      <c r="QFU526" s="901"/>
      <c r="QFV526" s="901"/>
      <c r="QFW526" s="901"/>
      <c r="QFX526" s="901"/>
      <c r="QFY526" s="901"/>
      <c r="QFZ526" s="901"/>
      <c r="QGA526" s="901"/>
      <c r="QGB526" s="901"/>
      <c r="QGC526" s="901"/>
      <c r="QGD526" s="901"/>
      <c r="QGE526" s="901"/>
      <c r="QGF526" s="901"/>
      <c r="QGG526" s="901"/>
      <c r="QGH526" s="901"/>
      <c r="QGI526" s="901"/>
      <c r="QGJ526" s="901"/>
      <c r="QGK526" s="901"/>
      <c r="QGL526" s="901"/>
      <c r="QGM526" s="901"/>
      <c r="QGN526" s="901"/>
      <c r="QGO526" s="901"/>
      <c r="QGP526" s="901"/>
      <c r="QGQ526" s="901"/>
      <c r="QGR526" s="901"/>
      <c r="QGS526" s="901"/>
      <c r="QGT526" s="901"/>
      <c r="QGU526" s="901"/>
      <c r="QGV526" s="901"/>
      <c r="QGW526" s="901"/>
      <c r="QGX526" s="901"/>
      <c r="QGY526" s="901"/>
      <c r="QGZ526" s="901"/>
      <c r="QHA526" s="901"/>
      <c r="QHB526" s="901"/>
      <c r="QHC526" s="901"/>
      <c r="QHD526" s="901"/>
      <c r="QHE526" s="901"/>
      <c r="QHF526" s="901"/>
      <c r="QHG526" s="901"/>
      <c r="QHH526" s="901"/>
      <c r="QHI526" s="901"/>
      <c r="QHJ526" s="901"/>
      <c r="QHK526" s="901"/>
      <c r="QHL526" s="901"/>
      <c r="QHM526" s="901"/>
      <c r="QHN526" s="901"/>
      <c r="QHO526" s="901"/>
      <c r="QHP526" s="901"/>
      <c r="QHQ526" s="901"/>
      <c r="QHR526" s="901"/>
      <c r="QHS526" s="901"/>
      <c r="QHT526" s="901"/>
      <c r="QHU526" s="901"/>
      <c r="QHV526" s="901"/>
      <c r="QHW526" s="901"/>
      <c r="QHX526" s="901"/>
      <c r="QHY526" s="901"/>
      <c r="QHZ526" s="901"/>
      <c r="QIA526" s="901"/>
      <c r="QIB526" s="901"/>
      <c r="QIC526" s="901"/>
      <c r="QID526" s="901"/>
      <c r="QIE526" s="901"/>
      <c r="QIF526" s="901"/>
      <c r="QIG526" s="901"/>
      <c r="QIH526" s="901"/>
      <c r="QII526" s="901"/>
      <c r="QIJ526" s="901"/>
      <c r="QIK526" s="901"/>
      <c r="QIL526" s="901"/>
      <c r="QIM526" s="901"/>
      <c r="QIN526" s="901"/>
      <c r="QIO526" s="901"/>
      <c r="QIP526" s="901"/>
      <c r="QIQ526" s="901"/>
      <c r="QIR526" s="901"/>
      <c r="QIS526" s="901"/>
      <c r="QIT526" s="901"/>
      <c r="QIU526" s="901"/>
      <c r="QIV526" s="901"/>
      <c r="QIW526" s="901"/>
      <c r="QIX526" s="901"/>
      <c r="QIY526" s="901"/>
      <c r="QIZ526" s="901"/>
      <c r="QJA526" s="901"/>
      <c r="QJB526" s="901"/>
      <c r="QJC526" s="901"/>
      <c r="QJD526" s="901"/>
      <c r="QJE526" s="901"/>
      <c r="QJF526" s="901"/>
      <c r="QJG526" s="901"/>
      <c r="QJH526" s="901"/>
      <c r="QJI526" s="901"/>
      <c r="QJJ526" s="901"/>
      <c r="QJK526" s="901"/>
      <c r="QJL526" s="901"/>
      <c r="QJM526" s="901"/>
      <c r="QJN526" s="901"/>
      <c r="QJO526" s="901"/>
      <c r="QJP526" s="901"/>
      <c r="QJQ526" s="901"/>
      <c r="QJR526" s="901"/>
      <c r="QJS526" s="901"/>
      <c r="QJT526" s="901"/>
      <c r="QJU526" s="901"/>
      <c r="QJV526" s="901"/>
      <c r="QJW526" s="901"/>
      <c r="QJX526" s="901"/>
      <c r="QJY526" s="901"/>
      <c r="QJZ526" s="901"/>
      <c r="QKA526" s="901"/>
      <c r="QKB526" s="901"/>
      <c r="QKC526" s="901"/>
      <c r="QKD526" s="901"/>
      <c r="QKE526" s="901"/>
      <c r="QKF526" s="901"/>
      <c r="QKG526" s="901"/>
      <c r="QKH526" s="901"/>
      <c r="QKI526" s="901"/>
      <c r="QKJ526" s="901"/>
      <c r="QKK526" s="901"/>
      <c r="QKL526" s="901"/>
      <c r="QKM526" s="901"/>
      <c r="QKN526" s="901"/>
      <c r="QKO526" s="901"/>
      <c r="QKP526" s="901"/>
      <c r="QKQ526" s="901"/>
      <c r="QKR526" s="901"/>
      <c r="QKS526" s="901"/>
      <c r="QKT526" s="901"/>
      <c r="QKU526" s="901"/>
      <c r="QKV526" s="901"/>
      <c r="QKW526" s="901"/>
      <c r="QKX526" s="901"/>
      <c r="QKY526" s="901"/>
      <c r="QKZ526" s="901"/>
      <c r="QLA526" s="901"/>
      <c r="QLB526" s="901"/>
      <c r="QLC526" s="901"/>
      <c r="QLD526" s="901"/>
      <c r="QLE526" s="901"/>
      <c r="QLF526" s="901"/>
      <c r="QLG526" s="901"/>
      <c r="QLH526" s="901"/>
      <c r="QLI526" s="901"/>
      <c r="QLJ526" s="901"/>
      <c r="QLK526" s="901"/>
      <c r="QLL526" s="901"/>
      <c r="QLM526" s="901"/>
      <c r="QLN526" s="901"/>
      <c r="QLO526" s="901"/>
      <c r="QLP526" s="901"/>
      <c r="QLQ526" s="901"/>
      <c r="QLR526" s="901"/>
      <c r="QLS526" s="901"/>
      <c r="QLT526" s="901"/>
      <c r="QLU526" s="901"/>
      <c r="QLV526" s="901"/>
      <c r="QLW526" s="901"/>
      <c r="QLX526" s="901"/>
      <c r="QLY526" s="901"/>
      <c r="QLZ526" s="901"/>
      <c r="QMA526" s="901"/>
      <c r="QMB526" s="901"/>
      <c r="QMC526" s="901"/>
      <c r="QMD526" s="901"/>
      <c r="QME526" s="901"/>
      <c r="QMF526" s="901"/>
      <c r="QMG526" s="901"/>
      <c r="QMH526" s="901"/>
      <c r="QMI526" s="901"/>
      <c r="QMJ526" s="901"/>
      <c r="QMK526" s="901"/>
      <c r="QML526" s="901"/>
      <c r="QMM526" s="901"/>
      <c r="QMN526" s="901"/>
      <c r="QMO526" s="901"/>
      <c r="QMP526" s="901"/>
      <c r="QMQ526" s="901"/>
      <c r="QMR526" s="901"/>
      <c r="QMS526" s="901"/>
      <c r="QMT526" s="901"/>
      <c r="QMU526" s="901"/>
      <c r="QMV526" s="901"/>
      <c r="QMW526" s="901"/>
      <c r="QMX526" s="901"/>
      <c r="QMY526" s="901"/>
      <c r="QMZ526" s="901"/>
      <c r="QNA526" s="901"/>
      <c r="QNB526" s="901"/>
      <c r="QNC526" s="901"/>
      <c r="QND526" s="901"/>
      <c r="QNE526" s="901"/>
      <c r="QNF526" s="901"/>
      <c r="QNG526" s="901"/>
      <c r="QNH526" s="901"/>
      <c r="QNI526" s="901"/>
      <c r="QNJ526" s="901"/>
      <c r="QNK526" s="901"/>
      <c r="QNL526" s="901"/>
      <c r="QNM526" s="901"/>
      <c r="QNN526" s="901"/>
      <c r="QNO526" s="901"/>
      <c r="QNP526" s="901"/>
      <c r="QNQ526" s="901"/>
      <c r="QNR526" s="901"/>
      <c r="QNS526" s="901"/>
      <c r="QNT526" s="901"/>
      <c r="QNU526" s="901"/>
      <c r="QNV526" s="901"/>
      <c r="QNW526" s="901"/>
      <c r="QNX526" s="901"/>
      <c r="QNY526" s="901"/>
      <c r="QNZ526" s="901"/>
      <c r="QOA526" s="901"/>
      <c r="QOB526" s="901"/>
      <c r="QOC526" s="901"/>
      <c r="QOD526" s="901"/>
      <c r="QOE526" s="901"/>
      <c r="QOF526" s="901"/>
      <c r="QOG526" s="901"/>
      <c r="QOH526" s="901"/>
      <c r="QOI526" s="901"/>
      <c r="QOJ526" s="901"/>
      <c r="QOK526" s="901"/>
      <c r="QOL526" s="901"/>
      <c r="QOM526" s="901"/>
      <c r="QON526" s="901"/>
      <c r="QOO526" s="901"/>
      <c r="QOP526" s="901"/>
      <c r="QOQ526" s="901"/>
      <c r="QOR526" s="901"/>
      <c r="QOS526" s="901"/>
      <c r="QOT526" s="901"/>
      <c r="QOU526" s="901"/>
      <c r="QOV526" s="901"/>
      <c r="QOW526" s="901"/>
      <c r="QOX526" s="901"/>
      <c r="QOY526" s="901"/>
      <c r="QOZ526" s="901"/>
      <c r="QPA526" s="901"/>
      <c r="QPB526" s="901"/>
      <c r="QPC526" s="901"/>
      <c r="QPD526" s="901"/>
      <c r="QPE526" s="901"/>
      <c r="QPF526" s="901"/>
      <c r="QPG526" s="901"/>
      <c r="QPH526" s="901"/>
      <c r="QPI526" s="901"/>
      <c r="QPJ526" s="901"/>
      <c r="QPK526" s="901"/>
      <c r="QPL526" s="901"/>
      <c r="QPM526" s="901"/>
      <c r="QPN526" s="901"/>
      <c r="QPO526" s="901"/>
      <c r="QPP526" s="901"/>
      <c r="QPQ526" s="901"/>
      <c r="QPR526" s="901"/>
      <c r="QPS526" s="901"/>
      <c r="QPT526" s="901"/>
      <c r="QPU526" s="901"/>
      <c r="QPV526" s="901"/>
      <c r="QPW526" s="901"/>
      <c r="QPX526" s="901"/>
      <c r="QPY526" s="901"/>
      <c r="QPZ526" s="901"/>
      <c r="QQA526" s="901"/>
      <c r="QQB526" s="901"/>
      <c r="QQC526" s="901"/>
      <c r="QQD526" s="901"/>
      <c r="QQE526" s="901"/>
      <c r="QQF526" s="901"/>
      <c r="QQG526" s="901"/>
      <c r="QQH526" s="901"/>
      <c r="QQI526" s="901"/>
      <c r="QQJ526" s="901"/>
      <c r="QQK526" s="901"/>
      <c r="QQL526" s="901"/>
      <c r="QQM526" s="901"/>
      <c r="QQN526" s="901"/>
      <c r="QQO526" s="901"/>
      <c r="QQP526" s="901"/>
      <c r="QQQ526" s="901"/>
      <c r="QQR526" s="901"/>
      <c r="QQS526" s="901"/>
      <c r="QQT526" s="901"/>
      <c r="QQU526" s="901"/>
      <c r="QQV526" s="901"/>
      <c r="QQW526" s="901"/>
      <c r="QQX526" s="901"/>
      <c r="QQY526" s="901"/>
      <c r="QQZ526" s="901"/>
      <c r="QRA526" s="901"/>
      <c r="QRB526" s="901"/>
      <c r="QRC526" s="901"/>
      <c r="QRD526" s="901"/>
      <c r="QRE526" s="901"/>
      <c r="QRF526" s="901"/>
      <c r="QRG526" s="901"/>
      <c r="QRH526" s="901"/>
      <c r="QRI526" s="901"/>
      <c r="QRJ526" s="901"/>
      <c r="QRK526" s="901"/>
      <c r="QRL526" s="901"/>
      <c r="QRM526" s="901"/>
      <c r="QRN526" s="901"/>
      <c r="QRO526" s="901"/>
      <c r="QRP526" s="901"/>
      <c r="QRQ526" s="901"/>
      <c r="QRR526" s="901"/>
      <c r="QRS526" s="901"/>
      <c r="QRT526" s="901"/>
      <c r="QRU526" s="901"/>
      <c r="QRV526" s="901"/>
      <c r="QRW526" s="901"/>
      <c r="QRX526" s="901"/>
      <c r="QRY526" s="901"/>
      <c r="QRZ526" s="901"/>
      <c r="QSA526" s="901"/>
      <c r="QSB526" s="901"/>
      <c r="QSC526" s="901"/>
      <c r="QSD526" s="901"/>
      <c r="QSE526" s="901"/>
      <c r="QSF526" s="901"/>
      <c r="QSG526" s="901"/>
      <c r="QSH526" s="901"/>
      <c r="QSI526" s="901"/>
      <c r="QSJ526" s="901"/>
      <c r="QSK526" s="901"/>
      <c r="QSL526" s="901"/>
      <c r="QSM526" s="901"/>
      <c r="QSN526" s="901"/>
      <c r="QSO526" s="901"/>
      <c r="QSP526" s="901"/>
      <c r="QSQ526" s="901"/>
      <c r="QSR526" s="901"/>
      <c r="QSS526" s="901"/>
      <c r="QST526" s="901"/>
      <c r="QSU526" s="901"/>
      <c r="QSV526" s="901"/>
      <c r="QSW526" s="901"/>
      <c r="QSX526" s="901"/>
      <c r="QSY526" s="901"/>
      <c r="QSZ526" s="901"/>
      <c r="QTA526" s="901"/>
      <c r="QTB526" s="901"/>
      <c r="QTC526" s="901"/>
      <c r="QTD526" s="901"/>
      <c r="QTE526" s="901"/>
      <c r="QTF526" s="901"/>
      <c r="QTG526" s="901"/>
      <c r="QTH526" s="901"/>
      <c r="QTI526" s="901"/>
      <c r="QTJ526" s="901"/>
      <c r="QTK526" s="901"/>
      <c r="QTL526" s="901"/>
      <c r="QTM526" s="901"/>
      <c r="QTN526" s="901"/>
      <c r="QTO526" s="901"/>
      <c r="QTP526" s="901"/>
      <c r="QTQ526" s="901"/>
      <c r="QTR526" s="901"/>
      <c r="QTS526" s="901"/>
      <c r="QTT526" s="901"/>
      <c r="QTU526" s="901"/>
      <c r="QTV526" s="901"/>
      <c r="QTW526" s="901"/>
      <c r="QTX526" s="901"/>
      <c r="QTY526" s="901"/>
      <c r="QTZ526" s="901"/>
      <c r="QUA526" s="901"/>
      <c r="QUB526" s="901"/>
      <c r="QUC526" s="901"/>
      <c r="QUD526" s="901"/>
      <c r="QUE526" s="901"/>
      <c r="QUF526" s="901"/>
      <c r="QUG526" s="901"/>
      <c r="QUH526" s="901"/>
      <c r="QUI526" s="901"/>
      <c r="QUJ526" s="901"/>
      <c r="QUK526" s="901"/>
      <c r="QUL526" s="901"/>
      <c r="QUM526" s="901"/>
      <c r="QUN526" s="901"/>
      <c r="QUO526" s="901"/>
      <c r="QUP526" s="901"/>
      <c r="QUQ526" s="901"/>
      <c r="QUR526" s="901"/>
      <c r="QUS526" s="901"/>
      <c r="QUT526" s="901"/>
      <c r="QUU526" s="901"/>
      <c r="QUV526" s="901"/>
      <c r="QUW526" s="901"/>
      <c r="QUX526" s="901"/>
      <c r="QUY526" s="901"/>
      <c r="QUZ526" s="901"/>
      <c r="QVA526" s="901"/>
      <c r="QVB526" s="901"/>
      <c r="QVC526" s="901"/>
      <c r="QVD526" s="901"/>
      <c r="QVE526" s="901"/>
      <c r="QVF526" s="901"/>
      <c r="QVG526" s="901"/>
      <c r="QVH526" s="901"/>
      <c r="QVI526" s="901"/>
      <c r="QVJ526" s="901"/>
      <c r="QVK526" s="901"/>
      <c r="QVL526" s="901"/>
      <c r="QVM526" s="901"/>
      <c r="QVN526" s="901"/>
      <c r="QVO526" s="901"/>
      <c r="QVP526" s="901"/>
      <c r="QVQ526" s="901"/>
      <c r="QVR526" s="901"/>
      <c r="QVS526" s="901"/>
      <c r="QVT526" s="901"/>
      <c r="QVU526" s="901"/>
      <c r="QVV526" s="901"/>
      <c r="QVW526" s="901"/>
      <c r="QVX526" s="901"/>
      <c r="QVY526" s="901"/>
      <c r="QVZ526" s="901"/>
      <c r="QWA526" s="901"/>
      <c r="QWB526" s="901"/>
      <c r="QWC526" s="901"/>
      <c r="QWD526" s="901"/>
      <c r="QWE526" s="901"/>
      <c r="QWF526" s="901"/>
      <c r="QWG526" s="901"/>
      <c r="QWH526" s="901"/>
      <c r="QWI526" s="901"/>
      <c r="QWJ526" s="901"/>
      <c r="QWK526" s="901"/>
      <c r="QWL526" s="901"/>
      <c r="QWM526" s="901"/>
      <c r="QWN526" s="901"/>
      <c r="QWO526" s="901"/>
      <c r="QWP526" s="901"/>
      <c r="QWQ526" s="901"/>
      <c r="QWR526" s="901"/>
      <c r="QWS526" s="901"/>
      <c r="QWT526" s="901"/>
      <c r="QWU526" s="901"/>
      <c r="QWV526" s="901"/>
      <c r="QWW526" s="901"/>
      <c r="QWX526" s="901"/>
      <c r="QWY526" s="901"/>
      <c r="QWZ526" s="901"/>
      <c r="QXA526" s="901"/>
      <c r="QXB526" s="901"/>
      <c r="QXC526" s="901"/>
      <c r="QXD526" s="901"/>
      <c r="QXE526" s="901"/>
      <c r="QXF526" s="901"/>
      <c r="QXG526" s="901"/>
      <c r="QXH526" s="901"/>
      <c r="QXI526" s="901"/>
      <c r="QXJ526" s="901"/>
      <c r="QXK526" s="901"/>
      <c r="QXL526" s="901"/>
      <c r="QXM526" s="901"/>
      <c r="QXN526" s="901"/>
      <c r="QXO526" s="901"/>
      <c r="QXP526" s="901"/>
      <c r="QXQ526" s="901"/>
      <c r="QXR526" s="901"/>
      <c r="QXS526" s="901"/>
      <c r="QXT526" s="901"/>
      <c r="QXU526" s="901"/>
      <c r="QXV526" s="901"/>
      <c r="QXW526" s="901"/>
      <c r="QXX526" s="901"/>
      <c r="QXY526" s="901"/>
      <c r="QXZ526" s="901"/>
      <c r="QYA526" s="901"/>
      <c r="QYB526" s="901"/>
      <c r="QYC526" s="901"/>
      <c r="QYD526" s="901"/>
      <c r="QYE526" s="901"/>
      <c r="QYF526" s="901"/>
      <c r="QYG526" s="901"/>
      <c r="QYH526" s="901"/>
      <c r="QYI526" s="901"/>
      <c r="QYJ526" s="901"/>
      <c r="QYK526" s="901"/>
      <c r="QYL526" s="901"/>
      <c r="QYM526" s="901"/>
      <c r="QYN526" s="901"/>
      <c r="QYO526" s="901"/>
      <c r="QYP526" s="901"/>
      <c r="QYQ526" s="901"/>
      <c r="QYR526" s="901"/>
      <c r="QYS526" s="901"/>
      <c r="QYT526" s="901"/>
      <c r="QYU526" s="901"/>
      <c r="QYV526" s="901"/>
      <c r="QYW526" s="901"/>
      <c r="QYX526" s="901"/>
      <c r="QYY526" s="901"/>
      <c r="QYZ526" s="901"/>
      <c r="QZA526" s="901"/>
      <c r="QZB526" s="901"/>
      <c r="QZC526" s="901"/>
      <c r="QZD526" s="901"/>
      <c r="QZE526" s="901"/>
      <c r="QZF526" s="901"/>
      <c r="QZG526" s="901"/>
      <c r="QZH526" s="901"/>
      <c r="QZI526" s="901"/>
      <c r="QZJ526" s="901"/>
      <c r="QZK526" s="901"/>
      <c r="QZL526" s="901"/>
      <c r="QZM526" s="901"/>
      <c r="QZN526" s="901"/>
      <c r="QZO526" s="901"/>
      <c r="QZP526" s="901"/>
      <c r="QZQ526" s="901"/>
      <c r="QZR526" s="901"/>
      <c r="QZS526" s="901"/>
      <c r="QZT526" s="901"/>
      <c r="QZU526" s="901"/>
      <c r="QZV526" s="901"/>
      <c r="QZW526" s="901"/>
      <c r="QZX526" s="901"/>
      <c r="QZY526" s="901"/>
      <c r="QZZ526" s="901"/>
      <c r="RAA526" s="901"/>
      <c r="RAB526" s="901"/>
      <c r="RAC526" s="901"/>
      <c r="RAD526" s="901"/>
      <c r="RAE526" s="901"/>
      <c r="RAF526" s="901"/>
      <c r="RAG526" s="901"/>
      <c r="RAH526" s="901"/>
      <c r="RAI526" s="901"/>
      <c r="RAJ526" s="901"/>
      <c r="RAK526" s="901"/>
      <c r="RAL526" s="901"/>
      <c r="RAM526" s="901"/>
      <c r="RAN526" s="901"/>
      <c r="RAO526" s="901"/>
      <c r="RAP526" s="901"/>
      <c r="RAQ526" s="901"/>
      <c r="RAR526" s="901"/>
      <c r="RAS526" s="901"/>
      <c r="RAT526" s="901"/>
      <c r="RAU526" s="901"/>
      <c r="RAV526" s="901"/>
      <c r="RAW526" s="901"/>
      <c r="RAX526" s="901"/>
      <c r="RAY526" s="901"/>
      <c r="RAZ526" s="901"/>
      <c r="RBA526" s="901"/>
      <c r="RBB526" s="901"/>
      <c r="RBC526" s="901"/>
      <c r="RBD526" s="901"/>
      <c r="RBE526" s="901"/>
      <c r="RBF526" s="901"/>
      <c r="RBG526" s="901"/>
      <c r="RBH526" s="901"/>
      <c r="RBI526" s="901"/>
      <c r="RBJ526" s="901"/>
      <c r="RBK526" s="901"/>
      <c r="RBL526" s="901"/>
      <c r="RBM526" s="901"/>
      <c r="RBN526" s="901"/>
      <c r="RBO526" s="901"/>
      <c r="RBP526" s="901"/>
      <c r="RBQ526" s="901"/>
      <c r="RBR526" s="901"/>
      <c r="RBS526" s="901"/>
      <c r="RBT526" s="901"/>
      <c r="RBU526" s="901"/>
      <c r="RBV526" s="901"/>
      <c r="RBW526" s="901"/>
      <c r="RBX526" s="901"/>
      <c r="RBY526" s="901"/>
      <c r="RBZ526" s="901"/>
      <c r="RCA526" s="901"/>
      <c r="RCB526" s="901"/>
      <c r="RCC526" s="901"/>
      <c r="RCD526" s="901"/>
      <c r="RCE526" s="901"/>
      <c r="RCF526" s="901"/>
      <c r="RCG526" s="901"/>
      <c r="RCH526" s="901"/>
      <c r="RCI526" s="901"/>
      <c r="RCJ526" s="901"/>
      <c r="RCK526" s="901"/>
      <c r="RCL526" s="901"/>
      <c r="RCM526" s="901"/>
      <c r="RCN526" s="901"/>
      <c r="RCO526" s="901"/>
      <c r="RCP526" s="901"/>
      <c r="RCQ526" s="901"/>
      <c r="RCR526" s="901"/>
      <c r="RCS526" s="901"/>
      <c r="RCT526" s="901"/>
      <c r="RCU526" s="901"/>
      <c r="RCV526" s="901"/>
      <c r="RCW526" s="901"/>
      <c r="RCX526" s="901"/>
      <c r="RCY526" s="901"/>
      <c r="RCZ526" s="901"/>
      <c r="RDA526" s="901"/>
      <c r="RDB526" s="901"/>
      <c r="RDC526" s="901"/>
      <c r="RDD526" s="901"/>
      <c r="RDE526" s="901"/>
      <c r="RDF526" s="901"/>
      <c r="RDG526" s="901"/>
      <c r="RDH526" s="901"/>
      <c r="RDI526" s="901"/>
      <c r="RDJ526" s="901"/>
      <c r="RDK526" s="901"/>
      <c r="RDL526" s="901"/>
      <c r="RDM526" s="901"/>
      <c r="RDN526" s="901"/>
      <c r="RDO526" s="901"/>
      <c r="RDP526" s="901"/>
      <c r="RDQ526" s="901"/>
      <c r="RDR526" s="901"/>
      <c r="RDS526" s="901"/>
      <c r="RDT526" s="901"/>
      <c r="RDU526" s="901"/>
      <c r="RDV526" s="901"/>
      <c r="RDW526" s="901"/>
      <c r="RDX526" s="901"/>
      <c r="RDY526" s="901"/>
      <c r="RDZ526" s="901"/>
      <c r="REA526" s="901"/>
      <c r="REB526" s="901"/>
      <c r="REC526" s="901"/>
      <c r="RED526" s="901"/>
      <c r="REE526" s="901"/>
      <c r="REF526" s="901"/>
      <c r="REG526" s="901"/>
      <c r="REH526" s="901"/>
      <c r="REI526" s="901"/>
      <c r="REJ526" s="901"/>
      <c r="REK526" s="901"/>
      <c r="REL526" s="901"/>
      <c r="REM526" s="901"/>
      <c r="REN526" s="901"/>
      <c r="REO526" s="901"/>
      <c r="REP526" s="901"/>
      <c r="REQ526" s="901"/>
      <c r="RER526" s="901"/>
      <c r="RES526" s="901"/>
      <c r="RET526" s="901"/>
      <c r="REU526" s="901"/>
      <c r="REV526" s="901"/>
      <c r="REW526" s="901"/>
      <c r="REX526" s="901"/>
      <c r="REY526" s="901"/>
      <c r="REZ526" s="901"/>
      <c r="RFA526" s="901"/>
      <c r="RFB526" s="901"/>
      <c r="RFC526" s="901"/>
      <c r="RFD526" s="901"/>
      <c r="RFE526" s="901"/>
      <c r="RFF526" s="901"/>
      <c r="RFG526" s="901"/>
      <c r="RFH526" s="901"/>
      <c r="RFI526" s="901"/>
      <c r="RFJ526" s="901"/>
      <c r="RFK526" s="901"/>
      <c r="RFL526" s="901"/>
      <c r="RFM526" s="901"/>
      <c r="RFN526" s="901"/>
      <c r="RFO526" s="901"/>
      <c r="RFP526" s="901"/>
      <c r="RFQ526" s="901"/>
      <c r="RFR526" s="901"/>
      <c r="RFS526" s="901"/>
      <c r="RFT526" s="901"/>
      <c r="RFU526" s="901"/>
      <c r="RFV526" s="901"/>
      <c r="RFW526" s="901"/>
      <c r="RFX526" s="901"/>
      <c r="RFY526" s="901"/>
      <c r="RFZ526" s="901"/>
      <c r="RGA526" s="901"/>
      <c r="RGB526" s="901"/>
      <c r="RGC526" s="901"/>
      <c r="RGD526" s="901"/>
      <c r="RGE526" s="901"/>
      <c r="RGF526" s="901"/>
      <c r="RGG526" s="901"/>
      <c r="RGH526" s="901"/>
      <c r="RGI526" s="901"/>
      <c r="RGJ526" s="901"/>
      <c r="RGK526" s="901"/>
      <c r="RGL526" s="901"/>
      <c r="RGM526" s="901"/>
      <c r="RGN526" s="901"/>
      <c r="RGO526" s="901"/>
      <c r="RGP526" s="901"/>
      <c r="RGQ526" s="901"/>
      <c r="RGR526" s="901"/>
      <c r="RGS526" s="901"/>
      <c r="RGT526" s="901"/>
      <c r="RGU526" s="901"/>
      <c r="RGV526" s="901"/>
      <c r="RGW526" s="901"/>
      <c r="RGX526" s="901"/>
      <c r="RGY526" s="901"/>
      <c r="RGZ526" s="901"/>
      <c r="RHA526" s="901"/>
      <c r="RHB526" s="901"/>
      <c r="RHC526" s="901"/>
      <c r="RHD526" s="901"/>
      <c r="RHE526" s="901"/>
      <c r="RHF526" s="901"/>
      <c r="RHG526" s="901"/>
      <c r="RHH526" s="901"/>
      <c r="RHI526" s="901"/>
      <c r="RHJ526" s="901"/>
      <c r="RHK526" s="901"/>
      <c r="RHL526" s="901"/>
      <c r="RHM526" s="901"/>
      <c r="RHN526" s="901"/>
      <c r="RHO526" s="901"/>
      <c r="RHP526" s="901"/>
      <c r="RHQ526" s="901"/>
      <c r="RHR526" s="901"/>
      <c r="RHS526" s="901"/>
      <c r="RHT526" s="901"/>
      <c r="RHU526" s="901"/>
      <c r="RHV526" s="901"/>
      <c r="RHW526" s="901"/>
      <c r="RHX526" s="901"/>
      <c r="RHY526" s="901"/>
      <c r="RHZ526" s="901"/>
      <c r="RIA526" s="901"/>
      <c r="RIB526" s="901"/>
      <c r="RIC526" s="901"/>
      <c r="RID526" s="901"/>
      <c r="RIE526" s="901"/>
      <c r="RIF526" s="901"/>
      <c r="RIG526" s="901"/>
      <c r="RIH526" s="901"/>
      <c r="RII526" s="901"/>
      <c r="RIJ526" s="901"/>
      <c r="RIK526" s="901"/>
      <c r="RIL526" s="901"/>
      <c r="RIM526" s="901"/>
      <c r="RIN526" s="901"/>
      <c r="RIO526" s="901"/>
      <c r="RIP526" s="901"/>
      <c r="RIQ526" s="901"/>
      <c r="RIR526" s="901"/>
      <c r="RIS526" s="901"/>
      <c r="RIT526" s="901"/>
      <c r="RIU526" s="901"/>
      <c r="RIV526" s="901"/>
      <c r="RIW526" s="901"/>
      <c r="RIX526" s="901"/>
      <c r="RIY526" s="901"/>
      <c r="RIZ526" s="901"/>
      <c r="RJA526" s="901"/>
      <c r="RJB526" s="901"/>
      <c r="RJC526" s="901"/>
      <c r="RJD526" s="901"/>
      <c r="RJE526" s="901"/>
      <c r="RJF526" s="901"/>
      <c r="RJG526" s="901"/>
      <c r="RJH526" s="901"/>
      <c r="RJI526" s="901"/>
      <c r="RJJ526" s="901"/>
      <c r="RJK526" s="901"/>
      <c r="RJL526" s="901"/>
      <c r="RJM526" s="901"/>
      <c r="RJN526" s="901"/>
      <c r="RJO526" s="901"/>
      <c r="RJP526" s="901"/>
      <c r="RJQ526" s="901"/>
      <c r="RJR526" s="901"/>
      <c r="RJS526" s="901"/>
      <c r="RJT526" s="901"/>
      <c r="RJU526" s="901"/>
      <c r="RJV526" s="901"/>
      <c r="RJW526" s="901"/>
      <c r="RJX526" s="901"/>
      <c r="RJY526" s="901"/>
      <c r="RJZ526" s="901"/>
      <c r="RKA526" s="901"/>
      <c r="RKB526" s="901"/>
      <c r="RKC526" s="901"/>
      <c r="RKD526" s="901"/>
      <c r="RKE526" s="901"/>
      <c r="RKF526" s="901"/>
      <c r="RKG526" s="901"/>
      <c r="RKH526" s="901"/>
      <c r="RKI526" s="901"/>
      <c r="RKJ526" s="901"/>
      <c r="RKK526" s="901"/>
      <c r="RKL526" s="901"/>
      <c r="RKM526" s="901"/>
      <c r="RKN526" s="901"/>
      <c r="RKO526" s="901"/>
      <c r="RKP526" s="901"/>
      <c r="RKQ526" s="901"/>
      <c r="RKR526" s="901"/>
      <c r="RKS526" s="901"/>
      <c r="RKT526" s="901"/>
      <c r="RKU526" s="901"/>
      <c r="RKV526" s="901"/>
      <c r="RKW526" s="901"/>
      <c r="RKX526" s="901"/>
      <c r="RKY526" s="901"/>
      <c r="RKZ526" s="901"/>
      <c r="RLA526" s="901"/>
      <c r="RLB526" s="901"/>
      <c r="RLC526" s="901"/>
      <c r="RLD526" s="901"/>
      <c r="RLE526" s="901"/>
      <c r="RLF526" s="901"/>
      <c r="RLG526" s="901"/>
      <c r="RLH526" s="901"/>
      <c r="RLI526" s="901"/>
      <c r="RLJ526" s="901"/>
      <c r="RLK526" s="901"/>
      <c r="RLL526" s="901"/>
      <c r="RLM526" s="901"/>
      <c r="RLN526" s="901"/>
      <c r="RLO526" s="901"/>
      <c r="RLP526" s="901"/>
      <c r="RLQ526" s="901"/>
      <c r="RLR526" s="901"/>
      <c r="RLS526" s="901"/>
      <c r="RLT526" s="901"/>
      <c r="RLU526" s="901"/>
      <c r="RLV526" s="901"/>
      <c r="RLW526" s="901"/>
      <c r="RLX526" s="901"/>
      <c r="RLY526" s="901"/>
      <c r="RLZ526" s="901"/>
      <c r="RMA526" s="901"/>
      <c r="RMB526" s="901"/>
      <c r="RMC526" s="901"/>
      <c r="RMD526" s="901"/>
      <c r="RME526" s="901"/>
      <c r="RMF526" s="901"/>
      <c r="RMG526" s="901"/>
      <c r="RMH526" s="901"/>
      <c r="RMI526" s="901"/>
      <c r="RMJ526" s="901"/>
      <c r="RMK526" s="901"/>
      <c r="RML526" s="901"/>
      <c r="RMM526" s="901"/>
      <c r="RMN526" s="901"/>
      <c r="RMO526" s="901"/>
      <c r="RMP526" s="901"/>
      <c r="RMQ526" s="901"/>
      <c r="RMR526" s="901"/>
      <c r="RMS526" s="901"/>
      <c r="RMT526" s="901"/>
      <c r="RMU526" s="901"/>
      <c r="RMV526" s="901"/>
      <c r="RMW526" s="901"/>
      <c r="RMX526" s="901"/>
      <c r="RMY526" s="901"/>
      <c r="RMZ526" s="901"/>
      <c r="RNA526" s="901"/>
      <c r="RNB526" s="901"/>
      <c r="RNC526" s="901"/>
      <c r="RND526" s="901"/>
      <c r="RNE526" s="901"/>
      <c r="RNF526" s="901"/>
      <c r="RNG526" s="901"/>
      <c r="RNH526" s="901"/>
      <c r="RNI526" s="901"/>
      <c r="RNJ526" s="901"/>
      <c r="RNK526" s="901"/>
      <c r="RNL526" s="901"/>
      <c r="RNM526" s="901"/>
      <c r="RNN526" s="901"/>
      <c r="RNO526" s="901"/>
      <c r="RNP526" s="901"/>
      <c r="RNQ526" s="901"/>
      <c r="RNR526" s="901"/>
      <c r="RNS526" s="901"/>
      <c r="RNT526" s="901"/>
      <c r="RNU526" s="901"/>
      <c r="RNV526" s="901"/>
      <c r="RNW526" s="901"/>
      <c r="RNX526" s="901"/>
      <c r="RNY526" s="901"/>
      <c r="RNZ526" s="901"/>
      <c r="ROA526" s="901"/>
      <c r="ROB526" s="901"/>
      <c r="ROC526" s="901"/>
      <c r="ROD526" s="901"/>
      <c r="ROE526" s="901"/>
      <c r="ROF526" s="901"/>
      <c r="ROG526" s="901"/>
      <c r="ROH526" s="901"/>
      <c r="ROI526" s="901"/>
      <c r="ROJ526" s="901"/>
      <c r="ROK526" s="901"/>
      <c r="ROL526" s="901"/>
      <c r="ROM526" s="901"/>
      <c r="RON526" s="901"/>
      <c r="ROO526" s="901"/>
      <c r="ROP526" s="901"/>
      <c r="ROQ526" s="901"/>
      <c r="ROR526" s="901"/>
      <c r="ROS526" s="901"/>
      <c r="ROT526" s="901"/>
      <c r="ROU526" s="901"/>
      <c r="ROV526" s="901"/>
      <c r="ROW526" s="901"/>
      <c r="ROX526" s="901"/>
      <c r="ROY526" s="901"/>
      <c r="ROZ526" s="901"/>
      <c r="RPA526" s="901"/>
      <c r="RPB526" s="901"/>
      <c r="RPC526" s="901"/>
      <c r="RPD526" s="901"/>
      <c r="RPE526" s="901"/>
      <c r="RPF526" s="901"/>
      <c r="RPG526" s="901"/>
      <c r="RPH526" s="901"/>
      <c r="RPI526" s="901"/>
      <c r="RPJ526" s="901"/>
      <c r="RPK526" s="901"/>
      <c r="RPL526" s="901"/>
      <c r="RPM526" s="901"/>
      <c r="RPN526" s="901"/>
      <c r="RPO526" s="901"/>
      <c r="RPP526" s="901"/>
      <c r="RPQ526" s="901"/>
      <c r="RPR526" s="901"/>
      <c r="RPS526" s="901"/>
      <c r="RPT526" s="901"/>
      <c r="RPU526" s="901"/>
      <c r="RPV526" s="901"/>
      <c r="RPW526" s="901"/>
      <c r="RPX526" s="901"/>
      <c r="RPY526" s="901"/>
      <c r="RPZ526" s="901"/>
      <c r="RQA526" s="901"/>
      <c r="RQB526" s="901"/>
      <c r="RQC526" s="901"/>
      <c r="RQD526" s="901"/>
      <c r="RQE526" s="901"/>
      <c r="RQF526" s="901"/>
      <c r="RQG526" s="901"/>
      <c r="RQH526" s="901"/>
      <c r="RQI526" s="901"/>
      <c r="RQJ526" s="901"/>
      <c r="RQK526" s="901"/>
      <c r="RQL526" s="901"/>
      <c r="RQM526" s="901"/>
      <c r="RQN526" s="901"/>
      <c r="RQO526" s="901"/>
      <c r="RQP526" s="901"/>
      <c r="RQQ526" s="901"/>
      <c r="RQR526" s="901"/>
      <c r="RQS526" s="901"/>
      <c r="RQT526" s="901"/>
      <c r="RQU526" s="901"/>
      <c r="RQV526" s="901"/>
      <c r="RQW526" s="901"/>
      <c r="RQX526" s="901"/>
      <c r="RQY526" s="901"/>
      <c r="RQZ526" s="901"/>
      <c r="RRA526" s="901"/>
      <c r="RRB526" s="901"/>
      <c r="RRC526" s="901"/>
      <c r="RRD526" s="901"/>
      <c r="RRE526" s="901"/>
      <c r="RRF526" s="901"/>
      <c r="RRG526" s="901"/>
      <c r="RRH526" s="901"/>
      <c r="RRI526" s="901"/>
      <c r="RRJ526" s="901"/>
      <c r="RRK526" s="901"/>
      <c r="RRL526" s="901"/>
      <c r="RRM526" s="901"/>
      <c r="RRN526" s="901"/>
      <c r="RRO526" s="901"/>
      <c r="RRP526" s="901"/>
      <c r="RRQ526" s="901"/>
      <c r="RRR526" s="901"/>
      <c r="RRS526" s="901"/>
      <c r="RRT526" s="901"/>
      <c r="RRU526" s="901"/>
      <c r="RRV526" s="901"/>
      <c r="RRW526" s="901"/>
      <c r="RRX526" s="901"/>
      <c r="RRY526" s="901"/>
      <c r="RRZ526" s="901"/>
      <c r="RSA526" s="901"/>
      <c r="RSB526" s="901"/>
      <c r="RSC526" s="901"/>
      <c r="RSD526" s="901"/>
      <c r="RSE526" s="901"/>
      <c r="RSF526" s="901"/>
      <c r="RSG526" s="901"/>
      <c r="RSH526" s="901"/>
      <c r="RSI526" s="901"/>
      <c r="RSJ526" s="901"/>
      <c r="RSK526" s="901"/>
      <c r="RSL526" s="901"/>
      <c r="RSM526" s="901"/>
      <c r="RSN526" s="901"/>
      <c r="RSO526" s="901"/>
      <c r="RSP526" s="901"/>
      <c r="RSQ526" s="901"/>
      <c r="RSR526" s="901"/>
      <c r="RSS526" s="901"/>
      <c r="RST526" s="901"/>
      <c r="RSU526" s="901"/>
      <c r="RSV526" s="901"/>
      <c r="RSW526" s="901"/>
      <c r="RSX526" s="901"/>
      <c r="RSY526" s="901"/>
      <c r="RSZ526" s="901"/>
      <c r="RTA526" s="901"/>
      <c r="RTB526" s="901"/>
      <c r="RTC526" s="901"/>
      <c r="RTD526" s="901"/>
      <c r="RTE526" s="901"/>
      <c r="RTF526" s="901"/>
      <c r="RTG526" s="901"/>
      <c r="RTH526" s="901"/>
      <c r="RTI526" s="901"/>
      <c r="RTJ526" s="901"/>
      <c r="RTK526" s="901"/>
      <c r="RTL526" s="901"/>
      <c r="RTM526" s="901"/>
      <c r="RTN526" s="901"/>
      <c r="RTO526" s="901"/>
      <c r="RTP526" s="901"/>
      <c r="RTQ526" s="901"/>
      <c r="RTR526" s="901"/>
      <c r="RTS526" s="901"/>
      <c r="RTT526" s="901"/>
      <c r="RTU526" s="901"/>
      <c r="RTV526" s="901"/>
      <c r="RTW526" s="901"/>
      <c r="RTX526" s="901"/>
      <c r="RTY526" s="901"/>
      <c r="RTZ526" s="901"/>
      <c r="RUA526" s="901"/>
      <c r="RUB526" s="901"/>
      <c r="RUC526" s="901"/>
      <c r="RUD526" s="901"/>
      <c r="RUE526" s="901"/>
      <c r="RUF526" s="901"/>
      <c r="RUG526" s="901"/>
      <c r="RUH526" s="901"/>
      <c r="RUI526" s="901"/>
      <c r="RUJ526" s="901"/>
      <c r="RUK526" s="901"/>
      <c r="RUL526" s="901"/>
      <c r="RUM526" s="901"/>
      <c r="RUN526" s="901"/>
      <c r="RUO526" s="901"/>
      <c r="RUP526" s="901"/>
      <c r="RUQ526" s="901"/>
      <c r="RUR526" s="901"/>
      <c r="RUS526" s="901"/>
      <c r="RUT526" s="901"/>
      <c r="RUU526" s="901"/>
      <c r="RUV526" s="901"/>
      <c r="RUW526" s="901"/>
      <c r="RUX526" s="901"/>
      <c r="RUY526" s="901"/>
      <c r="RUZ526" s="901"/>
      <c r="RVA526" s="901"/>
      <c r="RVB526" s="901"/>
      <c r="RVC526" s="901"/>
      <c r="RVD526" s="901"/>
      <c r="RVE526" s="901"/>
      <c r="RVF526" s="901"/>
      <c r="RVG526" s="901"/>
      <c r="RVH526" s="901"/>
      <c r="RVI526" s="901"/>
      <c r="RVJ526" s="901"/>
      <c r="RVK526" s="901"/>
      <c r="RVL526" s="901"/>
      <c r="RVM526" s="901"/>
      <c r="RVN526" s="901"/>
      <c r="RVO526" s="901"/>
      <c r="RVP526" s="901"/>
      <c r="RVQ526" s="901"/>
      <c r="RVR526" s="901"/>
      <c r="RVS526" s="901"/>
      <c r="RVT526" s="901"/>
      <c r="RVU526" s="901"/>
      <c r="RVV526" s="901"/>
      <c r="RVW526" s="901"/>
      <c r="RVX526" s="901"/>
      <c r="RVY526" s="901"/>
      <c r="RVZ526" s="901"/>
      <c r="RWA526" s="901"/>
      <c r="RWB526" s="901"/>
      <c r="RWC526" s="901"/>
      <c r="RWD526" s="901"/>
      <c r="RWE526" s="901"/>
      <c r="RWF526" s="901"/>
      <c r="RWG526" s="901"/>
      <c r="RWH526" s="901"/>
      <c r="RWI526" s="901"/>
      <c r="RWJ526" s="901"/>
      <c r="RWK526" s="901"/>
      <c r="RWL526" s="901"/>
      <c r="RWM526" s="901"/>
      <c r="RWN526" s="901"/>
      <c r="RWO526" s="901"/>
      <c r="RWP526" s="901"/>
      <c r="RWQ526" s="901"/>
      <c r="RWR526" s="901"/>
      <c r="RWS526" s="901"/>
      <c r="RWT526" s="901"/>
      <c r="RWU526" s="901"/>
      <c r="RWV526" s="901"/>
      <c r="RWW526" s="901"/>
      <c r="RWX526" s="901"/>
      <c r="RWY526" s="901"/>
      <c r="RWZ526" s="901"/>
      <c r="RXA526" s="901"/>
      <c r="RXB526" s="901"/>
      <c r="RXC526" s="901"/>
      <c r="RXD526" s="901"/>
      <c r="RXE526" s="901"/>
      <c r="RXF526" s="901"/>
      <c r="RXG526" s="901"/>
      <c r="RXH526" s="901"/>
      <c r="RXI526" s="901"/>
      <c r="RXJ526" s="901"/>
      <c r="RXK526" s="901"/>
      <c r="RXL526" s="901"/>
      <c r="RXM526" s="901"/>
      <c r="RXN526" s="901"/>
      <c r="RXO526" s="901"/>
      <c r="RXP526" s="901"/>
      <c r="RXQ526" s="901"/>
      <c r="RXR526" s="901"/>
      <c r="RXS526" s="901"/>
      <c r="RXT526" s="901"/>
      <c r="RXU526" s="901"/>
      <c r="RXV526" s="901"/>
      <c r="RXW526" s="901"/>
      <c r="RXX526" s="901"/>
      <c r="RXY526" s="901"/>
      <c r="RXZ526" s="901"/>
      <c r="RYA526" s="901"/>
      <c r="RYB526" s="901"/>
      <c r="RYC526" s="901"/>
      <c r="RYD526" s="901"/>
      <c r="RYE526" s="901"/>
      <c r="RYF526" s="901"/>
      <c r="RYG526" s="901"/>
      <c r="RYH526" s="901"/>
      <c r="RYI526" s="901"/>
      <c r="RYJ526" s="901"/>
      <c r="RYK526" s="901"/>
      <c r="RYL526" s="901"/>
      <c r="RYM526" s="901"/>
      <c r="RYN526" s="901"/>
      <c r="RYO526" s="901"/>
      <c r="RYP526" s="901"/>
      <c r="RYQ526" s="901"/>
      <c r="RYR526" s="901"/>
      <c r="RYS526" s="901"/>
      <c r="RYT526" s="901"/>
      <c r="RYU526" s="901"/>
      <c r="RYV526" s="901"/>
      <c r="RYW526" s="901"/>
      <c r="RYX526" s="901"/>
      <c r="RYY526" s="901"/>
      <c r="RYZ526" s="901"/>
      <c r="RZA526" s="901"/>
      <c r="RZB526" s="901"/>
      <c r="RZC526" s="901"/>
      <c r="RZD526" s="901"/>
      <c r="RZE526" s="901"/>
      <c r="RZF526" s="901"/>
      <c r="RZG526" s="901"/>
      <c r="RZH526" s="901"/>
      <c r="RZI526" s="901"/>
      <c r="RZJ526" s="901"/>
      <c r="RZK526" s="901"/>
      <c r="RZL526" s="901"/>
      <c r="RZM526" s="901"/>
      <c r="RZN526" s="901"/>
      <c r="RZO526" s="901"/>
      <c r="RZP526" s="901"/>
      <c r="RZQ526" s="901"/>
      <c r="RZR526" s="901"/>
      <c r="RZS526" s="901"/>
      <c r="RZT526" s="901"/>
      <c r="RZU526" s="901"/>
      <c r="RZV526" s="901"/>
      <c r="RZW526" s="901"/>
      <c r="RZX526" s="901"/>
      <c r="RZY526" s="901"/>
      <c r="RZZ526" s="901"/>
      <c r="SAA526" s="901"/>
      <c r="SAB526" s="901"/>
      <c r="SAC526" s="901"/>
      <c r="SAD526" s="901"/>
      <c r="SAE526" s="901"/>
      <c r="SAF526" s="901"/>
      <c r="SAG526" s="901"/>
      <c r="SAH526" s="901"/>
      <c r="SAI526" s="901"/>
      <c r="SAJ526" s="901"/>
      <c r="SAK526" s="901"/>
      <c r="SAL526" s="901"/>
      <c r="SAM526" s="901"/>
      <c r="SAN526" s="901"/>
      <c r="SAO526" s="901"/>
      <c r="SAP526" s="901"/>
      <c r="SAQ526" s="901"/>
      <c r="SAR526" s="901"/>
      <c r="SAS526" s="901"/>
      <c r="SAT526" s="901"/>
      <c r="SAU526" s="901"/>
      <c r="SAV526" s="901"/>
      <c r="SAW526" s="901"/>
      <c r="SAX526" s="901"/>
      <c r="SAY526" s="901"/>
      <c r="SAZ526" s="901"/>
      <c r="SBA526" s="901"/>
      <c r="SBB526" s="901"/>
      <c r="SBC526" s="901"/>
      <c r="SBD526" s="901"/>
      <c r="SBE526" s="901"/>
      <c r="SBF526" s="901"/>
      <c r="SBG526" s="901"/>
      <c r="SBH526" s="901"/>
      <c r="SBI526" s="901"/>
      <c r="SBJ526" s="901"/>
      <c r="SBK526" s="901"/>
      <c r="SBL526" s="901"/>
      <c r="SBM526" s="901"/>
      <c r="SBN526" s="901"/>
      <c r="SBO526" s="901"/>
      <c r="SBP526" s="901"/>
      <c r="SBQ526" s="901"/>
      <c r="SBR526" s="901"/>
      <c r="SBS526" s="901"/>
      <c r="SBT526" s="901"/>
      <c r="SBU526" s="901"/>
      <c r="SBV526" s="901"/>
      <c r="SBW526" s="901"/>
      <c r="SBX526" s="901"/>
      <c r="SBY526" s="901"/>
      <c r="SBZ526" s="901"/>
      <c r="SCA526" s="901"/>
      <c r="SCB526" s="901"/>
      <c r="SCC526" s="901"/>
      <c r="SCD526" s="901"/>
      <c r="SCE526" s="901"/>
      <c r="SCF526" s="901"/>
      <c r="SCG526" s="901"/>
      <c r="SCH526" s="901"/>
      <c r="SCI526" s="901"/>
      <c r="SCJ526" s="901"/>
      <c r="SCK526" s="901"/>
      <c r="SCL526" s="901"/>
      <c r="SCM526" s="901"/>
      <c r="SCN526" s="901"/>
      <c r="SCO526" s="901"/>
      <c r="SCP526" s="901"/>
      <c r="SCQ526" s="901"/>
      <c r="SCR526" s="901"/>
      <c r="SCS526" s="901"/>
      <c r="SCT526" s="901"/>
      <c r="SCU526" s="901"/>
      <c r="SCV526" s="901"/>
      <c r="SCW526" s="901"/>
      <c r="SCX526" s="901"/>
      <c r="SCY526" s="901"/>
      <c r="SCZ526" s="901"/>
      <c r="SDA526" s="901"/>
      <c r="SDB526" s="901"/>
      <c r="SDC526" s="901"/>
      <c r="SDD526" s="901"/>
      <c r="SDE526" s="901"/>
      <c r="SDF526" s="901"/>
      <c r="SDG526" s="901"/>
      <c r="SDH526" s="901"/>
      <c r="SDI526" s="901"/>
      <c r="SDJ526" s="901"/>
      <c r="SDK526" s="901"/>
      <c r="SDL526" s="901"/>
      <c r="SDM526" s="901"/>
      <c r="SDN526" s="901"/>
      <c r="SDO526" s="901"/>
      <c r="SDP526" s="901"/>
      <c r="SDQ526" s="901"/>
      <c r="SDR526" s="901"/>
      <c r="SDS526" s="901"/>
      <c r="SDT526" s="901"/>
      <c r="SDU526" s="901"/>
      <c r="SDV526" s="901"/>
      <c r="SDW526" s="901"/>
      <c r="SDX526" s="901"/>
      <c r="SDY526" s="901"/>
      <c r="SDZ526" s="901"/>
      <c r="SEA526" s="901"/>
      <c r="SEB526" s="901"/>
      <c r="SEC526" s="901"/>
      <c r="SED526" s="901"/>
      <c r="SEE526" s="901"/>
      <c r="SEF526" s="901"/>
      <c r="SEG526" s="901"/>
      <c r="SEH526" s="901"/>
      <c r="SEI526" s="901"/>
      <c r="SEJ526" s="901"/>
      <c r="SEK526" s="901"/>
      <c r="SEL526" s="901"/>
      <c r="SEM526" s="901"/>
      <c r="SEN526" s="901"/>
      <c r="SEO526" s="901"/>
      <c r="SEP526" s="901"/>
      <c r="SEQ526" s="901"/>
      <c r="SER526" s="901"/>
      <c r="SES526" s="901"/>
      <c r="SET526" s="901"/>
      <c r="SEU526" s="901"/>
      <c r="SEV526" s="901"/>
      <c r="SEW526" s="901"/>
      <c r="SEX526" s="901"/>
      <c r="SEY526" s="901"/>
      <c r="SEZ526" s="901"/>
      <c r="SFA526" s="901"/>
      <c r="SFB526" s="901"/>
      <c r="SFC526" s="901"/>
      <c r="SFD526" s="901"/>
      <c r="SFE526" s="901"/>
      <c r="SFF526" s="901"/>
      <c r="SFG526" s="901"/>
      <c r="SFH526" s="901"/>
      <c r="SFI526" s="901"/>
      <c r="SFJ526" s="901"/>
      <c r="SFK526" s="901"/>
      <c r="SFL526" s="901"/>
      <c r="SFM526" s="901"/>
      <c r="SFN526" s="901"/>
      <c r="SFO526" s="901"/>
      <c r="SFP526" s="901"/>
      <c r="SFQ526" s="901"/>
      <c r="SFR526" s="901"/>
      <c r="SFS526" s="901"/>
      <c r="SFT526" s="901"/>
      <c r="SFU526" s="901"/>
      <c r="SFV526" s="901"/>
      <c r="SFW526" s="901"/>
      <c r="SFX526" s="901"/>
      <c r="SFY526" s="901"/>
      <c r="SFZ526" s="901"/>
      <c r="SGA526" s="901"/>
      <c r="SGB526" s="901"/>
      <c r="SGC526" s="901"/>
      <c r="SGD526" s="901"/>
      <c r="SGE526" s="901"/>
      <c r="SGF526" s="901"/>
      <c r="SGG526" s="901"/>
      <c r="SGH526" s="901"/>
      <c r="SGI526" s="901"/>
      <c r="SGJ526" s="901"/>
      <c r="SGK526" s="901"/>
      <c r="SGL526" s="901"/>
      <c r="SGM526" s="901"/>
      <c r="SGN526" s="901"/>
      <c r="SGO526" s="901"/>
      <c r="SGP526" s="901"/>
      <c r="SGQ526" s="901"/>
      <c r="SGR526" s="901"/>
      <c r="SGS526" s="901"/>
      <c r="SGT526" s="901"/>
      <c r="SGU526" s="901"/>
      <c r="SGV526" s="901"/>
      <c r="SGW526" s="901"/>
      <c r="SGX526" s="901"/>
      <c r="SGY526" s="901"/>
      <c r="SGZ526" s="901"/>
      <c r="SHA526" s="901"/>
      <c r="SHB526" s="901"/>
      <c r="SHC526" s="901"/>
      <c r="SHD526" s="901"/>
      <c r="SHE526" s="901"/>
      <c r="SHF526" s="901"/>
      <c r="SHG526" s="901"/>
      <c r="SHH526" s="901"/>
      <c r="SHI526" s="901"/>
      <c r="SHJ526" s="901"/>
      <c r="SHK526" s="901"/>
      <c r="SHL526" s="901"/>
      <c r="SHM526" s="901"/>
      <c r="SHN526" s="901"/>
      <c r="SHO526" s="901"/>
      <c r="SHP526" s="901"/>
      <c r="SHQ526" s="901"/>
      <c r="SHR526" s="901"/>
      <c r="SHS526" s="901"/>
      <c r="SHT526" s="901"/>
      <c r="SHU526" s="901"/>
      <c r="SHV526" s="901"/>
      <c r="SHW526" s="901"/>
      <c r="SHX526" s="901"/>
      <c r="SHY526" s="901"/>
      <c r="SHZ526" s="901"/>
      <c r="SIA526" s="901"/>
      <c r="SIB526" s="901"/>
      <c r="SIC526" s="901"/>
      <c r="SID526" s="901"/>
      <c r="SIE526" s="901"/>
      <c r="SIF526" s="901"/>
      <c r="SIG526" s="901"/>
      <c r="SIH526" s="901"/>
      <c r="SII526" s="901"/>
      <c r="SIJ526" s="901"/>
      <c r="SIK526" s="901"/>
      <c r="SIL526" s="901"/>
      <c r="SIM526" s="901"/>
      <c r="SIN526" s="901"/>
      <c r="SIO526" s="901"/>
      <c r="SIP526" s="901"/>
      <c r="SIQ526" s="901"/>
      <c r="SIR526" s="901"/>
      <c r="SIS526" s="901"/>
      <c r="SIT526" s="901"/>
      <c r="SIU526" s="901"/>
      <c r="SIV526" s="901"/>
      <c r="SIW526" s="901"/>
      <c r="SIX526" s="901"/>
      <c r="SIY526" s="901"/>
      <c r="SIZ526" s="901"/>
      <c r="SJA526" s="901"/>
      <c r="SJB526" s="901"/>
      <c r="SJC526" s="901"/>
      <c r="SJD526" s="901"/>
      <c r="SJE526" s="901"/>
      <c r="SJF526" s="901"/>
      <c r="SJG526" s="901"/>
      <c r="SJH526" s="901"/>
      <c r="SJI526" s="901"/>
      <c r="SJJ526" s="901"/>
      <c r="SJK526" s="901"/>
      <c r="SJL526" s="901"/>
      <c r="SJM526" s="901"/>
      <c r="SJN526" s="901"/>
      <c r="SJO526" s="901"/>
      <c r="SJP526" s="901"/>
      <c r="SJQ526" s="901"/>
      <c r="SJR526" s="901"/>
      <c r="SJS526" s="901"/>
      <c r="SJT526" s="901"/>
      <c r="SJU526" s="901"/>
      <c r="SJV526" s="901"/>
      <c r="SJW526" s="901"/>
      <c r="SJX526" s="901"/>
      <c r="SJY526" s="901"/>
      <c r="SJZ526" s="901"/>
      <c r="SKA526" s="901"/>
      <c r="SKB526" s="901"/>
      <c r="SKC526" s="901"/>
      <c r="SKD526" s="901"/>
      <c r="SKE526" s="901"/>
      <c r="SKF526" s="901"/>
      <c r="SKG526" s="901"/>
      <c r="SKH526" s="901"/>
      <c r="SKI526" s="901"/>
      <c r="SKJ526" s="901"/>
      <c r="SKK526" s="901"/>
      <c r="SKL526" s="901"/>
      <c r="SKM526" s="901"/>
      <c r="SKN526" s="901"/>
      <c r="SKO526" s="901"/>
      <c r="SKP526" s="901"/>
      <c r="SKQ526" s="901"/>
      <c r="SKR526" s="901"/>
      <c r="SKS526" s="901"/>
      <c r="SKT526" s="901"/>
      <c r="SKU526" s="901"/>
      <c r="SKV526" s="901"/>
      <c r="SKW526" s="901"/>
      <c r="SKX526" s="901"/>
      <c r="SKY526" s="901"/>
      <c r="SKZ526" s="901"/>
      <c r="SLA526" s="901"/>
      <c r="SLB526" s="901"/>
      <c r="SLC526" s="901"/>
      <c r="SLD526" s="901"/>
      <c r="SLE526" s="901"/>
      <c r="SLF526" s="901"/>
      <c r="SLG526" s="901"/>
      <c r="SLH526" s="901"/>
      <c r="SLI526" s="901"/>
      <c r="SLJ526" s="901"/>
      <c r="SLK526" s="901"/>
      <c r="SLL526" s="901"/>
      <c r="SLM526" s="901"/>
      <c r="SLN526" s="901"/>
      <c r="SLO526" s="901"/>
      <c r="SLP526" s="901"/>
      <c r="SLQ526" s="901"/>
      <c r="SLR526" s="901"/>
      <c r="SLS526" s="901"/>
      <c r="SLT526" s="901"/>
      <c r="SLU526" s="901"/>
      <c r="SLV526" s="901"/>
      <c r="SLW526" s="901"/>
      <c r="SLX526" s="901"/>
      <c r="SLY526" s="901"/>
      <c r="SLZ526" s="901"/>
      <c r="SMA526" s="901"/>
      <c r="SMB526" s="901"/>
      <c r="SMC526" s="901"/>
      <c r="SMD526" s="901"/>
      <c r="SME526" s="901"/>
      <c r="SMF526" s="901"/>
      <c r="SMG526" s="901"/>
      <c r="SMH526" s="901"/>
      <c r="SMI526" s="901"/>
      <c r="SMJ526" s="901"/>
      <c r="SMK526" s="901"/>
      <c r="SML526" s="901"/>
      <c r="SMM526" s="901"/>
      <c r="SMN526" s="901"/>
      <c r="SMO526" s="901"/>
      <c r="SMP526" s="901"/>
      <c r="SMQ526" s="901"/>
      <c r="SMR526" s="901"/>
      <c r="SMS526" s="901"/>
      <c r="SMT526" s="901"/>
      <c r="SMU526" s="901"/>
      <c r="SMV526" s="901"/>
      <c r="SMW526" s="901"/>
      <c r="SMX526" s="901"/>
      <c r="SMY526" s="901"/>
      <c r="SMZ526" s="901"/>
      <c r="SNA526" s="901"/>
      <c r="SNB526" s="901"/>
      <c r="SNC526" s="901"/>
      <c r="SND526" s="901"/>
      <c r="SNE526" s="901"/>
      <c r="SNF526" s="901"/>
      <c r="SNG526" s="901"/>
      <c r="SNH526" s="901"/>
      <c r="SNI526" s="901"/>
      <c r="SNJ526" s="901"/>
      <c r="SNK526" s="901"/>
      <c r="SNL526" s="901"/>
      <c r="SNM526" s="901"/>
      <c r="SNN526" s="901"/>
      <c r="SNO526" s="901"/>
      <c r="SNP526" s="901"/>
      <c r="SNQ526" s="901"/>
      <c r="SNR526" s="901"/>
      <c r="SNS526" s="901"/>
      <c r="SNT526" s="901"/>
      <c r="SNU526" s="901"/>
      <c r="SNV526" s="901"/>
      <c r="SNW526" s="901"/>
      <c r="SNX526" s="901"/>
      <c r="SNY526" s="901"/>
      <c r="SNZ526" s="901"/>
      <c r="SOA526" s="901"/>
      <c r="SOB526" s="901"/>
      <c r="SOC526" s="901"/>
      <c r="SOD526" s="901"/>
      <c r="SOE526" s="901"/>
      <c r="SOF526" s="901"/>
      <c r="SOG526" s="901"/>
      <c r="SOH526" s="901"/>
      <c r="SOI526" s="901"/>
      <c r="SOJ526" s="901"/>
      <c r="SOK526" s="901"/>
      <c r="SOL526" s="901"/>
      <c r="SOM526" s="901"/>
      <c r="SON526" s="901"/>
      <c r="SOO526" s="901"/>
      <c r="SOP526" s="901"/>
      <c r="SOQ526" s="901"/>
      <c r="SOR526" s="901"/>
      <c r="SOS526" s="901"/>
      <c r="SOT526" s="901"/>
      <c r="SOU526" s="901"/>
      <c r="SOV526" s="901"/>
      <c r="SOW526" s="901"/>
      <c r="SOX526" s="901"/>
      <c r="SOY526" s="901"/>
      <c r="SOZ526" s="901"/>
      <c r="SPA526" s="901"/>
      <c r="SPB526" s="901"/>
      <c r="SPC526" s="901"/>
      <c r="SPD526" s="901"/>
      <c r="SPE526" s="901"/>
      <c r="SPF526" s="901"/>
      <c r="SPG526" s="901"/>
      <c r="SPH526" s="901"/>
      <c r="SPI526" s="901"/>
      <c r="SPJ526" s="901"/>
      <c r="SPK526" s="901"/>
      <c r="SPL526" s="901"/>
      <c r="SPM526" s="901"/>
      <c r="SPN526" s="901"/>
      <c r="SPO526" s="901"/>
      <c r="SPP526" s="901"/>
      <c r="SPQ526" s="901"/>
      <c r="SPR526" s="901"/>
      <c r="SPS526" s="901"/>
      <c r="SPT526" s="901"/>
      <c r="SPU526" s="901"/>
      <c r="SPV526" s="901"/>
      <c r="SPW526" s="901"/>
      <c r="SPX526" s="901"/>
      <c r="SPY526" s="901"/>
      <c r="SPZ526" s="901"/>
      <c r="SQA526" s="901"/>
      <c r="SQB526" s="901"/>
      <c r="SQC526" s="901"/>
      <c r="SQD526" s="901"/>
      <c r="SQE526" s="901"/>
      <c r="SQF526" s="901"/>
      <c r="SQG526" s="901"/>
      <c r="SQH526" s="901"/>
      <c r="SQI526" s="901"/>
      <c r="SQJ526" s="901"/>
      <c r="SQK526" s="901"/>
      <c r="SQL526" s="901"/>
      <c r="SQM526" s="901"/>
      <c r="SQN526" s="901"/>
      <c r="SQO526" s="901"/>
      <c r="SQP526" s="901"/>
      <c r="SQQ526" s="901"/>
      <c r="SQR526" s="901"/>
      <c r="SQS526" s="901"/>
      <c r="SQT526" s="901"/>
      <c r="SQU526" s="901"/>
      <c r="SQV526" s="901"/>
      <c r="SQW526" s="901"/>
      <c r="SQX526" s="901"/>
      <c r="SQY526" s="901"/>
      <c r="SQZ526" s="901"/>
      <c r="SRA526" s="901"/>
      <c r="SRB526" s="901"/>
      <c r="SRC526" s="901"/>
      <c r="SRD526" s="901"/>
      <c r="SRE526" s="901"/>
      <c r="SRF526" s="901"/>
      <c r="SRG526" s="901"/>
      <c r="SRH526" s="901"/>
      <c r="SRI526" s="901"/>
      <c r="SRJ526" s="901"/>
      <c r="SRK526" s="901"/>
      <c r="SRL526" s="901"/>
      <c r="SRM526" s="901"/>
      <c r="SRN526" s="901"/>
      <c r="SRO526" s="901"/>
      <c r="SRP526" s="901"/>
      <c r="SRQ526" s="901"/>
      <c r="SRR526" s="901"/>
      <c r="SRS526" s="901"/>
      <c r="SRT526" s="901"/>
      <c r="SRU526" s="901"/>
      <c r="SRV526" s="901"/>
      <c r="SRW526" s="901"/>
      <c r="SRX526" s="901"/>
      <c r="SRY526" s="901"/>
      <c r="SRZ526" s="901"/>
      <c r="SSA526" s="901"/>
      <c r="SSB526" s="901"/>
      <c r="SSC526" s="901"/>
      <c r="SSD526" s="901"/>
      <c r="SSE526" s="901"/>
      <c r="SSF526" s="901"/>
      <c r="SSG526" s="901"/>
      <c r="SSH526" s="901"/>
      <c r="SSI526" s="901"/>
      <c r="SSJ526" s="901"/>
      <c r="SSK526" s="901"/>
      <c r="SSL526" s="901"/>
      <c r="SSM526" s="901"/>
      <c r="SSN526" s="901"/>
      <c r="SSO526" s="901"/>
      <c r="SSP526" s="901"/>
      <c r="SSQ526" s="901"/>
      <c r="SSR526" s="901"/>
      <c r="SSS526" s="901"/>
      <c r="SST526" s="901"/>
      <c r="SSU526" s="901"/>
      <c r="SSV526" s="901"/>
      <c r="SSW526" s="901"/>
      <c r="SSX526" s="901"/>
      <c r="SSY526" s="901"/>
      <c r="SSZ526" s="901"/>
      <c r="STA526" s="901"/>
      <c r="STB526" s="901"/>
      <c r="STC526" s="901"/>
      <c r="STD526" s="901"/>
      <c r="STE526" s="901"/>
      <c r="STF526" s="901"/>
      <c r="STG526" s="901"/>
      <c r="STH526" s="901"/>
      <c r="STI526" s="901"/>
      <c r="STJ526" s="901"/>
      <c r="STK526" s="901"/>
      <c r="STL526" s="901"/>
      <c r="STM526" s="901"/>
      <c r="STN526" s="901"/>
      <c r="STO526" s="901"/>
      <c r="STP526" s="901"/>
      <c r="STQ526" s="901"/>
      <c r="STR526" s="901"/>
      <c r="STS526" s="901"/>
      <c r="STT526" s="901"/>
      <c r="STU526" s="901"/>
      <c r="STV526" s="901"/>
      <c r="STW526" s="901"/>
      <c r="STX526" s="901"/>
      <c r="STY526" s="901"/>
      <c r="STZ526" s="901"/>
      <c r="SUA526" s="901"/>
      <c r="SUB526" s="901"/>
      <c r="SUC526" s="901"/>
      <c r="SUD526" s="901"/>
      <c r="SUE526" s="901"/>
      <c r="SUF526" s="901"/>
      <c r="SUG526" s="901"/>
      <c r="SUH526" s="901"/>
      <c r="SUI526" s="901"/>
      <c r="SUJ526" s="901"/>
      <c r="SUK526" s="901"/>
      <c r="SUL526" s="901"/>
      <c r="SUM526" s="901"/>
      <c r="SUN526" s="901"/>
      <c r="SUO526" s="901"/>
      <c r="SUP526" s="901"/>
      <c r="SUQ526" s="901"/>
      <c r="SUR526" s="901"/>
      <c r="SUS526" s="901"/>
      <c r="SUT526" s="901"/>
      <c r="SUU526" s="901"/>
      <c r="SUV526" s="901"/>
      <c r="SUW526" s="901"/>
      <c r="SUX526" s="901"/>
      <c r="SUY526" s="901"/>
      <c r="SUZ526" s="901"/>
      <c r="SVA526" s="901"/>
      <c r="SVB526" s="901"/>
      <c r="SVC526" s="901"/>
      <c r="SVD526" s="901"/>
      <c r="SVE526" s="901"/>
      <c r="SVF526" s="901"/>
      <c r="SVG526" s="901"/>
      <c r="SVH526" s="901"/>
      <c r="SVI526" s="901"/>
      <c r="SVJ526" s="901"/>
      <c r="SVK526" s="901"/>
      <c r="SVL526" s="901"/>
      <c r="SVM526" s="901"/>
      <c r="SVN526" s="901"/>
      <c r="SVO526" s="901"/>
      <c r="SVP526" s="901"/>
      <c r="SVQ526" s="901"/>
      <c r="SVR526" s="901"/>
      <c r="SVS526" s="901"/>
      <c r="SVT526" s="901"/>
      <c r="SVU526" s="901"/>
      <c r="SVV526" s="901"/>
      <c r="SVW526" s="901"/>
      <c r="SVX526" s="901"/>
      <c r="SVY526" s="901"/>
      <c r="SVZ526" s="901"/>
      <c r="SWA526" s="901"/>
      <c r="SWB526" s="901"/>
      <c r="SWC526" s="901"/>
      <c r="SWD526" s="901"/>
      <c r="SWE526" s="901"/>
      <c r="SWF526" s="901"/>
      <c r="SWG526" s="901"/>
      <c r="SWH526" s="901"/>
      <c r="SWI526" s="901"/>
      <c r="SWJ526" s="901"/>
      <c r="SWK526" s="901"/>
      <c r="SWL526" s="901"/>
      <c r="SWM526" s="901"/>
      <c r="SWN526" s="901"/>
      <c r="SWO526" s="901"/>
      <c r="SWP526" s="901"/>
      <c r="SWQ526" s="901"/>
      <c r="SWR526" s="901"/>
      <c r="SWS526" s="901"/>
      <c r="SWT526" s="901"/>
      <c r="SWU526" s="901"/>
      <c r="SWV526" s="901"/>
      <c r="SWW526" s="901"/>
      <c r="SWX526" s="901"/>
      <c r="SWY526" s="901"/>
      <c r="SWZ526" s="901"/>
      <c r="SXA526" s="901"/>
      <c r="SXB526" s="901"/>
      <c r="SXC526" s="901"/>
      <c r="SXD526" s="901"/>
      <c r="SXE526" s="901"/>
      <c r="SXF526" s="901"/>
      <c r="SXG526" s="901"/>
      <c r="SXH526" s="901"/>
      <c r="SXI526" s="901"/>
      <c r="SXJ526" s="901"/>
      <c r="SXK526" s="901"/>
      <c r="SXL526" s="901"/>
      <c r="SXM526" s="901"/>
      <c r="SXN526" s="901"/>
      <c r="SXO526" s="901"/>
      <c r="SXP526" s="901"/>
      <c r="SXQ526" s="901"/>
      <c r="SXR526" s="901"/>
      <c r="SXS526" s="901"/>
      <c r="SXT526" s="901"/>
      <c r="SXU526" s="901"/>
      <c r="SXV526" s="901"/>
      <c r="SXW526" s="901"/>
      <c r="SXX526" s="901"/>
      <c r="SXY526" s="901"/>
      <c r="SXZ526" s="901"/>
      <c r="SYA526" s="901"/>
      <c r="SYB526" s="901"/>
      <c r="SYC526" s="901"/>
      <c r="SYD526" s="901"/>
      <c r="SYE526" s="901"/>
      <c r="SYF526" s="901"/>
      <c r="SYG526" s="901"/>
      <c r="SYH526" s="901"/>
      <c r="SYI526" s="901"/>
      <c r="SYJ526" s="901"/>
      <c r="SYK526" s="901"/>
      <c r="SYL526" s="901"/>
      <c r="SYM526" s="901"/>
      <c r="SYN526" s="901"/>
      <c r="SYO526" s="901"/>
      <c r="SYP526" s="901"/>
      <c r="SYQ526" s="901"/>
      <c r="SYR526" s="901"/>
      <c r="SYS526" s="901"/>
      <c r="SYT526" s="901"/>
      <c r="SYU526" s="901"/>
      <c r="SYV526" s="901"/>
      <c r="SYW526" s="901"/>
      <c r="SYX526" s="901"/>
      <c r="SYY526" s="901"/>
      <c r="SYZ526" s="901"/>
      <c r="SZA526" s="901"/>
      <c r="SZB526" s="901"/>
      <c r="SZC526" s="901"/>
      <c r="SZD526" s="901"/>
      <c r="SZE526" s="901"/>
      <c r="SZF526" s="901"/>
      <c r="SZG526" s="901"/>
      <c r="SZH526" s="901"/>
      <c r="SZI526" s="901"/>
      <c r="SZJ526" s="901"/>
      <c r="SZK526" s="901"/>
      <c r="SZL526" s="901"/>
      <c r="SZM526" s="901"/>
      <c r="SZN526" s="901"/>
      <c r="SZO526" s="901"/>
      <c r="SZP526" s="901"/>
      <c r="SZQ526" s="901"/>
      <c r="SZR526" s="901"/>
      <c r="SZS526" s="901"/>
      <c r="SZT526" s="901"/>
      <c r="SZU526" s="901"/>
      <c r="SZV526" s="901"/>
      <c r="SZW526" s="901"/>
      <c r="SZX526" s="901"/>
      <c r="SZY526" s="901"/>
      <c r="SZZ526" s="901"/>
      <c r="TAA526" s="901"/>
      <c r="TAB526" s="901"/>
      <c r="TAC526" s="901"/>
      <c r="TAD526" s="901"/>
      <c r="TAE526" s="901"/>
      <c r="TAF526" s="901"/>
      <c r="TAG526" s="901"/>
      <c r="TAH526" s="901"/>
      <c r="TAI526" s="901"/>
      <c r="TAJ526" s="901"/>
      <c r="TAK526" s="901"/>
      <c r="TAL526" s="901"/>
      <c r="TAM526" s="901"/>
      <c r="TAN526" s="901"/>
      <c r="TAO526" s="901"/>
      <c r="TAP526" s="901"/>
      <c r="TAQ526" s="901"/>
      <c r="TAR526" s="901"/>
      <c r="TAS526" s="901"/>
      <c r="TAT526" s="901"/>
      <c r="TAU526" s="901"/>
      <c r="TAV526" s="901"/>
      <c r="TAW526" s="901"/>
      <c r="TAX526" s="901"/>
      <c r="TAY526" s="901"/>
      <c r="TAZ526" s="901"/>
      <c r="TBA526" s="901"/>
      <c r="TBB526" s="901"/>
      <c r="TBC526" s="901"/>
      <c r="TBD526" s="901"/>
      <c r="TBE526" s="901"/>
      <c r="TBF526" s="901"/>
      <c r="TBG526" s="901"/>
      <c r="TBH526" s="901"/>
      <c r="TBI526" s="901"/>
      <c r="TBJ526" s="901"/>
      <c r="TBK526" s="901"/>
      <c r="TBL526" s="901"/>
      <c r="TBM526" s="901"/>
      <c r="TBN526" s="901"/>
      <c r="TBO526" s="901"/>
      <c r="TBP526" s="901"/>
      <c r="TBQ526" s="901"/>
      <c r="TBR526" s="901"/>
      <c r="TBS526" s="901"/>
      <c r="TBT526" s="901"/>
      <c r="TBU526" s="901"/>
      <c r="TBV526" s="901"/>
      <c r="TBW526" s="901"/>
      <c r="TBX526" s="901"/>
      <c r="TBY526" s="901"/>
      <c r="TBZ526" s="901"/>
      <c r="TCA526" s="901"/>
      <c r="TCB526" s="901"/>
      <c r="TCC526" s="901"/>
      <c r="TCD526" s="901"/>
      <c r="TCE526" s="901"/>
      <c r="TCF526" s="901"/>
      <c r="TCG526" s="901"/>
      <c r="TCH526" s="901"/>
      <c r="TCI526" s="901"/>
      <c r="TCJ526" s="901"/>
      <c r="TCK526" s="901"/>
      <c r="TCL526" s="901"/>
      <c r="TCM526" s="901"/>
      <c r="TCN526" s="901"/>
      <c r="TCO526" s="901"/>
      <c r="TCP526" s="901"/>
      <c r="TCQ526" s="901"/>
      <c r="TCR526" s="901"/>
      <c r="TCS526" s="901"/>
      <c r="TCT526" s="901"/>
      <c r="TCU526" s="901"/>
      <c r="TCV526" s="901"/>
      <c r="TCW526" s="901"/>
      <c r="TCX526" s="901"/>
      <c r="TCY526" s="901"/>
      <c r="TCZ526" s="901"/>
      <c r="TDA526" s="901"/>
      <c r="TDB526" s="901"/>
      <c r="TDC526" s="901"/>
      <c r="TDD526" s="901"/>
      <c r="TDE526" s="901"/>
      <c r="TDF526" s="901"/>
      <c r="TDG526" s="901"/>
      <c r="TDH526" s="901"/>
      <c r="TDI526" s="901"/>
      <c r="TDJ526" s="901"/>
      <c r="TDK526" s="901"/>
      <c r="TDL526" s="901"/>
      <c r="TDM526" s="901"/>
      <c r="TDN526" s="901"/>
      <c r="TDO526" s="901"/>
      <c r="TDP526" s="901"/>
      <c r="TDQ526" s="901"/>
      <c r="TDR526" s="901"/>
      <c r="TDS526" s="901"/>
      <c r="TDT526" s="901"/>
      <c r="TDU526" s="901"/>
      <c r="TDV526" s="901"/>
      <c r="TDW526" s="901"/>
      <c r="TDX526" s="901"/>
      <c r="TDY526" s="901"/>
      <c r="TDZ526" s="901"/>
      <c r="TEA526" s="901"/>
      <c r="TEB526" s="901"/>
      <c r="TEC526" s="901"/>
      <c r="TED526" s="901"/>
      <c r="TEE526" s="901"/>
      <c r="TEF526" s="901"/>
      <c r="TEG526" s="901"/>
      <c r="TEH526" s="901"/>
      <c r="TEI526" s="901"/>
      <c r="TEJ526" s="901"/>
      <c r="TEK526" s="901"/>
      <c r="TEL526" s="901"/>
      <c r="TEM526" s="901"/>
      <c r="TEN526" s="901"/>
      <c r="TEO526" s="901"/>
      <c r="TEP526" s="901"/>
      <c r="TEQ526" s="901"/>
      <c r="TER526" s="901"/>
      <c r="TES526" s="901"/>
      <c r="TET526" s="901"/>
      <c r="TEU526" s="901"/>
      <c r="TEV526" s="901"/>
      <c r="TEW526" s="901"/>
      <c r="TEX526" s="901"/>
      <c r="TEY526" s="901"/>
      <c r="TEZ526" s="901"/>
      <c r="TFA526" s="901"/>
      <c r="TFB526" s="901"/>
      <c r="TFC526" s="901"/>
      <c r="TFD526" s="901"/>
      <c r="TFE526" s="901"/>
      <c r="TFF526" s="901"/>
      <c r="TFG526" s="901"/>
      <c r="TFH526" s="901"/>
      <c r="TFI526" s="901"/>
      <c r="TFJ526" s="901"/>
      <c r="TFK526" s="901"/>
      <c r="TFL526" s="901"/>
      <c r="TFM526" s="901"/>
      <c r="TFN526" s="901"/>
      <c r="TFO526" s="901"/>
      <c r="TFP526" s="901"/>
      <c r="TFQ526" s="901"/>
      <c r="TFR526" s="901"/>
      <c r="TFS526" s="901"/>
      <c r="TFT526" s="901"/>
      <c r="TFU526" s="901"/>
      <c r="TFV526" s="901"/>
      <c r="TFW526" s="901"/>
      <c r="TFX526" s="901"/>
      <c r="TFY526" s="901"/>
      <c r="TFZ526" s="901"/>
      <c r="TGA526" s="901"/>
      <c r="TGB526" s="901"/>
      <c r="TGC526" s="901"/>
      <c r="TGD526" s="901"/>
      <c r="TGE526" s="901"/>
      <c r="TGF526" s="901"/>
      <c r="TGG526" s="901"/>
      <c r="TGH526" s="901"/>
      <c r="TGI526" s="901"/>
      <c r="TGJ526" s="901"/>
      <c r="TGK526" s="901"/>
      <c r="TGL526" s="901"/>
      <c r="TGM526" s="901"/>
      <c r="TGN526" s="901"/>
      <c r="TGO526" s="901"/>
      <c r="TGP526" s="901"/>
      <c r="TGQ526" s="901"/>
      <c r="TGR526" s="901"/>
      <c r="TGS526" s="901"/>
      <c r="TGT526" s="901"/>
      <c r="TGU526" s="901"/>
      <c r="TGV526" s="901"/>
      <c r="TGW526" s="901"/>
      <c r="TGX526" s="901"/>
      <c r="TGY526" s="901"/>
      <c r="TGZ526" s="901"/>
      <c r="THA526" s="901"/>
      <c r="THB526" s="901"/>
      <c r="THC526" s="901"/>
      <c r="THD526" s="901"/>
      <c r="THE526" s="901"/>
      <c r="THF526" s="901"/>
      <c r="THG526" s="901"/>
      <c r="THH526" s="901"/>
      <c r="THI526" s="901"/>
      <c r="THJ526" s="901"/>
      <c r="THK526" s="901"/>
      <c r="THL526" s="901"/>
      <c r="THM526" s="901"/>
      <c r="THN526" s="901"/>
      <c r="THO526" s="901"/>
      <c r="THP526" s="901"/>
      <c r="THQ526" s="901"/>
      <c r="THR526" s="901"/>
      <c r="THS526" s="901"/>
      <c r="THT526" s="901"/>
      <c r="THU526" s="901"/>
      <c r="THV526" s="901"/>
      <c r="THW526" s="901"/>
      <c r="THX526" s="901"/>
      <c r="THY526" s="901"/>
      <c r="THZ526" s="901"/>
      <c r="TIA526" s="901"/>
      <c r="TIB526" s="901"/>
      <c r="TIC526" s="901"/>
      <c r="TID526" s="901"/>
      <c r="TIE526" s="901"/>
      <c r="TIF526" s="901"/>
      <c r="TIG526" s="901"/>
      <c r="TIH526" s="901"/>
      <c r="TII526" s="901"/>
      <c r="TIJ526" s="901"/>
      <c r="TIK526" s="901"/>
      <c r="TIL526" s="901"/>
      <c r="TIM526" s="901"/>
      <c r="TIN526" s="901"/>
      <c r="TIO526" s="901"/>
      <c r="TIP526" s="901"/>
      <c r="TIQ526" s="901"/>
      <c r="TIR526" s="901"/>
      <c r="TIS526" s="901"/>
      <c r="TIT526" s="901"/>
      <c r="TIU526" s="901"/>
      <c r="TIV526" s="901"/>
      <c r="TIW526" s="901"/>
      <c r="TIX526" s="901"/>
      <c r="TIY526" s="901"/>
      <c r="TIZ526" s="901"/>
      <c r="TJA526" s="901"/>
      <c r="TJB526" s="901"/>
      <c r="TJC526" s="901"/>
      <c r="TJD526" s="901"/>
      <c r="TJE526" s="901"/>
      <c r="TJF526" s="901"/>
      <c r="TJG526" s="901"/>
      <c r="TJH526" s="901"/>
      <c r="TJI526" s="901"/>
      <c r="TJJ526" s="901"/>
      <c r="TJK526" s="901"/>
      <c r="TJL526" s="901"/>
      <c r="TJM526" s="901"/>
      <c r="TJN526" s="901"/>
      <c r="TJO526" s="901"/>
      <c r="TJP526" s="901"/>
      <c r="TJQ526" s="901"/>
      <c r="TJR526" s="901"/>
      <c r="TJS526" s="901"/>
      <c r="TJT526" s="901"/>
      <c r="TJU526" s="901"/>
      <c r="TJV526" s="901"/>
      <c r="TJW526" s="901"/>
      <c r="TJX526" s="901"/>
      <c r="TJY526" s="901"/>
      <c r="TJZ526" s="901"/>
      <c r="TKA526" s="901"/>
      <c r="TKB526" s="901"/>
      <c r="TKC526" s="901"/>
      <c r="TKD526" s="901"/>
      <c r="TKE526" s="901"/>
      <c r="TKF526" s="901"/>
      <c r="TKG526" s="901"/>
      <c r="TKH526" s="901"/>
      <c r="TKI526" s="901"/>
      <c r="TKJ526" s="901"/>
      <c r="TKK526" s="901"/>
      <c r="TKL526" s="901"/>
      <c r="TKM526" s="901"/>
      <c r="TKN526" s="901"/>
      <c r="TKO526" s="901"/>
      <c r="TKP526" s="901"/>
      <c r="TKQ526" s="901"/>
      <c r="TKR526" s="901"/>
      <c r="TKS526" s="901"/>
      <c r="TKT526" s="901"/>
      <c r="TKU526" s="901"/>
      <c r="TKV526" s="901"/>
      <c r="TKW526" s="901"/>
      <c r="TKX526" s="901"/>
      <c r="TKY526" s="901"/>
      <c r="TKZ526" s="901"/>
      <c r="TLA526" s="901"/>
      <c r="TLB526" s="901"/>
      <c r="TLC526" s="901"/>
      <c r="TLD526" s="901"/>
      <c r="TLE526" s="901"/>
      <c r="TLF526" s="901"/>
      <c r="TLG526" s="901"/>
      <c r="TLH526" s="901"/>
      <c r="TLI526" s="901"/>
      <c r="TLJ526" s="901"/>
      <c r="TLK526" s="901"/>
      <c r="TLL526" s="901"/>
      <c r="TLM526" s="901"/>
      <c r="TLN526" s="901"/>
      <c r="TLO526" s="901"/>
      <c r="TLP526" s="901"/>
      <c r="TLQ526" s="901"/>
      <c r="TLR526" s="901"/>
      <c r="TLS526" s="901"/>
      <c r="TLT526" s="901"/>
      <c r="TLU526" s="901"/>
      <c r="TLV526" s="901"/>
      <c r="TLW526" s="901"/>
      <c r="TLX526" s="901"/>
      <c r="TLY526" s="901"/>
      <c r="TLZ526" s="901"/>
      <c r="TMA526" s="901"/>
      <c r="TMB526" s="901"/>
      <c r="TMC526" s="901"/>
      <c r="TMD526" s="901"/>
      <c r="TME526" s="901"/>
      <c r="TMF526" s="901"/>
      <c r="TMG526" s="901"/>
      <c r="TMH526" s="901"/>
      <c r="TMI526" s="901"/>
      <c r="TMJ526" s="901"/>
      <c r="TMK526" s="901"/>
      <c r="TML526" s="901"/>
      <c r="TMM526" s="901"/>
      <c r="TMN526" s="901"/>
      <c r="TMO526" s="901"/>
      <c r="TMP526" s="901"/>
      <c r="TMQ526" s="901"/>
      <c r="TMR526" s="901"/>
      <c r="TMS526" s="901"/>
      <c r="TMT526" s="901"/>
      <c r="TMU526" s="901"/>
      <c r="TMV526" s="901"/>
      <c r="TMW526" s="901"/>
      <c r="TMX526" s="901"/>
      <c r="TMY526" s="901"/>
      <c r="TMZ526" s="901"/>
      <c r="TNA526" s="901"/>
      <c r="TNB526" s="901"/>
      <c r="TNC526" s="901"/>
      <c r="TND526" s="901"/>
      <c r="TNE526" s="901"/>
      <c r="TNF526" s="901"/>
      <c r="TNG526" s="901"/>
      <c r="TNH526" s="901"/>
      <c r="TNI526" s="901"/>
      <c r="TNJ526" s="901"/>
      <c r="TNK526" s="901"/>
      <c r="TNL526" s="901"/>
      <c r="TNM526" s="901"/>
      <c r="TNN526" s="901"/>
      <c r="TNO526" s="901"/>
      <c r="TNP526" s="901"/>
      <c r="TNQ526" s="901"/>
      <c r="TNR526" s="901"/>
      <c r="TNS526" s="901"/>
      <c r="TNT526" s="901"/>
      <c r="TNU526" s="901"/>
      <c r="TNV526" s="901"/>
      <c r="TNW526" s="901"/>
      <c r="TNX526" s="901"/>
      <c r="TNY526" s="901"/>
      <c r="TNZ526" s="901"/>
      <c r="TOA526" s="901"/>
      <c r="TOB526" s="901"/>
      <c r="TOC526" s="901"/>
      <c r="TOD526" s="901"/>
      <c r="TOE526" s="901"/>
      <c r="TOF526" s="901"/>
      <c r="TOG526" s="901"/>
      <c r="TOH526" s="901"/>
      <c r="TOI526" s="901"/>
      <c r="TOJ526" s="901"/>
      <c r="TOK526" s="901"/>
      <c r="TOL526" s="901"/>
      <c r="TOM526" s="901"/>
      <c r="TON526" s="901"/>
      <c r="TOO526" s="901"/>
      <c r="TOP526" s="901"/>
      <c r="TOQ526" s="901"/>
      <c r="TOR526" s="901"/>
      <c r="TOS526" s="901"/>
      <c r="TOT526" s="901"/>
      <c r="TOU526" s="901"/>
      <c r="TOV526" s="901"/>
      <c r="TOW526" s="901"/>
      <c r="TOX526" s="901"/>
      <c r="TOY526" s="901"/>
      <c r="TOZ526" s="901"/>
      <c r="TPA526" s="901"/>
      <c r="TPB526" s="901"/>
      <c r="TPC526" s="901"/>
      <c r="TPD526" s="901"/>
      <c r="TPE526" s="901"/>
      <c r="TPF526" s="901"/>
      <c r="TPG526" s="901"/>
      <c r="TPH526" s="901"/>
      <c r="TPI526" s="901"/>
      <c r="TPJ526" s="901"/>
      <c r="TPK526" s="901"/>
      <c r="TPL526" s="901"/>
      <c r="TPM526" s="901"/>
      <c r="TPN526" s="901"/>
      <c r="TPO526" s="901"/>
      <c r="TPP526" s="901"/>
      <c r="TPQ526" s="901"/>
      <c r="TPR526" s="901"/>
      <c r="TPS526" s="901"/>
      <c r="TPT526" s="901"/>
      <c r="TPU526" s="901"/>
      <c r="TPV526" s="901"/>
      <c r="TPW526" s="901"/>
      <c r="TPX526" s="901"/>
      <c r="TPY526" s="901"/>
      <c r="TPZ526" s="901"/>
      <c r="TQA526" s="901"/>
      <c r="TQB526" s="901"/>
      <c r="TQC526" s="901"/>
      <c r="TQD526" s="901"/>
      <c r="TQE526" s="901"/>
      <c r="TQF526" s="901"/>
      <c r="TQG526" s="901"/>
      <c r="TQH526" s="901"/>
      <c r="TQI526" s="901"/>
      <c r="TQJ526" s="901"/>
      <c r="TQK526" s="901"/>
      <c r="TQL526" s="901"/>
      <c r="TQM526" s="901"/>
      <c r="TQN526" s="901"/>
      <c r="TQO526" s="901"/>
      <c r="TQP526" s="901"/>
      <c r="TQQ526" s="901"/>
      <c r="TQR526" s="901"/>
      <c r="TQS526" s="901"/>
      <c r="TQT526" s="901"/>
      <c r="TQU526" s="901"/>
      <c r="TQV526" s="901"/>
      <c r="TQW526" s="901"/>
      <c r="TQX526" s="901"/>
      <c r="TQY526" s="901"/>
      <c r="TQZ526" s="901"/>
      <c r="TRA526" s="901"/>
      <c r="TRB526" s="901"/>
      <c r="TRC526" s="901"/>
      <c r="TRD526" s="901"/>
      <c r="TRE526" s="901"/>
      <c r="TRF526" s="901"/>
      <c r="TRG526" s="901"/>
      <c r="TRH526" s="901"/>
      <c r="TRI526" s="901"/>
      <c r="TRJ526" s="901"/>
      <c r="TRK526" s="901"/>
      <c r="TRL526" s="901"/>
      <c r="TRM526" s="901"/>
      <c r="TRN526" s="901"/>
      <c r="TRO526" s="901"/>
      <c r="TRP526" s="901"/>
      <c r="TRQ526" s="901"/>
      <c r="TRR526" s="901"/>
      <c r="TRS526" s="901"/>
      <c r="TRT526" s="901"/>
      <c r="TRU526" s="901"/>
      <c r="TRV526" s="901"/>
      <c r="TRW526" s="901"/>
      <c r="TRX526" s="901"/>
      <c r="TRY526" s="901"/>
      <c r="TRZ526" s="901"/>
      <c r="TSA526" s="901"/>
      <c r="TSB526" s="901"/>
      <c r="TSC526" s="901"/>
      <c r="TSD526" s="901"/>
      <c r="TSE526" s="901"/>
      <c r="TSF526" s="901"/>
      <c r="TSG526" s="901"/>
      <c r="TSH526" s="901"/>
      <c r="TSI526" s="901"/>
      <c r="TSJ526" s="901"/>
      <c r="TSK526" s="901"/>
      <c r="TSL526" s="901"/>
      <c r="TSM526" s="901"/>
      <c r="TSN526" s="901"/>
      <c r="TSO526" s="901"/>
      <c r="TSP526" s="901"/>
      <c r="TSQ526" s="901"/>
      <c r="TSR526" s="901"/>
      <c r="TSS526" s="901"/>
      <c r="TST526" s="901"/>
      <c r="TSU526" s="901"/>
      <c r="TSV526" s="901"/>
      <c r="TSW526" s="901"/>
      <c r="TSX526" s="901"/>
      <c r="TSY526" s="901"/>
      <c r="TSZ526" s="901"/>
      <c r="TTA526" s="901"/>
      <c r="TTB526" s="901"/>
      <c r="TTC526" s="901"/>
      <c r="TTD526" s="901"/>
      <c r="TTE526" s="901"/>
      <c r="TTF526" s="901"/>
      <c r="TTG526" s="901"/>
      <c r="TTH526" s="901"/>
      <c r="TTI526" s="901"/>
      <c r="TTJ526" s="901"/>
      <c r="TTK526" s="901"/>
      <c r="TTL526" s="901"/>
      <c r="TTM526" s="901"/>
      <c r="TTN526" s="901"/>
      <c r="TTO526" s="901"/>
      <c r="TTP526" s="901"/>
      <c r="TTQ526" s="901"/>
      <c r="TTR526" s="901"/>
      <c r="TTS526" s="901"/>
      <c r="TTT526" s="901"/>
      <c r="TTU526" s="901"/>
      <c r="TTV526" s="901"/>
      <c r="TTW526" s="901"/>
      <c r="TTX526" s="901"/>
      <c r="TTY526" s="901"/>
      <c r="TTZ526" s="901"/>
      <c r="TUA526" s="901"/>
      <c r="TUB526" s="901"/>
      <c r="TUC526" s="901"/>
      <c r="TUD526" s="901"/>
      <c r="TUE526" s="901"/>
      <c r="TUF526" s="901"/>
      <c r="TUG526" s="901"/>
      <c r="TUH526" s="901"/>
      <c r="TUI526" s="901"/>
      <c r="TUJ526" s="901"/>
      <c r="TUK526" s="901"/>
      <c r="TUL526" s="901"/>
      <c r="TUM526" s="901"/>
      <c r="TUN526" s="901"/>
      <c r="TUO526" s="901"/>
      <c r="TUP526" s="901"/>
      <c r="TUQ526" s="901"/>
      <c r="TUR526" s="901"/>
      <c r="TUS526" s="901"/>
      <c r="TUT526" s="901"/>
      <c r="TUU526" s="901"/>
      <c r="TUV526" s="901"/>
      <c r="TUW526" s="901"/>
      <c r="TUX526" s="901"/>
      <c r="TUY526" s="901"/>
      <c r="TUZ526" s="901"/>
      <c r="TVA526" s="901"/>
      <c r="TVB526" s="901"/>
      <c r="TVC526" s="901"/>
      <c r="TVD526" s="901"/>
      <c r="TVE526" s="901"/>
      <c r="TVF526" s="901"/>
      <c r="TVG526" s="901"/>
      <c r="TVH526" s="901"/>
      <c r="TVI526" s="901"/>
      <c r="TVJ526" s="901"/>
      <c r="TVK526" s="901"/>
      <c r="TVL526" s="901"/>
      <c r="TVM526" s="901"/>
      <c r="TVN526" s="901"/>
      <c r="TVO526" s="901"/>
      <c r="TVP526" s="901"/>
      <c r="TVQ526" s="901"/>
      <c r="TVR526" s="901"/>
      <c r="TVS526" s="901"/>
      <c r="TVT526" s="901"/>
      <c r="TVU526" s="901"/>
      <c r="TVV526" s="901"/>
      <c r="TVW526" s="901"/>
      <c r="TVX526" s="901"/>
      <c r="TVY526" s="901"/>
      <c r="TVZ526" s="901"/>
      <c r="TWA526" s="901"/>
      <c r="TWB526" s="901"/>
      <c r="TWC526" s="901"/>
      <c r="TWD526" s="901"/>
      <c r="TWE526" s="901"/>
      <c r="TWF526" s="901"/>
      <c r="TWG526" s="901"/>
      <c r="TWH526" s="901"/>
      <c r="TWI526" s="901"/>
      <c r="TWJ526" s="901"/>
      <c r="TWK526" s="901"/>
      <c r="TWL526" s="901"/>
      <c r="TWM526" s="901"/>
      <c r="TWN526" s="901"/>
      <c r="TWO526" s="901"/>
      <c r="TWP526" s="901"/>
      <c r="TWQ526" s="901"/>
      <c r="TWR526" s="901"/>
      <c r="TWS526" s="901"/>
      <c r="TWT526" s="901"/>
      <c r="TWU526" s="901"/>
      <c r="TWV526" s="901"/>
      <c r="TWW526" s="901"/>
      <c r="TWX526" s="901"/>
      <c r="TWY526" s="901"/>
      <c r="TWZ526" s="901"/>
      <c r="TXA526" s="901"/>
      <c r="TXB526" s="901"/>
      <c r="TXC526" s="901"/>
      <c r="TXD526" s="901"/>
      <c r="TXE526" s="901"/>
      <c r="TXF526" s="901"/>
      <c r="TXG526" s="901"/>
      <c r="TXH526" s="901"/>
      <c r="TXI526" s="901"/>
      <c r="TXJ526" s="901"/>
      <c r="TXK526" s="901"/>
      <c r="TXL526" s="901"/>
      <c r="TXM526" s="901"/>
      <c r="TXN526" s="901"/>
      <c r="TXO526" s="901"/>
      <c r="TXP526" s="901"/>
      <c r="TXQ526" s="901"/>
      <c r="TXR526" s="901"/>
      <c r="TXS526" s="901"/>
      <c r="TXT526" s="901"/>
      <c r="TXU526" s="901"/>
      <c r="TXV526" s="901"/>
      <c r="TXW526" s="901"/>
      <c r="TXX526" s="901"/>
      <c r="TXY526" s="901"/>
      <c r="TXZ526" s="901"/>
      <c r="TYA526" s="901"/>
      <c r="TYB526" s="901"/>
      <c r="TYC526" s="901"/>
      <c r="TYD526" s="901"/>
      <c r="TYE526" s="901"/>
      <c r="TYF526" s="901"/>
      <c r="TYG526" s="901"/>
      <c r="TYH526" s="901"/>
      <c r="TYI526" s="901"/>
      <c r="TYJ526" s="901"/>
      <c r="TYK526" s="901"/>
      <c r="TYL526" s="901"/>
      <c r="TYM526" s="901"/>
      <c r="TYN526" s="901"/>
      <c r="TYO526" s="901"/>
      <c r="TYP526" s="901"/>
      <c r="TYQ526" s="901"/>
      <c r="TYR526" s="901"/>
      <c r="TYS526" s="901"/>
      <c r="TYT526" s="901"/>
      <c r="TYU526" s="901"/>
      <c r="TYV526" s="901"/>
      <c r="TYW526" s="901"/>
      <c r="TYX526" s="901"/>
      <c r="TYY526" s="901"/>
      <c r="TYZ526" s="901"/>
      <c r="TZA526" s="901"/>
      <c r="TZB526" s="901"/>
      <c r="TZC526" s="901"/>
      <c r="TZD526" s="901"/>
      <c r="TZE526" s="901"/>
      <c r="TZF526" s="901"/>
      <c r="TZG526" s="901"/>
      <c r="TZH526" s="901"/>
      <c r="TZI526" s="901"/>
      <c r="TZJ526" s="901"/>
      <c r="TZK526" s="901"/>
      <c r="TZL526" s="901"/>
      <c r="TZM526" s="901"/>
      <c r="TZN526" s="901"/>
      <c r="TZO526" s="901"/>
      <c r="TZP526" s="901"/>
      <c r="TZQ526" s="901"/>
      <c r="TZR526" s="901"/>
      <c r="TZS526" s="901"/>
      <c r="TZT526" s="901"/>
      <c r="TZU526" s="901"/>
      <c r="TZV526" s="901"/>
      <c r="TZW526" s="901"/>
      <c r="TZX526" s="901"/>
      <c r="TZY526" s="901"/>
      <c r="TZZ526" s="901"/>
      <c r="UAA526" s="901"/>
      <c r="UAB526" s="901"/>
      <c r="UAC526" s="901"/>
      <c r="UAD526" s="901"/>
      <c r="UAE526" s="901"/>
      <c r="UAF526" s="901"/>
      <c r="UAG526" s="901"/>
      <c r="UAH526" s="901"/>
      <c r="UAI526" s="901"/>
      <c r="UAJ526" s="901"/>
      <c r="UAK526" s="901"/>
      <c r="UAL526" s="901"/>
      <c r="UAM526" s="901"/>
      <c r="UAN526" s="901"/>
      <c r="UAO526" s="901"/>
      <c r="UAP526" s="901"/>
      <c r="UAQ526" s="901"/>
      <c r="UAR526" s="901"/>
      <c r="UAS526" s="901"/>
      <c r="UAT526" s="901"/>
      <c r="UAU526" s="901"/>
      <c r="UAV526" s="901"/>
      <c r="UAW526" s="901"/>
      <c r="UAX526" s="901"/>
      <c r="UAY526" s="901"/>
      <c r="UAZ526" s="901"/>
      <c r="UBA526" s="901"/>
      <c r="UBB526" s="901"/>
      <c r="UBC526" s="901"/>
      <c r="UBD526" s="901"/>
      <c r="UBE526" s="901"/>
      <c r="UBF526" s="901"/>
      <c r="UBG526" s="901"/>
      <c r="UBH526" s="901"/>
      <c r="UBI526" s="901"/>
      <c r="UBJ526" s="901"/>
      <c r="UBK526" s="901"/>
      <c r="UBL526" s="901"/>
      <c r="UBM526" s="901"/>
      <c r="UBN526" s="901"/>
      <c r="UBO526" s="901"/>
      <c r="UBP526" s="901"/>
      <c r="UBQ526" s="901"/>
      <c r="UBR526" s="901"/>
      <c r="UBS526" s="901"/>
      <c r="UBT526" s="901"/>
      <c r="UBU526" s="901"/>
      <c r="UBV526" s="901"/>
      <c r="UBW526" s="901"/>
      <c r="UBX526" s="901"/>
      <c r="UBY526" s="901"/>
      <c r="UBZ526" s="901"/>
      <c r="UCA526" s="901"/>
      <c r="UCB526" s="901"/>
      <c r="UCC526" s="901"/>
      <c r="UCD526" s="901"/>
      <c r="UCE526" s="901"/>
      <c r="UCF526" s="901"/>
      <c r="UCG526" s="901"/>
      <c r="UCH526" s="901"/>
      <c r="UCI526" s="901"/>
      <c r="UCJ526" s="901"/>
      <c r="UCK526" s="901"/>
      <c r="UCL526" s="901"/>
      <c r="UCM526" s="901"/>
      <c r="UCN526" s="901"/>
      <c r="UCO526" s="901"/>
      <c r="UCP526" s="901"/>
      <c r="UCQ526" s="901"/>
      <c r="UCR526" s="901"/>
      <c r="UCS526" s="901"/>
      <c r="UCT526" s="901"/>
      <c r="UCU526" s="901"/>
      <c r="UCV526" s="901"/>
      <c r="UCW526" s="901"/>
      <c r="UCX526" s="901"/>
      <c r="UCY526" s="901"/>
      <c r="UCZ526" s="901"/>
      <c r="UDA526" s="901"/>
      <c r="UDB526" s="901"/>
      <c r="UDC526" s="901"/>
      <c r="UDD526" s="901"/>
      <c r="UDE526" s="901"/>
      <c r="UDF526" s="901"/>
      <c r="UDG526" s="901"/>
      <c r="UDH526" s="901"/>
      <c r="UDI526" s="901"/>
      <c r="UDJ526" s="901"/>
      <c r="UDK526" s="901"/>
      <c r="UDL526" s="901"/>
      <c r="UDM526" s="901"/>
      <c r="UDN526" s="901"/>
      <c r="UDO526" s="901"/>
      <c r="UDP526" s="901"/>
      <c r="UDQ526" s="901"/>
      <c r="UDR526" s="901"/>
      <c r="UDS526" s="901"/>
      <c r="UDT526" s="901"/>
      <c r="UDU526" s="901"/>
      <c r="UDV526" s="901"/>
      <c r="UDW526" s="901"/>
      <c r="UDX526" s="901"/>
      <c r="UDY526" s="901"/>
      <c r="UDZ526" s="901"/>
      <c r="UEA526" s="901"/>
      <c r="UEB526" s="901"/>
      <c r="UEC526" s="901"/>
      <c r="UED526" s="901"/>
      <c r="UEE526" s="901"/>
      <c r="UEF526" s="901"/>
      <c r="UEG526" s="901"/>
      <c r="UEH526" s="901"/>
      <c r="UEI526" s="901"/>
      <c r="UEJ526" s="901"/>
      <c r="UEK526" s="901"/>
      <c r="UEL526" s="901"/>
      <c r="UEM526" s="901"/>
      <c r="UEN526" s="901"/>
      <c r="UEO526" s="901"/>
      <c r="UEP526" s="901"/>
      <c r="UEQ526" s="901"/>
      <c r="UER526" s="901"/>
      <c r="UES526" s="901"/>
      <c r="UET526" s="901"/>
      <c r="UEU526" s="901"/>
      <c r="UEV526" s="901"/>
      <c r="UEW526" s="901"/>
      <c r="UEX526" s="901"/>
      <c r="UEY526" s="901"/>
      <c r="UEZ526" s="901"/>
      <c r="UFA526" s="901"/>
      <c r="UFB526" s="901"/>
      <c r="UFC526" s="901"/>
      <c r="UFD526" s="901"/>
      <c r="UFE526" s="901"/>
      <c r="UFF526" s="901"/>
      <c r="UFG526" s="901"/>
      <c r="UFH526" s="901"/>
      <c r="UFI526" s="901"/>
      <c r="UFJ526" s="901"/>
      <c r="UFK526" s="901"/>
      <c r="UFL526" s="901"/>
      <c r="UFM526" s="901"/>
      <c r="UFN526" s="901"/>
      <c r="UFO526" s="901"/>
      <c r="UFP526" s="901"/>
      <c r="UFQ526" s="901"/>
      <c r="UFR526" s="901"/>
      <c r="UFS526" s="901"/>
      <c r="UFT526" s="901"/>
      <c r="UFU526" s="901"/>
      <c r="UFV526" s="901"/>
      <c r="UFW526" s="901"/>
      <c r="UFX526" s="901"/>
      <c r="UFY526" s="901"/>
      <c r="UFZ526" s="901"/>
      <c r="UGA526" s="901"/>
      <c r="UGB526" s="901"/>
      <c r="UGC526" s="901"/>
      <c r="UGD526" s="901"/>
      <c r="UGE526" s="901"/>
      <c r="UGF526" s="901"/>
      <c r="UGG526" s="901"/>
      <c r="UGH526" s="901"/>
      <c r="UGI526" s="901"/>
      <c r="UGJ526" s="901"/>
      <c r="UGK526" s="901"/>
      <c r="UGL526" s="901"/>
      <c r="UGM526" s="901"/>
      <c r="UGN526" s="901"/>
      <c r="UGO526" s="901"/>
      <c r="UGP526" s="901"/>
      <c r="UGQ526" s="901"/>
      <c r="UGR526" s="901"/>
      <c r="UGS526" s="901"/>
      <c r="UGT526" s="901"/>
      <c r="UGU526" s="901"/>
      <c r="UGV526" s="901"/>
      <c r="UGW526" s="901"/>
      <c r="UGX526" s="901"/>
      <c r="UGY526" s="901"/>
      <c r="UGZ526" s="901"/>
      <c r="UHA526" s="901"/>
      <c r="UHB526" s="901"/>
      <c r="UHC526" s="901"/>
      <c r="UHD526" s="901"/>
      <c r="UHE526" s="901"/>
      <c r="UHF526" s="901"/>
      <c r="UHG526" s="901"/>
      <c r="UHH526" s="901"/>
      <c r="UHI526" s="901"/>
      <c r="UHJ526" s="901"/>
      <c r="UHK526" s="901"/>
      <c r="UHL526" s="901"/>
      <c r="UHM526" s="901"/>
      <c r="UHN526" s="901"/>
      <c r="UHO526" s="901"/>
      <c r="UHP526" s="901"/>
      <c r="UHQ526" s="901"/>
      <c r="UHR526" s="901"/>
      <c r="UHS526" s="901"/>
      <c r="UHT526" s="901"/>
      <c r="UHU526" s="901"/>
      <c r="UHV526" s="901"/>
      <c r="UHW526" s="901"/>
      <c r="UHX526" s="901"/>
      <c r="UHY526" s="901"/>
      <c r="UHZ526" s="901"/>
      <c r="UIA526" s="901"/>
      <c r="UIB526" s="901"/>
      <c r="UIC526" s="901"/>
      <c r="UID526" s="901"/>
      <c r="UIE526" s="901"/>
      <c r="UIF526" s="901"/>
      <c r="UIG526" s="901"/>
      <c r="UIH526" s="901"/>
      <c r="UII526" s="901"/>
      <c r="UIJ526" s="901"/>
      <c r="UIK526" s="901"/>
      <c r="UIL526" s="901"/>
      <c r="UIM526" s="901"/>
      <c r="UIN526" s="901"/>
      <c r="UIO526" s="901"/>
      <c r="UIP526" s="901"/>
      <c r="UIQ526" s="901"/>
      <c r="UIR526" s="901"/>
      <c r="UIS526" s="901"/>
      <c r="UIT526" s="901"/>
      <c r="UIU526" s="901"/>
      <c r="UIV526" s="901"/>
      <c r="UIW526" s="901"/>
      <c r="UIX526" s="901"/>
      <c r="UIY526" s="901"/>
      <c r="UIZ526" s="901"/>
      <c r="UJA526" s="901"/>
      <c r="UJB526" s="901"/>
      <c r="UJC526" s="901"/>
      <c r="UJD526" s="901"/>
      <c r="UJE526" s="901"/>
      <c r="UJF526" s="901"/>
      <c r="UJG526" s="901"/>
      <c r="UJH526" s="901"/>
      <c r="UJI526" s="901"/>
      <c r="UJJ526" s="901"/>
      <c r="UJK526" s="901"/>
      <c r="UJL526" s="901"/>
      <c r="UJM526" s="901"/>
      <c r="UJN526" s="901"/>
      <c r="UJO526" s="901"/>
      <c r="UJP526" s="901"/>
      <c r="UJQ526" s="901"/>
      <c r="UJR526" s="901"/>
      <c r="UJS526" s="901"/>
      <c r="UJT526" s="901"/>
      <c r="UJU526" s="901"/>
      <c r="UJV526" s="901"/>
      <c r="UJW526" s="901"/>
      <c r="UJX526" s="901"/>
      <c r="UJY526" s="901"/>
      <c r="UJZ526" s="901"/>
      <c r="UKA526" s="901"/>
      <c r="UKB526" s="901"/>
      <c r="UKC526" s="901"/>
      <c r="UKD526" s="901"/>
      <c r="UKE526" s="901"/>
      <c r="UKF526" s="901"/>
      <c r="UKG526" s="901"/>
      <c r="UKH526" s="901"/>
      <c r="UKI526" s="901"/>
      <c r="UKJ526" s="901"/>
      <c r="UKK526" s="901"/>
      <c r="UKL526" s="901"/>
      <c r="UKM526" s="901"/>
      <c r="UKN526" s="901"/>
      <c r="UKO526" s="901"/>
      <c r="UKP526" s="901"/>
      <c r="UKQ526" s="901"/>
      <c r="UKR526" s="901"/>
      <c r="UKS526" s="901"/>
      <c r="UKT526" s="901"/>
      <c r="UKU526" s="901"/>
      <c r="UKV526" s="901"/>
      <c r="UKW526" s="901"/>
      <c r="UKX526" s="901"/>
      <c r="UKY526" s="901"/>
      <c r="UKZ526" s="901"/>
      <c r="ULA526" s="901"/>
      <c r="ULB526" s="901"/>
      <c r="ULC526" s="901"/>
      <c r="ULD526" s="901"/>
      <c r="ULE526" s="901"/>
      <c r="ULF526" s="901"/>
      <c r="ULG526" s="901"/>
      <c r="ULH526" s="901"/>
      <c r="ULI526" s="901"/>
      <c r="ULJ526" s="901"/>
      <c r="ULK526" s="901"/>
      <c r="ULL526" s="901"/>
      <c r="ULM526" s="901"/>
      <c r="ULN526" s="901"/>
      <c r="ULO526" s="901"/>
      <c r="ULP526" s="901"/>
      <c r="ULQ526" s="901"/>
      <c r="ULR526" s="901"/>
      <c r="ULS526" s="901"/>
      <c r="ULT526" s="901"/>
      <c r="ULU526" s="901"/>
      <c r="ULV526" s="901"/>
      <c r="ULW526" s="901"/>
      <c r="ULX526" s="901"/>
      <c r="ULY526" s="901"/>
      <c r="ULZ526" s="901"/>
      <c r="UMA526" s="901"/>
      <c r="UMB526" s="901"/>
      <c r="UMC526" s="901"/>
      <c r="UMD526" s="901"/>
      <c r="UME526" s="901"/>
      <c r="UMF526" s="901"/>
      <c r="UMG526" s="901"/>
      <c r="UMH526" s="901"/>
      <c r="UMI526" s="901"/>
      <c r="UMJ526" s="901"/>
      <c r="UMK526" s="901"/>
      <c r="UML526" s="901"/>
      <c r="UMM526" s="901"/>
      <c r="UMN526" s="901"/>
      <c r="UMO526" s="901"/>
      <c r="UMP526" s="901"/>
      <c r="UMQ526" s="901"/>
      <c r="UMR526" s="901"/>
      <c r="UMS526" s="901"/>
      <c r="UMT526" s="901"/>
      <c r="UMU526" s="901"/>
      <c r="UMV526" s="901"/>
      <c r="UMW526" s="901"/>
      <c r="UMX526" s="901"/>
      <c r="UMY526" s="901"/>
      <c r="UMZ526" s="901"/>
      <c r="UNA526" s="901"/>
      <c r="UNB526" s="901"/>
      <c r="UNC526" s="901"/>
      <c r="UND526" s="901"/>
      <c r="UNE526" s="901"/>
      <c r="UNF526" s="901"/>
      <c r="UNG526" s="901"/>
      <c r="UNH526" s="901"/>
      <c r="UNI526" s="901"/>
      <c r="UNJ526" s="901"/>
      <c r="UNK526" s="901"/>
      <c r="UNL526" s="901"/>
      <c r="UNM526" s="901"/>
      <c r="UNN526" s="901"/>
      <c r="UNO526" s="901"/>
      <c r="UNP526" s="901"/>
      <c r="UNQ526" s="901"/>
      <c r="UNR526" s="901"/>
      <c r="UNS526" s="901"/>
      <c r="UNT526" s="901"/>
      <c r="UNU526" s="901"/>
      <c r="UNV526" s="901"/>
      <c r="UNW526" s="901"/>
      <c r="UNX526" s="901"/>
      <c r="UNY526" s="901"/>
      <c r="UNZ526" s="901"/>
      <c r="UOA526" s="901"/>
      <c r="UOB526" s="901"/>
      <c r="UOC526" s="901"/>
      <c r="UOD526" s="901"/>
      <c r="UOE526" s="901"/>
      <c r="UOF526" s="901"/>
      <c r="UOG526" s="901"/>
      <c r="UOH526" s="901"/>
      <c r="UOI526" s="901"/>
      <c r="UOJ526" s="901"/>
      <c r="UOK526" s="901"/>
      <c r="UOL526" s="901"/>
      <c r="UOM526" s="901"/>
      <c r="UON526" s="901"/>
      <c r="UOO526" s="901"/>
      <c r="UOP526" s="901"/>
      <c r="UOQ526" s="901"/>
      <c r="UOR526" s="901"/>
      <c r="UOS526" s="901"/>
      <c r="UOT526" s="901"/>
      <c r="UOU526" s="901"/>
      <c r="UOV526" s="901"/>
      <c r="UOW526" s="901"/>
      <c r="UOX526" s="901"/>
      <c r="UOY526" s="901"/>
      <c r="UOZ526" s="901"/>
      <c r="UPA526" s="901"/>
      <c r="UPB526" s="901"/>
      <c r="UPC526" s="901"/>
      <c r="UPD526" s="901"/>
      <c r="UPE526" s="901"/>
      <c r="UPF526" s="901"/>
      <c r="UPG526" s="901"/>
      <c r="UPH526" s="901"/>
      <c r="UPI526" s="901"/>
      <c r="UPJ526" s="901"/>
      <c r="UPK526" s="901"/>
      <c r="UPL526" s="901"/>
      <c r="UPM526" s="901"/>
      <c r="UPN526" s="901"/>
      <c r="UPO526" s="901"/>
      <c r="UPP526" s="901"/>
      <c r="UPQ526" s="901"/>
      <c r="UPR526" s="901"/>
      <c r="UPS526" s="901"/>
      <c r="UPT526" s="901"/>
      <c r="UPU526" s="901"/>
      <c r="UPV526" s="901"/>
      <c r="UPW526" s="901"/>
      <c r="UPX526" s="901"/>
      <c r="UPY526" s="901"/>
      <c r="UPZ526" s="901"/>
      <c r="UQA526" s="901"/>
      <c r="UQB526" s="901"/>
      <c r="UQC526" s="901"/>
      <c r="UQD526" s="901"/>
      <c r="UQE526" s="901"/>
      <c r="UQF526" s="901"/>
      <c r="UQG526" s="901"/>
      <c r="UQH526" s="901"/>
      <c r="UQI526" s="901"/>
      <c r="UQJ526" s="901"/>
      <c r="UQK526" s="901"/>
      <c r="UQL526" s="901"/>
      <c r="UQM526" s="901"/>
      <c r="UQN526" s="901"/>
      <c r="UQO526" s="901"/>
      <c r="UQP526" s="901"/>
      <c r="UQQ526" s="901"/>
      <c r="UQR526" s="901"/>
      <c r="UQS526" s="901"/>
      <c r="UQT526" s="901"/>
      <c r="UQU526" s="901"/>
      <c r="UQV526" s="901"/>
      <c r="UQW526" s="901"/>
      <c r="UQX526" s="901"/>
      <c r="UQY526" s="901"/>
      <c r="UQZ526" s="901"/>
      <c r="URA526" s="901"/>
      <c r="URB526" s="901"/>
      <c r="URC526" s="901"/>
      <c r="URD526" s="901"/>
      <c r="URE526" s="901"/>
      <c r="URF526" s="901"/>
      <c r="URG526" s="901"/>
      <c r="URH526" s="901"/>
      <c r="URI526" s="901"/>
      <c r="URJ526" s="901"/>
      <c r="URK526" s="901"/>
      <c r="URL526" s="901"/>
      <c r="URM526" s="901"/>
      <c r="URN526" s="901"/>
      <c r="URO526" s="901"/>
      <c r="URP526" s="901"/>
      <c r="URQ526" s="901"/>
      <c r="URR526" s="901"/>
      <c r="URS526" s="901"/>
      <c r="URT526" s="901"/>
      <c r="URU526" s="901"/>
      <c r="URV526" s="901"/>
      <c r="URW526" s="901"/>
      <c r="URX526" s="901"/>
      <c r="URY526" s="901"/>
      <c r="URZ526" s="901"/>
      <c r="USA526" s="901"/>
      <c r="USB526" s="901"/>
      <c r="USC526" s="901"/>
      <c r="USD526" s="901"/>
      <c r="USE526" s="901"/>
      <c r="USF526" s="901"/>
      <c r="USG526" s="901"/>
      <c r="USH526" s="901"/>
      <c r="USI526" s="901"/>
      <c r="USJ526" s="901"/>
      <c r="USK526" s="901"/>
      <c r="USL526" s="901"/>
      <c r="USM526" s="901"/>
      <c r="USN526" s="901"/>
      <c r="USO526" s="901"/>
      <c r="USP526" s="901"/>
      <c r="USQ526" s="901"/>
      <c r="USR526" s="901"/>
      <c r="USS526" s="901"/>
      <c r="UST526" s="901"/>
      <c r="USU526" s="901"/>
      <c r="USV526" s="901"/>
      <c r="USW526" s="901"/>
      <c r="USX526" s="901"/>
      <c r="USY526" s="901"/>
      <c r="USZ526" s="901"/>
      <c r="UTA526" s="901"/>
      <c r="UTB526" s="901"/>
      <c r="UTC526" s="901"/>
      <c r="UTD526" s="901"/>
      <c r="UTE526" s="901"/>
      <c r="UTF526" s="901"/>
      <c r="UTG526" s="901"/>
      <c r="UTH526" s="901"/>
      <c r="UTI526" s="901"/>
      <c r="UTJ526" s="901"/>
      <c r="UTK526" s="901"/>
      <c r="UTL526" s="901"/>
      <c r="UTM526" s="901"/>
      <c r="UTN526" s="901"/>
      <c r="UTO526" s="901"/>
      <c r="UTP526" s="901"/>
      <c r="UTQ526" s="901"/>
      <c r="UTR526" s="901"/>
      <c r="UTS526" s="901"/>
      <c r="UTT526" s="901"/>
      <c r="UTU526" s="901"/>
      <c r="UTV526" s="901"/>
      <c r="UTW526" s="901"/>
      <c r="UTX526" s="901"/>
      <c r="UTY526" s="901"/>
      <c r="UTZ526" s="901"/>
      <c r="UUA526" s="901"/>
      <c r="UUB526" s="901"/>
      <c r="UUC526" s="901"/>
      <c r="UUD526" s="901"/>
      <c r="UUE526" s="901"/>
      <c r="UUF526" s="901"/>
      <c r="UUG526" s="901"/>
      <c r="UUH526" s="901"/>
      <c r="UUI526" s="901"/>
      <c r="UUJ526" s="901"/>
      <c r="UUK526" s="901"/>
      <c r="UUL526" s="901"/>
      <c r="UUM526" s="901"/>
      <c r="UUN526" s="901"/>
      <c r="UUO526" s="901"/>
      <c r="UUP526" s="901"/>
      <c r="UUQ526" s="901"/>
      <c r="UUR526" s="901"/>
      <c r="UUS526" s="901"/>
      <c r="UUT526" s="901"/>
      <c r="UUU526" s="901"/>
      <c r="UUV526" s="901"/>
      <c r="UUW526" s="901"/>
      <c r="UUX526" s="901"/>
      <c r="UUY526" s="901"/>
      <c r="UUZ526" s="901"/>
      <c r="UVA526" s="901"/>
      <c r="UVB526" s="901"/>
      <c r="UVC526" s="901"/>
      <c r="UVD526" s="901"/>
      <c r="UVE526" s="901"/>
      <c r="UVF526" s="901"/>
      <c r="UVG526" s="901"/>
      <c r="UVH526" s="901"/>
      <c r="UVI526" s="901"/>
      <c r="UVJ526" s="901"/>
      <c r="UVK526" s="901"/>
      <c r="UVL526" s="901"/>
      <c r="UVM526" s="901"/>
      <c r="UVN526" s="901"/>
      <c r="UVO526" s="901"/>
      <c r="UVP526" s="901"/>
      <c r="UVQ526" s="901"/>
      <c r="UVR526" s="901"/>
      <c r="UVS526" s="901"/>
      <c r="UVT526" s="901"/>
      <c r="UVU526" s="901"/>
      <c r="UVV526" s="901"/>
      <c r="UVW526" s="901"/>
      <c r="UVX526" s="901"/>
      <c r="UVY526" s="901"/>
      <c r="UVZ526" s="901"/>
      <c r="UWA526" s="901"/>
      <c r="UWB526" s="901"/>
      <c r="UWC526" s="901"/>
      <c r="UWD526" s="901"/>
      <c r="UWE526" s="901"/>
      <c r="UWF526" s="901"/>
      <c r="UWG526" s="901"/>
      <c r="UWH526" s="901"/>
      <c r="UWI526" s="901"/>
      <c r="UWJ526" s="901"/>
      <c r="UWK526" s="901"/>
      <c r="UWL526" s="901"/>
      <c r="UWM526" s="901"/>
      <c r="UWN526" s="901"/>
      <c r="UWO526" s="901"/>
      <c r="UWP526" s="901"/>
      <c r="UWQ526" s="901"/>
      <c r="UWR526" s="901"/>
      <c r="UWS526" s="901"/>
      <c r="UWT526" s="901"/>
      <c r="UWU526" s="901"/>
      <c r="UWV526" s="901"/>
      <c r="UWW526" s="901"/>
      <c r="UWX526" s="901"/>
      <c r="UWY526" s="901"/>
      <c r="UWZ526" s="901"/>
      <c r="UXA526" s="901"/>
      <c r="UXB526" s="901"/>
      <c r="UXC526" s="901"/>
      <c r="UXD526" s="901"/>
      <c r="UXE526" s="901"/>
      <c r="UXF526" s="901"/>
      <c r="UXG526" s="901"/>
      <c r="UXH526" s="901"/>
      <c r="UXI526" s="901"/>
      <c r="UXJ526" s="901"/>
      <c r="UXK526" s="901"/>
      <c r="UXL526" s="901"/>
      <c r="UXM526" s="901"/>
      <c r="UXN526" s="901"/>
      <c r="UXO526" s="901"/>
      <c r="UXP526" s="901"/>
      <c r="UXQ526" s="901"/>
      <c r="UXR526" s="901"/>
      <c r="UXS526" s="901"/>
      <c r="UXT526" s="901"/>
      <c r="UXU526" s="901"/>
      <c r="UXV526" s="901"/>
      <c r="UXW526" s="901"/>
      <c r="UXX526" s="901"/>
      <c r="UXY526" s="901"/>
      <c r="UXZ526" s="901"/>
      <c r="UYA526" s="901"/>
      <c r="UYB526" s="901"/>
      <c r="UYC526" s="901"/>
      <c r="UYD526" s="901"/>
      <c r="UYE526" s="901"/>
      <c r="UYF526" s="901"/>
      <c r="UYG526" s="901"/>
      <c r="UYH526" s="901"/>
      <c r="UYI526" s="901"/>
      <c r="UYJ526" s="901"/>
      <c r="UYK526" s="901"/>
      <c r="UYL526" s="901"/>
      <c r="UYM526" s="901"/>
      <c r="UYN526" s="901"/>
      <c r="UYO526" s="901"/>
      <c r="UYP526" s="901"/>
      <c r="UYQ526" s="901"/>
      <c r="UYR526" s="901"/>
      <c r="UYS526" s="901"/>
      <c r="UYT526" s="901"/>
      <c r="UYU526" s="901"/>
      <c r="UYV526" s="901"/>
      <c r="UYW526" s="901"/>
      <c r="UYX526" s="901"/>
      <c r="UYY526" s="901"/>
      <c r="UYZ526" s="901"/>
      <c r="UZA526" s="901"/>
      <c r="UZB526" s="901"/>
      <c r="UZC526" s="901"/>
      <c r="UZD526" s="901"/>
      <c r="UZE526" s="901"/>
      <c r="UZF526" s="901"/>
      <c r="UZG526" s="901"/>
      <c r="UZH526" s="901"/>
      <c r="UZI526" s="901"/>
      <c r="UZJ526" s="901"/>
      <c r="UZK526" s="901"/>
      <c r="UZL526" s="901"/>
      <c r="UZM526" s="901"/>
      <c r="UZN526" s="901"/>
      <c r="UZO526" s="901"/>
      <c r="UZP526" s="901"/>
      <c r="UZQ526" s="901"/>
      <c r="UZR526" s="901"/>
      <c r="UZS526" s="901"/>
      <c r="UZT526" s="901"/>
      <c r="UZU526" s="901"/>
      <c r="UZV526" s="901"/>
      <c r="UZW526" s="901"/>
      <c r="UZX526" s="901"/>
      <c r="UZY526" s="901"/>
      <c r="UZZ526" s="901"/>
      <c r="VAA526" s="901"/>
      <c r="VAB526" s="901"/>
      <c r="VAC526" s="901"/>
      <c r="VAD526" s="901"/>
      <c r="VAE526" s="901"/>
      <c r="VAF526" s="901"/>
      <c r="VAG526" s="901"/>
      <c r="VAH526" s="901"/>
      <c r="VAI526" s="901"/>
      <c r="VAJ526" s="901"/>
      <c r="VAK526" s="901"/>
      <c r="VAL526" s="901"/>
      <c r="VAM526" s="901"/>
      <c r="VAN526" s="901"/>
      <c r="VAO526" s="901"/>
      <c r="VAP526" s="901"/>
      <c r="VAQ526" s="901"/>
      <c r="VAR526" s="901"/>
      <c r="VAS526" s="901"/>
      <c r="VAT526" s="901"/>
      <c r="VAU526" s="901"/>
      <c r="VAV526" s="901"/>
      <c r="VAW526" s="901"/>
      <c r="VAX526" s="901"/>
      <c r="VAY526" s="901"/>
      <c r="VAZ526" s="901"/>
      <c r="VBA526" s="901"/>
      <c r="VBB526" s="901"/>
      <c r="VBC526" s="901"/>
      <c r="VBD526" s="901"/>
      <c r="VBE526" s="901"/>
      <c r="VBF526" s="901"/>
      <c r="VBG526" s="901"/>
      <c r="VBH526" s="901"/>
      <c r="VBI526" s="901"/>
      <c r="VBJ526" s="901"/>
      <c r="VBK526" s="901"/>
      <c r="VBL526" s="901"/>
      <c r="VBM526" s="901"/>
      <c r="VBN526" s="901"/>
      <c r="VBO526" s="901"/>
      <c r="VBP526" s="901"/>
      <c r="VBQ526" s="901"/>
      <c r="VBR526" s="901"/>
      <c r="VBS526" s="901"/>
      <c r="VBT526" s="901"/>
      <c r="VBU526" s="901"/>
      <c r="VBV526" s="901"/>
      <c r="VBW526" s="901"/>
      <c r="VBX526" s="901"/>
      <c r="VBY526" s="901"/>
      <c r="VBZ526" s="901"/>
      <c r="VCA526" s="901"/>
      <c r="VCB526" s="901"/>
      <c r="VCC526" s="901"/>
      <c r="VCD526" s="901"/>
      <c r="VCE526" s="901"/>
      <c r="VCF526" s="901"/>
      <c r="VCG526" s="901"/>
      <c r="VCH526" s="901"/>
      <c r="VCI526" s="901"/>
      <c r="VCJ526" s="901"/>
      <c r="VCK526" s="901"/>
      <c r="VCL526" s="901"/>
      <c r="VCM526" s="901"/>
      <c r="VCN526" s="901"/>
      <c r="VCO526" s="901"/>
      <c r="VCP526" s="901"/>
      <c r="VCQ526" s="901"/>
      <c r="VCR526" s="901"/>
      <c r="VCS526" s="901"/>
      <c r="VCT526" s="901"/>
      <c r="VCU526" s="901"/>
      <c r="VCV526" s="901"/>
      <c r="VCW526" s="901"/>
      <c r="VCX526" s="901"/>
      <c r="VCY526" s="901"/>
      <c r="VCZ526" s="901"/>
      <c r="VDA526" s="901"/>
      <c r="VDB526" s="901"/>
      <c r="VDC526" s="901"/>
      <c r="VDD526" s="901"/>
      <c r="VDE526" s="901"/>
      <c r="VDF526" s="901"/>
      <c r="VDG526" s="901"/>
      <c r="VDH526" s="901"/>
      <c r="VDI526" s="901"/>
      <c r="VDJ526" s="901"/>
      <c r="VDK526" s="901"/>
      <c r="VDL526" s="901"/>
      <c r="VDM526" s="901"/>
      <c r="VDN526" s="901"/>
      <c r="VDO526" s="901"/>
      <c r="VDP526" s="901"/>
      <c r="VDQ526" s="901"/>
      <c r="VDR526" s="901"/>
      <c r="VDS526" s="901"/>
      <c r="VDT526" s="901"/>
      <c r="VDU526" s="901"/>
      <c r="VDV526" s="901"/>
      <c r="VDW526" s="901"/>
      <c r="VDX526" s="901"/>
      <c r="VDY526" s="901"/>
      <c r="VDZ526" s="901"/>
      <c r="VEA526" s="901"/>
      <c r="VEB526" s="901"/>
      <c r="VEC526" s="901"/>
      <c r="VED526" s="901"/>
      <c r="VEE526" s="901"/>
      <c r="VEF526" s="901"/>
      <c r="VEG526" s="901"/>
      <c r="VEH526" s="901"/>
      <c r="VEI526" s="901"/>
      <c r="VEJ526" s="901"/>
      <c r="VEK526" s="901"/>
      <c r="VEL526" s="901"/>
      <c r="VEM526" s="901"/>
      <c r="VEN526" s="901"/>
      <c r="VEO526" s="901"/>
      <c r="VEP526" s="901"/>
      <c r="VEQ526" s="901"/>
      <c r="VER526" s="901"/>
      <c r="VES526" s="901"/>
      <c r="VET526" s="901"/>
      <c r="VEU526" s="901"/>
      <c r="VEV526" s="901"/>
      <c r="VEW526" s="901"/>
      <c r="VEX526" s="901"/>
      <c r="VEY526" s="901"/>
      <c r="VEZ526" s="901"/>
      <c r="VFA526" s="901"/>
      <c r="VFB526" s="901"/>
      <c r="VFC526" s="901"/>
      <c r="VFD526" s="901"/>
      <c r="VFE526" s="901"/>
      <c r="VFF526" s="901"/>
      <c r="VFG526" s="901"/>
      <c r="VFH526" s="901"/>
      <c r="VFI526" s="901"/>
      <c r="VFJ526" s="901"/>
      <c r="VFK526" s="901"/>
      <c r="VFL526" s="901"/>
      <c r="VFM526" s="901"/>
      <c r="VFN526" s="901"/>
      <c r="VFO526" s="901"/>
      <c r="VFP526" s="901"/>
      <c r="VFQ526" s="901"/>
      <c r="VFR526" s="901"/>
      <c r="VFS526" s="901"/>
      <c r="VFT526" s="901"/>
      <c r="VFU526" s="901"/>
      <c r="VFV526" s="901"/>
      <c r="VFW526" s="901"/>
      <c r="VFX526" s="901"/>
      <c r="VFY526" s="901"/>
      <c r="VFZ526" s="901"/>
      <c r="VGA526" s="901"/>
      <c r="VGB526" s="901"/>
      <c r="VGC526" s="901"/>
      <c r="VGD526" s="901"/>
      <c r="VGE526" s="901"/>
      <c r="VGF526" s="901"/>
      <c r="VGG526" s="901"/>
      <c r="VGH526" s="901"/>
      <c r="VGI526" s="901"/>
      <c r="VGJ526" s="901"/>
      <c r="VGK526" s="901"/>
      <c r="VGL526" s="901"/>
      <c r="VGM526" s="901"/>
      <c r="VGN526" s="901"/>
      <c r="VGO526" s="901"/>
      <c r="VGP526" s="901"/>
      <c r="VGQ526" s="901"/>
      <c r="VGR526" s="901"/>
      <c r="VGS526" s="901"/>
      <c r="VGT526" s="901"/>
      <c r="VGU526" s="901"/>
      <c r="VGV526" s="901"/>
      <c r="VGW526" s="901"/>
      <c r="VGX526" s="901"/>
      <c r="VGY526" s="901"/>
      <c r="VGZ526" s="901"/>
      <c r="VHA526" s="901"/>
      <c r="VHB526" s="901"/>
      <c r="VHC526" s="901"/>
      <c r="VHD526" s="901"/>
      <c r="VHE526" s="901"/>
      <c r="VHF526" s="901"/>
      <c r="VHG526" s="901"/>
      <c r="VHH526" s="901"/>
      <c r="VHI526" s="901"/>
      <c r="VHJ526" s="901"/>
      <c r="VHK526" s="901"/>
      <c r="VHL526" s="901"/>
      <c r="VHM526" s="901"/>
      <c r="VHN526" s="901"/>
      <c r="VHO526" s="901"/>
      <c r="VHP526" s="901"/>
      <c r="VHQ526" s="901"/>
      <c r="VHR526" s="901"/>
      <c r="VHS526" s="901"/>
      <c r="VHT526" s="901"/>
      <c r="VHU526" s="901"/>
      <c r="VHV526" s="901"/>
      <c r="VHW526" s="901"/>
      <c r="VHX526" s="901"/>
      <c r="VHY526" s="901"/>
      <c r="VHZ526" s="901"/>
      <c r="VIA526" s="901"/>
      <c r="VIB526" s="901"/>
      <c r="VIC526" s="901"/>
      <c r="VID526" s="901"/>
      <c r="VIE526" s="901"/>
      <c r="VIF526" s="901"/>
      <c r="VIG526" s="901"/>
      <c r="VIH526" s="901"/>
      <c r="VII526" s="901"/>
      <c r="VIJ526" s="901"/>
      <c r="VIK526" s="901"/>
      <c r="VIL526" s="901"/>
      <c r="VIM526" s="901"/>
      <c r="VIN526" s="901"/>
      <c r="VIO526" s="901"/>
      <c r="VIP526" s="901"/>
      <c r="VIQ526" s="901"/>
      <c r="VIR526" s="901"/>
      <c r="VIS526" s="901"/>
      <c r="VIT526" s="901"/>
      <c r="VIU526" s="901"/>
      <c r="VIV526" s="901"/>
      <c r="VIW526" s="901"/>
      <c r="VIX526" s="901"/>
      <c r="VIY526" s="901"/>
      <c r="VIZ526" s="901"/>
      <c r="VJA526" s="901"/>
      <c r="VJB526" s="901"/>
      <c r="VJC526" s="901"/>
      <c r="VJD526" s="901"/>
      <c r="VJE526" s="901"/>
      <c r="VJF526" s="901"/>
      <c r="VJG526" s="901"/>
      <c r="VJH526" s="901"/>
      <c r="VJI526" s="901"/>
      <c r="VJJ526" s="901"/>
      <c r="VJK526" s="901"/>
      <c r="VJL526" s="901"/>
      <c r="VJM526" s="901"/>
      <c r="VJN526" s="901"/>
      <c r="VJO526" s="901"/>
      <c r="VJP526" s="901"/>
      <c r="VJQ526" s="901"/>
      <c r="VJR526" s="901"/>
      <c r="VJS526" s="901"/>
      <c r="VJT526" s="901"/>
      <c r="VJU526" s="901"/>
      <c r="VJV526" s="901"/>
      <c r="VJW526" s="901"/>
      <c r="VJX526" s="901"/>
      <c r="VJY526" s="901"/>
      <c r="VJZ526" s="901"/>
      <c r="VKA526" s="901"/>
      <c r="VKB526" s="901"/>
      <c r="VKC526" s="901"/>
      <c r="VKD526" s="901"/>
      <c r="VKE526" s="901"/>
      <c r="VKF526" s="901"/>
      <c r="VKG526" s="901"/>
      <c r="VKH526" s="901"/>
      <c r="VKI526" s="901"/>
      <c r="VKJ526" s="901"/>
      <c r="VKK526" s="901"/>
      <c r="VKL526" s="901"/>
      <c r="VKM526" s="901"/>
      <c r="VKN526" s="901"/>
      <c r="VKO526" s="901"/>
      <c r="VKP526" s="901"/>
      <c r="VKQ526" s="901"/>
      <c r="VKR526" s="901"/>
      <c r="VKS526" s="901"/>
      <c r="VKT526" s="901"/>
      <c r="VKU526" s="901"/>
      <c r="VKV526" s="901"/>
      <c r="VKW526" s="901"/>
      <c r="VKX526" s="901"/>
      <c r="VKY526" s="901"/>
      <c r="VKZ526" s="901"/>
      <c r="VLA526" s="901"/>
      <c r="VLB526" s="901"/>
      <c r="VLC526" s="901"/>
      <c r="VLD526" s="901"/>
      <c r="VLE526" s="901"/>
      <c r="VLF526" s="901"/>
      <c r="VLG526" s="901"/>
      <c r="VLH526" s="901"/>
      <c r="VLI526" s="901"/>
      <c r="VLJ526" s="901"/>
      <c r="VLK526" s="901"/>
      <c r="VLL526" s="901"/>
      <c r="VLM526" s="901"/>
      <c r="VLN526" s="901"/>
      <c r="VLO526" s="901"/>
      <c r="VLP526" s="901"/>
      <c r="VLQ526" s="901"/>
      <c r="VLR526" s="901"/>
      <c r="VLS526" s="901"/>
      <c r="VLT526" s="901"/>
      <c r="VLU526" s="901"/>
      <c r="VLV526" s="901"/>
      <c r="VLW526" s="901"/>
      <c r="VLX526" s="901"/>
      <c r="VLY526" s="901"/>
      <c r="VLZ526" s="901"/>
      <c r="VMA526" s="901"/>
      <c r="VMB526" s="901"/>
      <c r="VMC526" s="901"/>
      <c r="VMD526" s="901"/>
      <c r="VME526" s="901"/>
      <c r="VMF526" s="901"/>
      <c r="VMG526" s="901"/>
      <c r="VMH526" s="901"/>
      <c r="VMI526" s="901"/>
      <c r="VMJ526" s="901"/>
      <c r="VMK526" s="901"/>
      <c r="VML526" s="901"/>
      <c r="VMM526" s="901"/>
      <c r="VMN526" s="901"/>
      <c r="VMO526" s="901"/>
      <c r="VMP526" s="901"/>
      <c r="VMQ526" s="901"/>
      <c r="VMR526" s="901"/>
      <c r="VMS526" s="901"/>
      <c r="VMT526" s="901"/>
      <c r="VMU526" s="901"/>
      <c r="VMV526" s="901"/>
      <c r="VMW526" s="901"/>
      <c r="VMX526" s="901"/>
      <c r="VMY526" s="901"/>
      <c r="VMZ526" s="901"/>
      <c r="VNA526" s="901"/>
      <c r="VNB526" s="901"/>
      <c r="VNC526" s="901"/>
      <c r="VND526" s="901"/>
      <c r="VNE526" s="901"/>
      <c r="VNF526" s="901"/>
      <c r="VNG526" s="901"/>
      <c r="VNH526" s="901"/>
      <c r="VNI526" s="901"/>
      <c r="VNJ526" s="901"/>
      <c r="VNK526" s="901"/>
      <c r="VNL526" s="901"/>
      <c r="VNM526" s="901"/>
      <c r="VNN526" s="901"/>
      <c r="VNO526" s="901"/>
      <c r="VNP526" s="901"/>
      <c r="VNQ526" s="901"/>
      <c r="VNR526" s="901"/>
      <c r="VNS526" s="901"/>
      <c r="VNT526" s="901"/>
      <c r="VNU526" s="901"/>
      <c r="VNV526" s="901"/>
      <c r="VNW526" s="901"/>
      <c r="VNX526" s="901"/>
      <c r="VNY526" s="901"/>
      <c r="VNZ526" s="901"/>
      <c r="VOA526" s="901"/>
      <c r="VOB526" s="901"/>
      <c r="VOC526" s="901"/>
      <c r="VOD526" s="901"/>
      <c r="VOE526" s="901"/>
      <c r="VOF526" s="901"/>
      <c r="VOG526" s="901"/>
      <c r="VOH526" s="901"/>
      <c r="VOI526" s="901"/>
      <c r="VOJ526" s="901"/>
      <c r="VOK526" s="901"/>
      <c r="VOL526" s="901"/>
      <c r="VOM526" s="901"/>
      <c r="VON526" s="901"/>
      <c r="VOO526" s="901"/>
      <c r="VOP526" s="901"/>
      <c r="VOQ526" s="901"/>
      <c r="VOR526" s="901"/>
      <c r="VOS526" s="901"/>
      <c r="VOT526" s="901"/>
      <c r="VOU526" s="901"/>
      <c r="VOV526" s="901"/>
      <c r="VOW526" s="901"/>
      <c r="VOX526" s="901"/>
      <c r="VOY526" s="901"/>
      <c r="VOZ526" s="901"/>
      <c r="VPA526" s="901"/>
      <c r="VPB526" s="901"/>
      <c r="VPC526" s="901"/>
      <c r="VPD526" s="901"/>
      <c r="VPE526" s="901"/>
      <c r="VPF526" s="901"/>
      <c r="VPG526" s="901"/>
      <c r="VPH526" s="901"/>
      <c r="VPI526" s="901"/>
      <c r="VPJ526" s="901"/>
      <c r="VPK526" s="901"/>
      <c r="VPL526" s="901"/>
      <c r="VPM526" s="901"/>
      <c r="VPN526" s="901"/>
      <c r="VPO526" s="901"/>
      <c r="VPP526" s="901"/>
      <c r="VPQ526" s="901"/>
      <c r="VPR526" s="901"/>
      <c r="VPS526" s="901"/>
      <c r="VPT526" s="901"/>
      <c r="VPU526" s="901"/>
      <c r="VPV526" s="901"/>
      <c r="VPW526" s="901"/>
      <c r="VPX526" s="901"/>
      <c r="VPY526" s="901"/>
      <c r="VPZ526" s="901"/>
      <c r="VQA526" s="901"/>
      <c r="VQB526" s="901"/>
      <c r="VQC526" s="901"/>
      <c r="VQD526" s="901"/>
      <c r="VQE526" s="901"/>
      <c r="VQF526" s="901"/>
      <c r="VQG526" s="901"/>
      <c r="VQH526" s="901"/>
      <c r="VQI526" s="901"/>
      <c r="VQJ526" s="901"/>
      <c r="VQK526" s="901"/>
      <c r="VQL526" s="901"/>
      <c r="VQM526" s="901"/>
      <c r="VQN526" s="901"/>
      <c r="VQO526" s="901"/>
      <c r="VQP526" s="901"/>
      <c r="VQQ526" s="901"/>
      <c r="VQR526" s="901"/>
      <c r="VQS526" s="901"/>
      <c r="VQT526" s="901"/>
      <c r="VQU526" s="901"/>
      <c r="VQV526" s="901"/>
      <c r="VQW526" s="901"/>
      <c r="VQX526" s="901"/>
      <c r="VQY526" s="901"/>
      <c r="VQZ526" s="901"/>
      <c r="VRA526" s="901"/>
      <c r="VRB526" s="901"/>
      <c r="VRC526" s="901"/>
      <c r="VRD526" s="901"/>
      <c r="VRE526" s="901"/>
      <c r="VRF526" s="901"/>
      <c r="VRG526" s="901"/>
      <c r="VRH526" s="901"/>
      <c r="VRI526" s="901"/>
      <c r="VRJ526" s="901"/>
      <c r="VRK526" s="901"/>
      <c r="VRL526" s="901"/>
      <c r="VRM526" s="901"/>
      <c r="VRN526" s="901"/>
      <c r="VRO526" s="901"/>
      <c r="VRP526" s="901"/>
      <c r="VRQ526" s="901"/>
      <c r="VRR526" s="901"/>
      <c r="VRS526" s="901"/>
      <c r="VRT526" s="901"/>
      <c r="VRU526" s="901"/>
      <c r="VRV526" s="901"/>
      <c r="VRW526" s="901"/>
      <c r="VRX526" s="901"/>
      <c r="VRY526" s="901"/>
      <c r="VRZ526" s="901"/>
      <c r="VSA526" s="901"/>
      <c r="VSB526" s="901"/>
      <c r="VSC526" s="901"/>
      <c r="VSD526" s="901"/>
      <c r="VSE526" s="901"/>
      <c r="VSF526" s="901"/>
      <c r="VSG526" s="901"/>
      <c r="VSH526" s="901"/>
      <c r="VSI526" s="901"/>
      <c r="VSJ526" s="901"/>
      <c r="VSK526" s="901"/>
      <c r="VSL526" s="901"/>
      <c r="VSM526" s="901"/>
      <c r="VSN526" s="901"/>
      <c r="VSO526" s="901"/>
      <c r="VSP526" s="901"/>
      <c r="VSQ526" s="901"/>
      <c r="VSR526" s="901"/>
      <c r="VSS526" s="901"/>
      <c r="VST526" s="901"/>
      <c r="VSU526" s="901"/>
      <c r="VSV526" s="901"/>
      <c r="VSW526" s="901"/>
      <c r="VSX526" s="901"/>
      <c r="VSY526" s="901"/>
      <c r="VSZ526" s="901"/>
      <c r="VTA526" s="901"/>
      <c r="VTB526" s="901"/>
      <c r="VTC526" s="901"/>
      <c r="VTD526" s="901"/>
      <c r="VTE526" s="901"/>
      <c r="VTF526" s="901"/>
      <c r="VTG526" s="901"/>
      <c r="VTH526" s="901"/>
      <c r="VTI526" s="901"/>
      <c r="VTJ526" s="901"/>
      <c r="VTK526" s="901"/>
      <c r="VTL526" s="901"/>
      <c r="VTM526" s="901"/>
      <c r="VTN526" s="901"/>
      <c r="VTO526" s="901"/>
      <c r="VTP526" s="901"/>
      <c r="VTQ526" s="901"/>
      <c r="VTR526" s="901"/>
      <c r="VTS526" s="901"/>
      <c r="VTT526" s="901"/>
      <c r="VTU526" s="901"/>
      <c r="VTV526" s="901"/>
      <c r="VTW526" s="901"/>
      <c r="VTX526" s="901"/>
      <c r="VTY526" s="901"/>
      <c r="VTZ526" s="901"/>
      <c r="VUA526" s="901"/>
      <c r="VUB526" s="901"/>
      <c r="VUC526" s="901"/>
      <c r="VUD526" s="901"/>
      <c r="VUE526" s="901"/>
      <c r="VUF526" s="901"/>
      <c r="VUG526" s="901"/>
      <c r="VUH526" s="901"/>
      <c r="VUI526" s="901"/>
      <c r="VUJ526" s="901"/>
      <c r="VUK526" s="901"/>
      <c r="VUL526" s="901"/>
      <c r="VUM526" s="901"/>
      <c r="VUN526" s="901"/>
      <c r="VUO526" s="901"/>
      <c r="VUP526" s="901"/>
      <c r="VUQ526" s="901"/>
      <c r="VUR526" s="901"/>
      <c r="VUS526" s="901"/>
      <c r="VUT526" s="901"/>
      <c r="VUU526" s="901"/>
      <c r="VUV526" s="901"/>
      <c r="VUW526" s="901"/>
      <c r="VUX526" s="901"/>
      <c r="VUY526" s="901"/>
      <c r="VUZ526" s="901"/>
      <c r="VVA526" s="901"/>
      <c r="VVB526" s="901"/>
      <c r="VVC526" s="901"/>
      <c r="VVD526" s="901"/>
      <c r="VVE526" s="901"/>
      <c r="VVF526" s="901"/>
      <c r="VVG526" s="901"/>
      <c r="VVH526" s="901"/>
      <c r="VVI526" s="901"/>
      <c r="VVJ526" s="901"/>
      <c r="VVK526" s="901"/>
      <c r="VVL526" s="901"/>
      <c r="VVM526" s="901"/>
      <c r="VVN526" s="901"/>
      <c r="VVO526" s="901"/>
      <c r="VVP526" s="901"/>
      <c r="VVQ526" s="901"/>
      <c r="VVR526" s="901"/>
      <c r="VVS526" s="901"/>
      <c r="VVT526" s="901"/>
      <c r="VVU526" s="901"/>
      <c r="VVV526" s="901"/>
      <c r="VVW526" s="901"/>
      <c r="VVX526" s="901"/>
      <c r="VVY526" s="901"/>
      <c r="VVZ526" s="901"/>
      <c r="VWA526" s="901"/>
      <c r="VWB526" s="901"/>
      <c r="VWC526" s="901"/>
      <c r="VWD526" s="901"/>
      <c r="VWE526" s="901"/>
      <c r="VWF526" s="901"/>
      <c r="VWG526" s="901"/>
      <c r="VWH526" s="901"/>
      <c r="VWI526" s="901"/>
      <c r="VWJ526" s="901"/>
      <c r="VWK526" s="901"/>
      <c r="VWL526" s="901"/>
      <c r="VWM526" s="901"/>
      <c r="VWN526" s="901"/>
      <c r="VWO526" s="901"/>
      <c r="VWP526" s="901"/>
      <c r="VWQ526" s="901"/>
      <c r="VWR526" s="901"/>
      <c r="VWS526" s="901"/>
      <c r="VWT526" s="901"/>
      <c r="VWU526" s="901"/>
      <c r="VWV526" s="901"/>
      <c r="VWW526" s="901"/>
      <c r="VWX526" s="901"/>
      <c r="VWY526" s="901"/>
      <c r="VWZ526" s="901"/>
      <c r="VXA526" s="901"/>
      <c r="VXB526" s="901"/>
      <c r="VXC526" s="901"/>
      <c r="VXD526" s="901"/>
      <c r="VXE526" s="901"/>
      <c r="VXF526" s="901"/>
      <c r="VXG526" s="901"/>
      <c r="VXH526" s="901"/>
      <c r="VXI526" s="901"/>
      <c r="VXJ526" s="901"/>
      <c r="VXK526" s="901"/>
      <c r="VXL526" s="901"/>
      <c r="VXM526" s="901"/>
      <c r="VXN526" s="901"/>
      <c r="VXO526" s="901"/>
      <c r="VXP526" s="901"/>
      <c r="VXQ526" s="901"/>
      <c r="VXR526" s="901"/>
      <c r="VXS526" s="901"/>
      <c r="VXT526" s="901"/>
      <c r="VXU526" s="901"/>
      <c r="VXV526" s="901"/>
      <c r="VXW526" s="901"/>
      <c r="VXX526" s="901"/>
      <c r="VXY526" s="901"/>
      <c r="VXZ526" s="901"/>
      <c r="VYA526" s="901"/>
      <c r="VYB526" s="901"/>
      <c r="VYC526" s="901"/>
      <c r="VYD526" s="901"/>
      <c r="VYE526" s="901"/>
      <c r="VYF526" s="901"/>
      <c r="VYG526" s="901"/>
      <c r="VYH526" s="901"/>
      <c r="VYI526" s="901"/>
      <c r="VYJ526" s="901"/>
      <c r="VYK526" s="901"/>
      <c r="VYL526" s="901"/>
      <c r="VYM526" s="901"/>
      <c r="VYN526" s="901"/>
      <c r="VYO526" s="901"/>
      <c r="VYP526" s="901"/>
      <c r="VYQ526" s="901"/>
      <c r="VYR526" s="901"/>
      <c r="VYS526" s="901"/>
      <c r="VYT526" s="901"/>
      <c r="VYU526" s="901"/>
      <c r="VYV526" s="901"/>
      <c r="VYW526" s="901"/>
      <c r="VYX526" s="901"/>
      <c r="VYY526" s="901"/>
      <c r="VYZ526" s="901"/>
      <c r="VZA526" s="901"/>
      <c r="VZB526" s="901"/>
      <c r="VZC526" s="901"/>
      <c r="VZD526" s="901"/>
      <c r="VZE526" s="901"/>
      <c r="VZF526" s="901"/>
      <c r="VZG526" s="901"/>
      <c r="VZH526" s="901"/>
      <c r="VZI526" s="901"/>
      <c r="VZJ526" s="901"/>
      <c r="VZK526" s="901"/>
      <c r="VZL526" s="901"/>
      <c r="VZM526" s="901"/>
      <c r="VZN526" s="901"/>
      <c r="VZO526" s="901"/>
      <c r="VZP526" s="901"/>
      <c r="VZQ526" s="901"/>
      <c r="VZR526" s="901"/>
      <c r="VZS526" s="901"/>
      <c r="VZT526" s="901"/>
      <c r="VZU526" s="901"/>
      <c r="VZV526" s="901"/>
      <c r="VZW526" s="901"/>
      <c r="VZX526" s="901"/>
      <c r="VZY526" s="901"/>
      <c r="VZZ526" s="901"/>
      <c r="WAA526" s="901"/>
      <c r="WAB526" s="901"/>
      <c r="WAC526" s="901"/>
      <c r="WAD526" s="901"/>
      <c r="WAE526" s="901"/>
      <c r="WAF526" s="901"/>
      <c r="WAG526" s="901"/>
      <c r="WAH526" s="901"/>
      <c r="WAI526" s="901"/>
      <c r="WAJ526" s="901"/>
      <c r="WAK526" s="901"/>
      <c r="WAL526" s="901"/>
      <c r="WAM526" s="901"/>
      <c r="WAN526" s="901"/>
      <c r="WAO526" s="901"/>
      <c r="WAP526" s="901"/>
      <c r="WAQ526" s="901"/>
      <c r="WAR526" s="901"/>
      <c r="WAS526" s="901"/>
      <c r="WAT526" s="901"/>
      <c r="WAU526" s="901"/>
      <c r="WAV526" s="901"/>
      <c r="WAW526" s="901"/>
      <c r="WAX526" s="901"/>
      <c r="WAY526" s="901"/>
      <c r="WAZ526" s="901"/>
      <c r="WBA526" s="901"/>
      <c r="WBB526" s="901"/>
      <c r="WBC526" s="901"/>
      <c r="WBD526" s="901"/>
      <c r="WBE526" s="901"/>
      <c r="WBF526" s="901"/>
      <c r="WBG526" s="901"/>
      <c r="WBH526" s="901"/>
      <c r="WBI526" s="901"/>
      <c r="WBJ526" s="901"/>
      <c r="WBK526" s="901"/>
      <c r="WBL526" s="901"/>
      <c r="WBM526" s="901"/>
      <c r="WBN526" s="901"/>
      <c r="WBO526" s="901"/>
      <c r="WBP526" s="901"/>
      <c r="WBQ526" s="901"/>
      <c r="WBR526" s="901"/>
      <c r="WBS526" s="901"/>
      <c r="WBT526" s="901"/>
      <c r="WBU526" s="901"/>
      <c r="WBV526" s="901"/>
      <c r="WBW526" s="901"/>
      <c r="WBX526" s="901"/>
      <c r="WBY526" s="901"/>
      <c r="WBZ526" s="901"/>
      <c r="WCA526" s="901"/>
      <c r="WCB526" s="901"/>
      <c r="WCC526" s="901"/>
      <c r="WCD526" s="901"/>
      <c r="WCE526" s="901"/>
      <c r="WCF526" s="901"/>
      <c r="WCG526" s="901"/>
      <c r="WCH526" s="901"/>
      <c r="WCI526" s="901"/>
      <c r="WCJ526" s="901"/>
      <c r="WCK526" s="901"/>
      <c r="WCL526" s="901"/>
      <c r="WCM526" s="901"/>
      <c r="WCN526" s="901"/>
      <c r="WCO526" s="901"/>
      <c r="WCP526" s="901"/>
      <c r="WCQ526" s="901"/>
      <c r="WCR526" s="901"/>
      <c r="WCS526" s="901"/>
      <c r="WCT526" s="901"/>
      <c r="WCU526" s="901"/>
      <c r="WCV526" s="901"/>
      <c r="WCW526" s="901"/>
      <c r="WCX526" s="901"/>
      <c r="WCY526" s="901"/>
      <c r="WCZ526" s="901"/>
      <c r="WDA526" s="901"/>
      <c r="WDB526" s="901"/>
      <c r="WDC526" s="901"/>
      <c r="WDD526" s="901"/>
      <c r="WDE526" s="901"/>
      <c r="WDF526" s="901"/>
      <c r="WDG526" s="901"/>
      <c r="WDH526" s="901"/>
      <c r="WDI526" s="901"/>
      <c r="WDJ526" s="901"/>
      <c r="WDK526" s="901"/>
      <c r="WDL526" s="901"/>
      <c r="WDM526" s="901"/>
      <c r="WDN526" s="901"/>
      <c r="WDO526" s="901"/>
      <c r="WDP526" s="901"/>
      <c r="WDQ526" s="901"/>
      <c r="WDR526" s="901"/>
      <c r="WDS526" s="901"/>
      <c r="WDT526" s="901"/>
      <c r="WDU526" s="901"/>
      <c r="WDV526" s="901"/>
      <c r="WDW526" s="901"/>
      <c r="WDX526" s="901"/>
      <c r="WDY526" s="901"/>
      <c r="WDZ526" s="901"/>
      <c r="WEA526" s="901"/>
      <c r="WEB526" s="901"/>
      <c r="WEC526" s="901"/>
      <c r="WED526" s="901"/>
      <c r="WEE526" s="901"/>
      <c r="WEF526" s="901"/>
      <c r="WEG526" s="901"/>
      <c r="WEH526" s="901"/>
      <c r="WEI526" s="901"/>
      <c r="WEJ526" s="901"/>
      <c r="WEK526" s="901"/>
      <c r="WEL526" s="901"/>
      <c r="WEM526" s="901"/>
      <c r="WEN526" s="901"/>
      <c r="WEO526" s="901"/>
      <c r="WEP526" s="901"/>
      <c r="WEQ526" s="901"/>
      <c r="WER526" s="901"/>
      <c r="WES526" s="901"/>
      <c r="WET526" s="901"/>
      <c r="WEU526" s="901"/>
      <c r="WEV526" s="901"/>
      <c r="WEW526" s="901"/>
      <c r="WEX526" s="901"/>
      <c r="WEY526" s="901"/>
      <c r="WEZ526" s="901"/>
      <c r="WFA526" s="901"/>
      <c r="WFB526" s="901"/>
      <c r="WFC526" s="901"/>
      <c r="WFD526" s="901"/>
      <c r="WFE526" s="901"/>
      <c r="WFF526" s="901"/>
      <c r="WFG526" s="901"/>
      <c r="WFH526" s="901"/>
      <c r="WFI526" s="901"/>
      <c r="WFJ526" s="901"/>
      <c r="WFK526" s="901"/>
      <c r="WFL526" s="901"/>
      <c r="WFM526" s="901"/>
      <c r="WFN526" s="901"/>
      <c r="WFO526" s="901"/>
      <c r="WFP526" s="901"/>
      <c r="WFQ526" s="901"/>
      <c r="WFR526" s="901"/>
      <c r="WFS526" s="901"/>
      <c r="WFT526" s="901"/>
      <c r="WFU526" s="901"/>
      <c r="WFV526" s="901"/>
      <c r="WFW526" s="901"/>
      <c r="WFX526" s="901"/>
      <c r="WFY526" s="901"/>
      <c r="WFZ526" s="901"/>
      <c r="WGA526" s="901"/>
      <c r="WGB526" s="901"/>
      <c r="WGC526" s="901"/>
      <c r="WGD526" s="901"/>
      <c r="WGE526" s="901"/>
      <c r="WGF526" s="901"/>
      <c r="WGG526" s="901"/>
      <c r="WGH526" s="901"/>
      <c r="WGI526" s="901"/>
      <c r="WGJ526" s="901"/>
      <c r="WGK526" s="901"/>
      <c r="WGL526" s="901"/>
      <c r="WGM526" s="901"/>
      <c r="WGN526" s="901"/>
      <c r="WGO526" s="901"/>
      <c r="WGP526" s="901"/>
      <c r="WGQ526" s="901"/>
      <c r="WGR526" s="901"/>
      <c r="WGS526" s="901"/>
      <c r="WGT526" s="901"/>
      <c r="WGU526" s="901"/>
      <c r="WGV526" s="901"/>
      <c r="WGW526" s="901"/>
      <c r="WGX526" s="901"/>
      <c r="WGY526" s="901"/>
      <c r="WGZ526" s="901"/>
      <c r="WHA526" s="901"/>
      <c r="WHB526" s="901"/>
      <c r="WHC526" s="901"/>
      <c r="WHD526" s="901"/>
      <c r="WHE526" s="901"/>
      <c r="WHF526" s="901"/>
      <c r="WHG526" s="901"/>
      <c r="WHH526" s="901"/>
      <c r="WHI526" s="901"/>
      <c r="WHJ526" s="901"/>
      <c r="WHK526" s="901"/>
      <c r="WHL526" s="901"/>
      <c r="WHM526" s="901"/>
      <c r="WHN526" s="901"/>
      <c r="WHO526" s="901"/>
      <c r="WHP526" s="901"/>
      <c r="WHQ526" s="901"/>
      <c r="WHR526" s="901"/>
      <c r="WHS526" s="901"/>
      <c r="WHT526" s="901"/>
      <c r="WHU526" s="901"/>
      <c r="WHV526" s="901"/>
      <c r="WHW526" s="901"/>
      <c r="WHX526" s="901"/>
      <c r="WHY526" s="901"/>
      <c r="WHZ526" s="901"/>
      <c r="WIA526" s="901"/>
      <c r="WIB526" s="901"/>
      <c r="WIC526" s="901"/>
      <c r="WID526" s="901"/>
      <c r="WIE526" s="901"/>
      <c r="WIF526" s="901"/>
      <c r="WIG526" s="901"/>
      <c r="WIH526" s="901"/>
      <c r="WII526" s="901"/>
      <c r="WIJ526" s="901"/>
      <c r="WIK526" s="901"/>
      <c r="WIL526" s="901"/>
      <c r="WIM526" s="901"/>
      <c r="WIN526" s="901"/>
      <c r="WIO526" s="901"/>
      <c r="WIP526" s="901"/>
      <c r="WIQ526" s="901"/>
      <c r="WIR526" s="901"/>
      <c r="WIS526" s="901"/>
      <c r="WIT526" s="901"/>
      <c r="WIU526" s="901"/>
      <c r="WIV526" s="901"/>
      <c r="WIW526" s="901"/>
      <c r="WIX526" s="901"/>
      <c r="WIY526" s="901"/>
      <c r="WIZ526" s="901"/>
      <c r="WJA526" s="901"/>
      <c r="WJB526" s="901"/>
      <c r="WJC526" s="901"/>
      <c r="WJD526" s="901"/>
      <c r="WJE526" s="901"/>
      <c r="WJF526" s="901"/>
      <c r="WJG526" s="901"/>
      <c r="WJH526" s="901"/>
      <c r="WJI526" s="901"/>
      <c r="WJJ526" s="901"/>
      <c r="WJK526" s="901"/>
      <c r="WJL526" s="901"/>
      <c r="WJM526" s="901"/>
      <c r="WJN526" s="901"/>
      <c r="WJO526" s="901"/>
      <c r="WJP526" s="901"/>
      <c r="WJQ526" s="901"/>
      <c r="WJR526" s="901"/>
      <c r="WJS526" s="901"/>
      <c r="WJT526" s="901"/>
      <c r="WJU526" s="901"/>
      <c r="WJV526" s="901"/>
      <c r="WJW526" s="901"/>
      <c r="WJX526" s="901"/>
      <c r="WJY526" s="901"/>
      <c r="WJZ526" s="901"/>
      <c r="WKA526" s="901"/>
      <c r="WKB526" s="901"/>
      <c r="WKC526" s="901"/>
      <c r="WKD526" s="901"/>
      <c r="WKE526" s="901"/>
      <c r="WKF526" s="901"/>
      <c r="WKG526" s="901"/>
      <c r="WKH526" s="901"/>
      <c r="WKI526" s="901"/>
      <c r="WKJ526" s="901"/>
      <c r="WKK526" s="901"/>
      <c r="WKL526" s="901"/>
      <c r="WKM526" s="901"/>
      <c r="WKN526" s="901"/>
      <c r="WKO526" s="901"/>
      <c r="WKP526" s="901"/>
      <c r="WKQ526" s="901"/>
      <c r="WKR526" s="901"/>
      <c r="WKS526" s="901"/>
      <c r="WKT526" s="901"/>
      <c r="WKU526" s="901"/>
      <c r="WKV526" s="901"/>
      <c r="WKW526" s="901"/>
      <c r="WKX526" s="901"/>
      <c r="WKY526" s="901"/>
      <c r="WKZ526" s="901"/>
      <c r="WLA526" s="901"/>
      <c r="WLB526" s="901"/>
      <c r="WLC526" s="901"/>
      <c r="WLD526" s="901"/>
      <c r="WLE526" s="901"/>
      <c r="WLF526" s="901"/>
      <c r="WLG526" s="901"/>
      <c r="WLH526" s="901"/>
      <c r="WLI526" s="901"/>
      <c r="WLJ526" s="901"/>
      <c r="WLK526" s="901"/>
      <c r="WLL526" s="901"/>
      <c r="WLM526" s="901"/>
      <c r="WLN526" s="901"/>
      <c r="WLO526" s="901"/>
      <c r="WLP526" s="901"/>
      <c r="WLQ526" s="901"/>
      <c r="WLR526" s="901"/>
      <c r="WLS526" s="901"/>
      <c r="WLT526" s="901"/>
      <c r="WLU526" s="901"/>
      <c r="WLV526" s="901"/>
      <c r="WLW526" s="901"/>
      <c r="WLX526" s="901"/>
      <c r="WLY526" s="901"/>
      <c r="WLZ526" s="901"/>
      <c r="WMA526" s="901"/>
      <c r="WMB526" s="901"/>
      <c r="WMC526" s="901"/>
      <c r="WMD526" s="901"/>
      <c r="WME526" s="901"/>
      <c r="WMF526" s="901"/>
      <c r="WMG526" s="901"/>
      <c r="WMH526" s="901"/>
      <c r="WMI526" s="901"/>
      <c r="WMJ526" s="901"/>
      <c r="WMK526" s="901"/>
      <c r="WML526" s="901"/>
      <c r="WMM526" s="901"/>
      <c r="WMN526" s="901"/>
      <c r="WMO526" s="901"/>
      <c r="WMP526" s="901"/>
      <c r="WMQ526" s="901"/>
      <c r="WMR526" s="901"/>
      <c r="WMS526" s="901"/>
      <c r="WMT526" s="901"/>
      <c r="WMU526" s="901"/>
      <c r="WMV526" s="901"/>
      <c r="WMW526" s="901"/>
      <c r="WMX526" s="901"/>
      <c r="WMY526" s="901"/>
      <c r="WMZ526" s="901"/>
      <c r="WNA526" s="901"/>
      <c r="WNB526" s="901"/>
      <c r="WNC526" s="901"/>
      <c r="WND526" s="901"/>
      <c r="WNE526" s="901"/>
      <c r="WNF526" s="901"/>
      <c r="WNG526" s="901"/>
      <c r="WNH526" s="901"/>
      <c r="WNI526" s="901"/>
      <c r="WNJ526" s="901"/>
      <c r="WNK526" s="901"/>
      <c r="WNL526" s="901"/>
      <c r="WNM526" s="901"/>
      <c r="WNN526" s="901"/>
      <c r="WNO526" s="901"/>
      <c r="WNP526" s="901"/>
      <c r="WNQ526" s="901"/>
      <c r="WNR526" s="901"/>
      <c r="WNS526" s="901"/>
      <c r="WNT526" s="901"/>
      <c r="WNU526" s="901"/>
      <c r="WNV526" s="901"/>
      <c r="WNW526" s="901"/>
      <c r="WNX526" s="901"/>
      <c r="WNY526" s="901"/>
      <c r="WNZ526" s="901"/>
      <c r="WOA526" s="901"/>
      <c r="WOB526" s="901"/>
      <c r="WOC526" s="901"/>
      <c r="WOD526" s="901"/>
      <c r="WOE526" s="901"/>
      <c r="WOF526" s="901"/>
      <c r="WOG526" s="901"/>
      <c r="WOH526" s="901"/>
      <c r="WOI526" s="901"/>
      <c r="WOJ526" s="901"/>
      <c r="WOK526" s="901"/>
      <c r="WOL526" s="901"/>
      <c r="WOM526" s="901"/>
      <c r="WON526" s="901"/>
      <c r="WOO526" s="901"/>
      <c r="WOP526" s="901"/>
      <c r="WOQ526" s="901"/>
      <c r="WOR526" s="901"/>
      <c r="WOS526" s="901"/>
      <c r="WOT526" s="901"/>
      <c r="WOU526" s="901"/>
      <c r="WOV526" s="901"/>
      <c r="WOW526" s="901"/>
      <c r="WOX526" s="901"/>
      <c r="WOY526" s="901"/>
      <c r="WOZ526" s="901"/>
      <c r="WPA526" s="901"/>
      <c r="WPB526" s="901"/>
      <c r="WPC526" s="901"/>
      <c r="WPD526" s="901"/>
      <c r="WPE526" s="901"/>
      <c r="WPF526" s="901"/>
      <c r="WPG526" s="901"/>
      <c r="WPH526" s="901"/>
      <c r="WPI526" s="901"/>
      <c r="WPJ526" s="901"/>
      <c r="WPK526" s="901"/>
      <c r="WPL526" s="901"/>
      <c r="WPM526" s="901"/>
      <c r="WPN526" s="901"/>
      <c r="WPO526" s="901"/>
      <c r="WPP526" s="901"/>
      <c r="WPQ526" s="901"/>
      <c r="WPR526" s="901"/>
      <c r="WPS526" s="901"/>
      <c r="WPT526" s="901"/>
      <c r="WPU526" s="901"/>
      <c r="WPV526" s="901"/>
      <c r="WPW526" s="901"/>
      <c r="WPX526" s="901"/>
      <c r="WPY526" s="901"/>
      <c r="WPZ526" s="901"/>
      <c r="WQA526" s="901"/>
      <c r="WQB526" s="901"/>
      <c r="WQC526" s="901"/>
      <c r="WQD526" s="901"/>
      <c r="WQE526" s="901"/>
      <c r="WQF526" s="901"/>
      <c r="WQG526" s="901"/>
      <c r="WQH526" s="901"/>
      <c r="WQI526" s="901"/>
      <c r="WQJ526" s="901"/>
      <c r="WQK526" s="901"/>
      <c r="WQL526" s="901"/>
      <c r="WQM526" s="901"/>
      <c r="WQN526" s="901"/>
      <c r="WQO526" s="901"/>
      <c r="WQP526" s="901"/>
      <c r="WQQ526" s="901"/>
      <c r="WQR526" s="901"/>
      <c r="WQS526" s="901"/>
      <c r="WQT526" s="901"/>
      <c r="WQU526" s="901"/>
      <c r="WQV526" s="901"/>
      <c r="WQW526" s="901"/>
      <c r="WQX526" s="901"/>
      <c r="WQY526" s="901"/>
      <c r="WQZ526" s="901"/>
      <c r="WRA526" s="901"/>
      <c r="WRB526" s="901"/>
      <c r="WRC526" s="901"/>
      <c r="WRD526" s="901"/>
      <c r="WRE526" s="901"/>
      <c r="WRF526" s="901"/>
      <c r="WRG526" s="901"/>
      <c r="WRH526" s="901"/>
      <c r="WRI526" s="901"/>
      <c r="WRJ526" s="901"/>
      <c r="WRK526" s="901"/>
      <c r="WRL526" s="901"/>
      <c r="WRM526" s="901"/>
      <c r="WRN526" s="901"/>
      <c r="WRO526" s="901"/>
      <c r="WRP526" s="901"/>
      <c r="WRQ526" s="901"/>
      <c r="WRR526" s="901"/>
      <c r="WRS526" s="901"/>
      <c r="WRT526" s="901"/>
      <c r="WRU526" s="901"/>
      <c r="WRV526" s="901"/>
      <c r="WRW526" s="901"/>
      <c r="WRX526" s="901"/>
      <c r="WRY526" s="901"/>
      <c r="WRZ526" s="901"/>
      <c r="WSA526" s="901"/>
      <c r="WSB526" s="901"/>
      <c r="WSC526" s="901"/>
      <c r="WSD526" s="901"/>
      <c r="WSE526" s="901"/>
      <c r="WSF526" s="901"/>
      <c r="WSG526" s="901"/>
      <c r="WSH526" s="901"/>
      <c r="WSI526" s="901"/>
      <c r="WSJ526" s="901"/>
      <c r="WSK526" s="901"/>
      <c r="WSL526" s="901"/>
      <c r="WSM526" s="901"/>
      <c r="WSN526" s="901"/>
      <c r="WSO526" s="901"/>
      <c r="WSP526" s="901"/>
      <c r="WSQ526" s="901"/>
      <c r="WSR526" s="901"/>
      <c r="WSS526" s="901"/>
      <c r="WST526" s="901"/>
      <c r="WSU526" s="901"/>
      <c r="WSV526" s="901"/>
      <c r="WSW526" s="901"/>
      <c r="WSX526" s="901"/>
      <c r="WSY526" s="901"/>
      <c r="WSZ526" s="901"/>
      <c r="WTA526" s="901"/>
      <c r="WTB526" s="901"/>
      <c r="WTC526" s="901"/>
      <c r="WTD526" s="901"/>
      <c r="WTE526" s="901"/>
      <c r="WTF526" s="901"/>
      <c r="WTG526" s="901"/>
      <c r="WTH526" s="901"/>
      <c r="WTI526" s="901"/>
      <c r="WTJ526" s="901"/>
      <c r="WTK526" s="901"/>
      <c r="WTL526" s="901"/>
      <c r="WTM526" s="901"/>
      <c r="WTN526" s="901"/>
      <c r="WTO526" s="901"/>
      <c r="WTP526" s="901"/>
      <c r="WTQ526" s="901"/>
      <c r="WTR526" s="901"/>
      <c r="WTS526" s="901"/>
      <c r="WTT526" s="901"/>
      <c r="WTU526" s="901"/>
      <c r="WTV526" s="901"/>
      <c r="WTW526" s="901"/>
      <c r="WTX526" s="901"/>
      <c r="WTY526" s="901"/>
      <c r="WTZ526" s="901"/>
      <c r="WUA526" s="901"/>
      <c r="WUB526" s="901"/>
      <c r="WUC526" s="901"/>
      <c r="WUD526" s="901"/>
      <c r="WUE526" s="901"/>
      <c r="WUF526" s="901"/>
      <c r="WUG526" s="901"/>
      <c r="WUH526" s="901"/>
      <c r="WUI526" s="901"/>
      <c r="WUJ526" s="901"/>
      <c r="WUK526" s="901"/>
      <c r="WUL526" s="901"/>
      <c r="WUM526" s="901"/>
      <c r="WUN526" s="901"/>
      <c r="WUO526" s="901"/>
      <c r="WUP526" s="901"/>
      <c r="WUQ526" s="901"/>
      <c r="WUR526" s="901"/>
      <c r="WUS526" s="901"/>
      <c r="WUT526" s="901"/>
      <c r="WUU526" s="901"/>
      <c r="WUV526" s="901"/>
      <c r="WUW526" s="901"/>
      <c r="WUX526" s="901"/>
      <c r="WUY526" s="901"/>
      <c r="WUZ526" s="901"/>
      <c r="WVA526" s="901"/>
      <c r="WVB526" s="901"/>
      <c r="WVC526" s="901"/>
      <c r="WVD526" s="901"/>
      <c r="WVE526" s="901"/>
      <c r="WVF526" s="901"/>
      <c r="WVG526" s="901"/>
      <c r="WVH526" s="901"/>
      <c r="WVI526" s="901"/>
      <c r="WVJ526" s="901"/>
      <c r="WVK526" s="901"/>
      <c r="WVL526" s="901"/>
      <c r="WVM526" s="901"/>
      <c r="WVN526" s="901"/>
      <c r="WVO526" s="901"/>
      <c r="WVP526" s="901"/>
      <c r="WVQ526" s="901"/>
      <c r="WVR526" s="901"/>
      <c r="WVS526" s="901"/>
      <c r="WVT526" s="901"/>
      <c r="WVU526" s="901"/>
      <c r="WVV526" s="901"/>
      <c r="WVW526" s="901"/>
      <c r="WVX526" s="901"/>
      <c r="WVY526" s="901"/>
      <c r="WVZ526" s="901"/>
      <c r="WWA526" s="901"/>
    </row>
    <row r="527" spans="1:16147" ht="18" customHeight="1">
      <c r="A527" s="878"/>
      <c r="B527" s="879"/>
      <c r="C527" s="898"/>
      <c r="D527" s="898"/>
      <c r="E527" s="898"/>
      <c r="F527" s="898"/>
      <c r="G527" s="879"/>
      <c r="H527" s="764"/>
      <c r="I527" s="764"/>
      <c r="J527" s="474"/>
      <c r="K527" s="1140" t="s">
        <v>1457</v>
      </c>
      <c r="L527" s="880" t="s">
        <v>6</v>
      </c>
      <c r="M527" s="1789" t="s">
        <v>1458</v>
      </c>
      <c r="N527" s="4"/>
      <c r="P527" s="39">
        <v>2730400</v>
      </c>
      <c r="Q527" s="882">
        <v>5</v>
      </c>
      <c r="R527" s="882"/>
      <c r="S527" s="882"/>
      <c r="T527" s="45">
        <f>P527*Q527</f>
        <v>13652000</v>
      </c>
      <c r="U527" s="883" t="s">
        <v>650</v>
      </c>
      <c r="V527" s="900"/>
      <c r="W527" s="900"/>
      <c r="X527" s="900"/>
      <c r="Y527" s="901"/>
      <c r="Z527" s="901"/>
      <c r="AA527" s="901"/>
      <c r="AB527" s="901"/>
      <c r="AC527" s="901"/>
      <c r="AD527" s="901"/>
      <c r="AE527" s="901"/>
      <c r="AF527" s="901"/>
      <c r="AG527" s="901"/>
      <c r="AH527" s="901"/>
      <c r="AI527" s="901"/>
      <c r="AJ527" s="901"/>
      <c r="AK527" s="901"/>
      <c r="AL527" s="901"/>
      <c r="AM527" s="901"/>
      <c r="AN527" s="901"/>
      <c r="AO527" s="901"/>
      <c r="AP527" s="901"/>
      <c r="AQ527" s="901"/>
      <c r="AR527" s="901"/>
      <c r="AS527" s="901"/>
      <c r="AT527" s="901"/>
      <c r="AU527" s="901"/>
      <c r="AV527" s="901"/>
      <c r="AW527" s="901"/>
      <c r="AX527" s="901"/>
      <c r="AY527" s="901"/>
      <c r="AZ527" s="901"/>
      <c r="BA527" s="901"/>
      <c r="BB527" s="901"/>
      <c r="BC527" s="901"/>
      <c r="BD527" s="901"/>
      <c r="BE527" s="901"/>
      <c r="BF527" s="901"/>
      <c r="BG527" s="901"/>
      <c r="BH527" s="901"/>
      <c r="BI527" s="901"/>
      <c r="BJ527" s="901"/>
      <c r="BK527" s="901"/>
      <c r="BL527" s="901"/>
      <c r="BM527" s="901"/>
      <c r="BN527" s="901"/>
      <c r="BO527" s="901"/>
      <c r="BP527" s="901"/>
      <c r="BQ527" s="901"/>
      <c r="BR527" s="901"/>
      <c r="BS527" s="901"/>
      <c r="BT527" s="901"/>
      <c r="BU527" s="901"/>
      <c r="BV527" s="901"/>
      <c r="BW527" s="901"/>
      <c r="BX527" s="901"/>
      <c r="BY527" s="901"/>
      <c r="BZ527" s="901"/>
      <c r="CA527" s="901"/>
      <c r="CB527" s="901"/>
      <c r="CC527" s="901"/>
      <c r="CD527" s="901"/>
      <c r="CE527" s="901"/>
      <c r="CF527" s="901"/>
      <c r="CG527" s="901"/>
      <c r="CH527" s="901"/>
      <c r="CI527" s="901"/>
      <c r="CJ527" s="901"/>
      <c r="CK527" s="901"/>
      <c r="CL527" s="901"/>
      <c r="CM527" s="901"/>
      <c r="CN527" s="901"/>
      <c r="CO527" s="901"/>
      <c r="CP527" s="901"/>
      <c r="CQ527" s="901"/>
      <c r="CR527" s="901"/>
      <c r="CS527" s="901"/>
      <c r="CT527" s="901"/>
      <c r="CU527" s="901"/>
      <c r="CV527" s="901"/>
      <c r="CW527" s="901"/>
      <c r="CX527" s="901"/>
      <c r="CY527" s="901"/>
      <c r="CZ527" s="901"/>
      <c r="DA527" s="901"/>
      <c r="DB527" s="901"/>
      <c r="DC527" s="901"/>
      <c r="DD527" s="901"/>
      <c r="DE527" s="901"/>
      <c r="DF527" s="901"/>
      <c r="DG527" s="901"/>
      <c r="DH527" s="901"/>
      <c r="DI527" s="901"/>
      <c r="DJ527" s="901"/>
      <c r="DK527" s="901"/>
      <c r="DL527" s="901"/>
      <c r="DM527" s="901"/>
      <c r="DN527" s="901"/>
      <c r="DO527" s="901"/>
      <c r="DP527" s="901"/>
      <c r="DQ527" s="901"/>
      <c r="DR527" s="901"/>
      <c r="DS527" s="901"/>
      <c r="DT527" s="901"/>
      <c r="DU527" s="901"/>
      <c r="DV527" s="901"/>
      <c r="DW527" s="901"/>
      <c r="DX527" s="901"/>
      <c r="DY527" s="901"/>
      <c r="DZ527" s="901"/>
      <c r="EA527" s="901"/>
      <c r="EB527" s="901"/>
      <c r="EC527" s="901"/>
      <c r="ED527" s="901"/>
      <c r="EE527" s="901"/>
      <c r="EF527" s="901"/>
      <c r="EG527" s="901"/>
      <c r="EH527" s="901"/>
      <c r="EI527" s="901"/>
      <c r="EJ527" s="901"/>
      <c r="EK527" s="901"/>
      <c r="EL527" s="901"/>
      <c r="EM527" s="901"/>
      <c r="EN527" s="901"/>
      <c r="EO527" s="901"/>
      <c r="EP527" s="901"/>
      <c r="EQ527" s="901"/>
      <c r="ER527" s="901"/>
      <c r="ES527" s="901"/>
      <c r="ET527" s="901"/>
      <c r="EU527" s="901"/>
      <c r="EV527" s="901"/>
      <c r="EW527" s="901"/>
      <c r="EX527" s="901"/>
      <c r="EY527" s="901"/>
      <c r="EZ527" s="901"/>
      <c r="FA527" s="901"/>
      <c r="FB527" s="901"/>
      <c r="FC527" s="901"/>
      <c r="FD527" s="901"/>
      <c r="FE527" s="901"/>
      <c r="FF527" s="901"/>
      <c r="FG527" s="901"/>
      <c r="FH527" s="901"/>
      <c r="FI527" s="901"/>
      <c r="FJ527" s="901"/>
      <c r="FK527" s="901"/>
      <c r="FL527" s="901"/>
      <c r="FM527" s="901"/>
      <c r="FN527" s="901"/>
      <c r="FO527" s="901"/>
      <c r="FP527" s="901"/>
      <c r="FQ527" s="901"/>
      <c r="FR527" s="901"/>
      <c r="FS527" s="901"/>
      <c r="FT527" s="901"/>
      <c r="FU527" s="901"/>
      <c r="FV527" s="901"/>
      <c r="FW527" s="901"/>
      <c r="FX527" s="901"/>
      <c r="FY527" s="901"/>
      <c r="FZ527" s="901"/>
      <c r="GA527" s="901"/>
      <c r="GB527" s="901"/>
      <c r="GC527" s="901"/>
      <c r="GD527" s="901"/>
      <c r="GE527" s="901"/>
      <c r="GF527" s="901"/>
      <c r="GG527" s="901"/>
      <c r="GH527" s="901"/>
      <c r="GI527" s="901"/>
      <c r="GJ527" s="901"/>
      <c r="GK527" s="901"/>
      <c r="GL527" s="901"/>
      <c r="GM527" s="901"/>
      <c r="GN527" s="901"/>
      <c r="GO527" s="901"/>
      <c r="GP527" s="901"/>
      <c r="GQ527" s="901"/>
      <c r="GR527" s="901"/>
      <c r="GS527" s="901"/>
      <c r="GT527" s="901"/>
      <c r="GU527" s="901"/>
      <c r="GV527" s="901"/>
      <c r="GW527" s="901"/>
      <c r="GX527" s="901"/>
      <c r="GY527" s="901"/>
      <c r="GZ527" s="901"/>
      <c r="HA527" s="901"/>
      <c r="HB527" s="901"/>
      <c r="HC527" s="901"/>
      <c r="HD527" s="901"/>
      <c r="HE527" s="901"/>
      <c r="HF527" s="901"/>
      <c r="HG527" s="901"/>
      <c r="HH527" s="901"/>
      <c r="HI527" s="901"/>
      <c r="HJ527" s="901"/>
      <c r="HK527" s="901"/>
      <c r="HL527" s="901"/>
      <c r="HM527" s="901"/>
      <c r="HN527" s="901"/>
      <c r="HO527" s="901"/>
      <c r="HP527" s="901"/>
      <c r="HQ527" s="901"/>
      <c r="HR527" s="901"/>
      <c r="HS527" s="901"/>
      <c r="HT527" s="901"/>
      <c r="HU527" s="901"/>
      <c r="HV527" s="901"/>
      <c r="HW527" s="901"/>
      <c r="HX527" s="901"/>
      <c r="HY527" s="901"/>
      <c r="HZ527" s="901"/>
      <c r="IA527" s="901"/>
      <c r="IB527" s="901"/>
      <c r="IC527" s="901"/>
      <c r="ID527" s="901"/>
      <c r="IE527" s="901"/>
      <c r="IF527" s="901"/>
      <c r="IG527" s="901"/>
      <c r="IH527" s="901"/>
      <c r="II527" s="901"/>
      <c r="IJ527" s="901"/>
      <c r="IK527" s="901"/>
      <c r="IL527" s="901"/>
      <c r="IM527" s="901"/>
      <c r="IN527" s="901"/>
      <c r="IO527" s="901"/>
      <c r="IP527" s="901"/>
      <c r="IQ527" s="901"/>
      <c r="IR527" s="901"/>
      <c r="IS527" s="901"/>
      <c r="IT527" s="901"/>
      <c r="IU527" s="901"/>
      <c r="IV527" s="901"/>
      <c r="IW527" s="901"/>
      <c r="IX527" s="901"/>
      <c r="IY527" s="901"/>
      <c r="IZ527" s="901"/>
      <c r="JA527" s="901"/>
      <c r="JB527" s="901"/>
      <c r="JC527" s="901"/>
      <c r="JD527" s="901"/>
      <c r="JE527" s="901"/>
      <c r="JF527" s="901"/>
      <c r="JG527" s="901"/>
      <c r="JH527" s="901"/>
      <c r="JI527" s="901"/>
      <c r="JJ527" s="901"/>
      <c r="JK527" s="901"/>
      <c r="JL527" s="901"/>
      <c r="JM527" s="901"/>
      <c r="JN527" s="901"/>
      <c r="JO527" s="901"/>
      <c r="JP527" s="901"/>
      <c r="JQ527" s="901"/>
      <c r="JR527" s="901"/>
      <c r="JS527" s="901"/>
      <c r="JT527" s="901"/>
      <c r="JU527" s="901"/>
      <c r="JV527" s="901"/>
      <c r="JW527" s="901"/>
      <c r="JX527" s="901"/>
      <c r="JY527" s="901"/>
      <c r="JZ527" s="901"/>
      <c r="KA527" s="901"/>
      <c r="KB527" s="901"/>
      <c r="KC527" s="901"/>
      <c r="KD527" s="901"/>
      <c r="KE527" s="901"/>
      <c r="KF527" s="901"/>
      <c r="KG527" s="901"/>
      <c r="KH527" s="901"/>
      <c r="KI527" s="901"/>
      <c r="KJ527" s="901"/>
      <c r="KK527" s="901"/>
      <c r="KL527" s="901"/>
      <c r="KM527" s="901"/>
      <c r="KN527" s="901"/>
      <c r="KO527" s="901"/>
      <c r="KP527" s="901"/>
      <c r="KQ527" s="901"/>
      <c r="KR527" s="901"/>
      <c r="KS527" s="901"/>
      <c r="KT527" s="901"/>
      <c r="KU527" s="901"/>
      <c r="KV527" s="901"/>
      <c r="KW527" s="901"/>
      <c r="KX527" s="901"/>
      <c r="KY527" s="901"/>
      <c r="KZ527" s="901"/>
      <c r="LA527" s="901"/>
      <c r="LB527" s="901"/>
      <c r="LC527" s="901"/>
      <c r="LD527" s="901"/>
      <c r="LE527" s="901"/>
      <c r="LF527" s="901"/>
      <c r="LG527" s="901"/>
      <c r="LH527" s="901"/>
      <c r="LI527" s="901"/>
      <c r="LJ527" s="901"/>
      <c r="LK527" s="901"/>
      <c r="LL527" s="901"/>
      <c r="LM527" s="901"/>
      <c r="LN527" s="901"/>
      <c r="LO527" s="901"/>
      <c r="LP527" s="901"/>
      <c r="LQ527" s="901"/>
      <c r="LR527" s="901"/>
      <c r="LS527" s="901"/>
      <c r="LT527" s="901"/>
      <c r="LU527" s="901"/>
      <c r="LV527" s="901"/>
      <c r="LW527" s="901"/>
      <c r="LX527" s="901"/>
      <c r="LY527" s="901"/>
      <c r="LZ527" s="901"/>
      <c r="MA527" s="901"/>
      <c r="MB527" s="901"/>
      <c r="MC527" s="901"/>
      <c r="MD527" s="901"/>
      <c r="ME527" s="901"/>
      <c r="MF527" s="901"/>
      <c r="MG527" s="901"/>
      <c r="MH527" s="901"/>
      <c r="MI527" s="901"/>
      <c r="MJ527" s="901"/>
      <c r="MK527" s="901"/>
      <c r="ML527" s="901"/>
      <c r="MM527" s="901"/>
      <c r="MN527" s="901"/>
      <c r="MO527" s="901"/>
      <c r="MP527" s="901"/>
      <c r="MQ527" s="901"/>
      <c r="MR527" s="901"/>
      <c r="MS527" s="901"/>
      <c r="MT527" s="901"/>
      <c r="MU527" s="901"/>
      <c r="MV527" s="901"/>
      <c r="MW527" s="901"/>
      <c r="MX527" s="901"/>
      <c r="MY527" s="901"/>
      <c r="MZ527" s="901"/>
      <c r="NA527" s="901"/>
      <c r="NB527" s="901"/>
      <c r="NC527" s="901"/>
      <c r="ND527" s="901"/>
      <c r="NE527" s="901"/>
      <c r="NF527" s="901"/>
      <c r="NG527" s="901"/>
      <c r="NH527" s="901"/>
      <c r="NI527" s="901"/>
      <c r="NJ527" s="901"/>
      <c r="NK527" s="901"/>
      <c r="NL527" s="901"/>
      <c r="NM527" s="901"/>
      <c r="NN527" s="901"/>
      <c r="NO527" s="901"/>
      <c r="NP527" s="901"/>
      <c r="NQ527" s="901"/>
      <c r="NR527" s="901"/>
      <c r="NS527" s="901"/>
      <c r="NT527" s="901"/>
      <c r="NU527" s="901"/>
      <c r="NV527" s="901"/>
      <c r="NW527" s="901"/>
      <c r="NX527" s="901"/>
      <c r="NY527" s="901"/>
      <c r="NZ527" s="901"/>
      <c r="OA527" s="901"/>
      <c r="OB527" s="901"/>
      <c r="OC527" s="901"/>
      <c r="OD527" s="901"/>
      <c r="OE527" s="901"/>
      <c r="OF527" s="901"/>
      <c r="OG527" s="901"/>
      <c r="OH527" s="901"/>
      <c r="OI527" s="901"/>
      <c r="OJ527" s="901"/>
      <c r="OK527" s="901"/>
      <c r="OL527" s="901"/>
      <c r="OM527" s="901"/>
      <c r="ON527" s="901"/>
      <c r="OO527" s="901"/>
      <c r="OP527" s="901"/>
      <c r="OQ527" s="901"/>
      <c r="OR527" s="901"/>
      <c r="OS527" s="901"/>
      <c r="OT527" s="901"/>
      <c r="OU527" s="901"/>
      <c r="OV527" s="901"/>
      <c r="OW527" s="901"/>
      <c r="OX527" s="901"/>
      <c r="OY527" s="901"/>
      <c r="OZ527" s="901"/>
      <c r="PA527" s="901"/>
      <c r="PB527" s="901"/>
      <c r="PC527" s="901"/>
      <c r="PD527" s="901"/>
      <c r="PE527" s="901"/>
      <c r="PF527" s="901"/>
      <c r="PG527" s="901"/>
      <c r="PH527" s="901"/>
      <c r="PI527" s="901"/>
      <c r="PJ527" s="901"/>
      <c r="PK527" s="901"/>
      <c r="PL527" s="901"/>
      <c r="PM527" s="901"/>
      <c r="PN527" s="901"/>
      <c r="PO527" s="901"/>
      <c r="PP527" s="901"/>
      <c r="PQ527" s="901"/>
      <c r="PR527" s="901"/>
      <c r="PS527" s="901"/>
      <c r="PT527" s="901"/>
      <c r="PU527" s="901"/>
      <c r="PV527" s="901"/>
      <c r="PW527" s="901"/>
      <c r="PX527" s="901"/>
      <c r="PY527" s="901"/>
      <c r="PZ527" s="901"/>
      <c r="QA527" s="901"/>
      <c r="QB527" s="901"/>
      <c r="QC527" s="901"/>
      <c r="QD527" s="901"/>
      <c r="QE527" s="901"/>
      <c r="QF527" s="901"/>
      <c r="QG527" s="901"/>
      <c r="QH527" s="901"/>
      <c r="QI527" s="901"/>
      <c r="QJ527" s="901"/>
      <c r="QK527" s="901"/>
      <c r="QL527" s="901"/>
      <c r="QM527" s="901"/>
      <c r="QN527" s="901"/>
      <c r="QO527" s="901"/>
      <c r="QP527" s="901"/>
      <c r="QQ527" s="901"/>
      <c r="QR527" s="901"/>
      <c r="QS527" s="901"/>
      <c r="QT527" s="901"/>
      <c r="QU527" s="901"/>
      <c r="QV527" s="901"/>
      <c r="QW527" s="901"/>
      <c r="QX527" s="901"/>
      <c r="QY527" s="901"/>
      <c r="QZ527" s="901"/>
      <c r="RA527" s="901"/>
      <c r="RB527" s="901"/>
      <c r="RC527" s="901"/>
      <c r="RD527" s="901"/>
      <c r="RE527" s="901"/>
      <c r="RF527" s="901"/>
      <c r="RG527" s="901"/>
      <c r="RH527" s="901"/>
      <c r="RI527" s="901"/>
      <c r="RJ527" s="901"/>
      <c r="RK527" s="901"/>
      <c r="RL527" s="901"/>
      <c r="RM527" s="901"/>
      <c r="RN527" s="901"/>
      <c r="RO527" s="901"/>
      <c r="RP527" s="901"/>
      <c r="RQ527" s="901"/>
      <c r="RR527" s="901"/>
      <c r="RS527" s="901"/>
      <c r="RT527" s="901"/>
      <c r="RU527" s="901"/>
      <c r="RV527" s="901"/>
      <c r="RW527" s="901"/>
      <c r="RX527" s="901"/>
      <c r="RY527" s="901"/>
      <c r="RZ527" s="901"/>
      <c r="SA527" s="901"/>
      <c r="SB527" s="901"/>
      <c r="SC527" s="901"/>
      <c r="SD527" s="901"/>
      <c r="SE527" s="901"/>
      <c r="SF527" s="901"/>
      <c r="SG527" s="901"/>
      <c r="SH527" s="901"/>
      <c r="SI527" s="901"/>
      <c r="SJ527" s="901"/>
      <c r="SK527" s="901"/>
      <c r="SL527" s="901"/>
      <c r="SM527" s="901"/>
      <c r="SN527" s="901"/>
      <c r="SO527" s="901"/>
      <c r="SP527" s="901"/>
      <c r="SQ527" s="901"/>
      <c r="SR527" s="901"/>
      <c r="SS527" s="901"/>
      <c r="ST527" s="901"/>
      <c r="SU527" s="901"/>
      <c r="SV527" s="901"/>
      <c r="SW527" s="901"/>
      <c r="SX527" s="901"/>
      <c r="SY527" s="901"/>
      <c r="SZ527" s="901"/>
      <c r="TA527" s="901"/>
      <c r="TB527" s="901"/>
      <c r="TC527" s="901"/>
      <c r="TD527" s="901"/>
      <c r="TE527" s="901"/>
      <c r="TF527" s="901"/>
      <c r="TG527" s="901"/>
      <c r="TH527" s="901"/>
      <c r="TI527" s="901"/>
      <c r="TJ527" s="901"/>
      <c r="TK527" s="901"/>
      <c r="TL527" s="901"/>
      <c r="TM527" s="901"/>
      <c r="TN527" s="901"/>
      <c r="TO527" s="901"/>
      <c r="TP527" s="901"/>
      <c r="TQ527" s="901"/>
      <c r="TR527" s="901"/>
      <c r="TS527" s="901"/>
      <c r="TT527" s="901"/>
      <c r="TU527" s="901"/>
      <c r="TV527" s="901"/>
      <c r="TW527" s="901"/>
      <c r="TX527" s="901"/>
      <c r="TY527" s="901"/>
      <c r="TZ527" s="901"/>
      <c r="UA527" s="901"/>
      <c r="UB527" s="901"/>
      <c r="UC527" s="901"/>
      <c r="UD527" s="901"/>
      <c r="UE527" s="901"/>
      <c r="UF527" s="901"/>
      <c r="UG527" s="901"/>
      <c r="UH527" s="901"/>
      <c r="UI527" s="901"/>
      <c r="UJ527" s="901"/>
      <c r="UK527" s="901"/>
      <c r="UL527" s="901"/>
      <c r="UM527" s="901"/>
      <c r="UN527" s="901"/>
      <c r="UO527" s="901"/>
      <c r="UP527" s="901"/>
      <c r="UQ527" s="901"/>
      <c r="UR527" s="901"/>
      <c r="US527" s="901"/>
      <c r="UT527" s="901"/>
      <c r="UU527" s="901"/>
      <c r="UV527" s="901"/>
      <c r="UW527" s="901"/>
      <c r="UX527" s="901"/>
      <c r="UY527" s="901"/>
      <c r="UZ527" s="901"/>
      <c r="VA527" s="901"/>
      <c r="VB527" s="901"/>
      <c r="VC527" s="901"/>
      <c r="VD527" s="901"/>
      <c r="VE527" s="901"/>
      <c r="VF527" s="901"/>
      <c r="VG527" s="901"/>
      <c r="VH527" s="901"/>
      <c r="VI527" s="901"/>
      <c r="VJ527" s="901"/>
      <c r="VK527" s="901"/>
      <c r="VL527" s="901"/>
      <c r="VM527" s="901"/>
      <c r="VN527" s="901"/>
      <c r="VO527" s="901"/>
      <c r="VP527" s="901"/>
      <c r="VQ527" s="901"/>
      <c r="VR527" s="901"/>
      <c r="VS527" s="901"/>
      <c r="VT527" s="901"/>
      <c r="VU527" s="901"/>
      <c r="VV527" s="901"/>
      <c r="VW527" s="901"/>
      <c r="VX527" s="901"/>
      <c r="VY527" s="901"/>
      <c r="VZ527" s="901"/>
      <c r="WA527" s="901"/>
      <c r="WB527" s="901"/>
      <c r="WC527" s="901"/>
      <c r="WD527" s="901"/>
      <c r="WE527" s="901"/>
      <c r="WF527" s="901"/>
      <c r="WG527" s="901"/>
      <c r="WH527" s="901"/>
      <c r="WI527" s="901"/>
      <c r="WJ527" s="901"/>
      <c r="WK527" s="901"/>
      <c r="WL527" s="901"/>
      <c r="WM527" s="901"/>
      <c r="WN527" s="901"/>
      <c r="WO527" s="901"/>
      <c r="WP527" s="901"/>
      <c r="WQ527" s="901"/>
      <c r="WR527" s="901"/>
      <c r="WS527" s="901"/>
      <c r="WT527" s="901"/>
      <c r="WU527" s="901"/>
      <c r="WV527" s="901"/>
      <c r="WW527" s="901"/>
      <c r="WX527" s="901"/>
      <c r="WY527" s="901"/>
      <c r="WZ527" s="901"/>
      <c r="XA527" s="901"/>
      <c r="XB527" s="901"/>
      <c r="XC527" s="901"/>
      <c r="XD527" s="901"/>
      <c r="XE527" s="901"/>
      <c r="XF527" s="901"/>
      <c r="XG527" s="901"/>
      <c r="XH527" s="901"/>
      <c r="XI527" s="901"/>
      <c r="XJ527" s="901"/>
      <c r="XK527" s="901"/>
      <c r="XL527" s="901"/>
      <c r="XM527" s="901"/>
      <c r="XN527" s="901"/>
      <c r="XO527" s="901"/>
      <c r="XP527" s="901"/>
      <c r="XQ527" s="901"/>
      <c r="XR527" s="901"/>
      <c r="XS527" s="901"/>
      <c r="XT527" s="901"/>
      <c r="XU527" s="901"/>
      <c r="XV527" s="901"/>
      <c r="XW527" s="901"/>
      <c r="XX527" s="901"/>
      <c r="XY527" s="901"/>
      <c r="XZ527" s="901"/>
      <c r="YA527" s="901"/>
      <c r="YB527" s="901"/>
      <c r="YC527" s="901"/>
      <c r="YD527" s="901"/>
      <c r="YE527" s="901"/>
      <c r="YF527" s="901"/>
      <c r="YG527" s="901"/>
      <c r="YH527" s="901"/>
      <c r="YI527" s="901"/>
      <c r="YJ527" s="901"/>
      <c r="YK527" s="901"/>
      <c r="YL527" s="901"/>
      <c r="YM527" s="901"/>
      <c r="YN527" s="901"/>
      <c r="YO527" s="901"/>
      <c r="YP527" s="901"/>
      <c r="YQ527" s="901"/>
      <c r="YR527" s="901"/>
      <c r="YS527" s="901"/>
      <c r="YT527" s="901"/>
      <c r="YU527" s="901"/>
      <c r="YV527" s="901"/>
      <c r="YW527" s="901"/>
      <c r="YX527" s="901"/>
      <c r="YY527" s="901"/>
      <c r="YZ527" s="901"/>
      <c r="ZA527" s="901"/>
      <c r="ZB527" s="901"/>
      <c r="ZC527" s="901"/>
      <c r="ZD527" s="901"/>
      <c r="ZE527" s="901"/>
      <c r="ZF527" s="901"/>
      <c r="ZG527" s="901"/>
      <c r="ZH527" s="901"/>
      <c r="ZI527" s="901"/>
      <c r="ZJ527" s="901"/>
      <c r="ZK527" s="901"/>
      <c r="ZL527" s="901"/>
      <c r="ZM527" s="901"/>
      <c r="ZN527" s="901"/>
      <c r="ZO527" s="901"/>
      <c r="ZP527" s="901"/>
      <c r="ZQ527" s="901"/>
      <c r="ZR527" s="901"/>
      <c r="ZS527" s="901"/>
      <c r="ZT527" s="901"/>
      <c r="ZU527" s="901"/>
      <c r="ZV527" s="901"/>
      <c r="ZW527" s="901"/>
      <c r="ZX527" s="901"/>
      <c r="ZY527" s="901"/>
      <c r="ZZ527" s="901"/>
      <c r="AAA527" s="901"/>
      <c r="AAB527" s="901"/>
      <c r="AAC527" s="901"/>
      <c r="AAD527" s="901"/>
      <c r="AAE527" s="901"/>
      <c r="AAF527" s="901"/>
      <c r="AAG527" s="901"/>
      <c r="AAH527" s="901"/>
      <c r="AAI527" s="901"/>
      <c r="AAJ527" s="901"/>
      <c r="AAK527" s="901"/>
      <c r="AAL527" s="901"/>
      <c r="AAM527" s="901"/>
      <c r="AAN527" s="901"/>
      <c r="AAO527" s="901"/>
      <c r="AAP527" s="901"/>
      <c r="AAQ527" s="901"/>
      <c r="AAR527" s="901"/>
      <c r="AAS527" s="901"/>
      <c r="AAT527" s="901"/>
      <c r="AAU527" s="901"/>
      <c r="AAV527" s="901"/>
      <c r="AAW527" s="901"/>
      <c r="AAX527" s="901"/>
      <c r="AAY527" s="901"/>
      <c r="AAZ527" s="901"/>
      <c r="ABA527" s="901"/>
      <c r="ABB527" s="901"/>
      <c r="ABC527" s="901"/>
      <c r="ABD527" s="901"/>
      <c r="ABE527" s="901"/>
      <c r="ABF527" s="901"/>
      <c r="ABG527" s="901"/>
      <c r="ABH527" s="901"/>
      <c r="ABI527" s="901"/>
      <c r="ABJ527" s="901"/>
      <c r="ABK527" s="901"/>
      <c r="ABL527" s="901"/>
      <c r="ABM527" s="901"/>
      <c r="ABN527" s="901"/>
      <c r="ABO527" s="901"/>
      <c r="ABP527" s="901"/>
      <c r="ABQ527" s="901"/>
      <c r="ABR527" s="901"/>
      <c r="ABS527" s="901"/>
      <c r="ABT527" s="901"/>
      <c r="ABU527" s="901"/>
      <c r="ABV527" s="901"/>
      <c r="ABW527" s="901"/>
      <c r="ABX527" s="901"/>
      <c r="ABY527" s="901"/>
      <c r="ABZ527" s="901"/>
      <c r="ACA527" s="901"/>
      <c r="ACB527" s="901"/>
      <c r="ACC527" s="901"/>
      <c r="ACD527" s="901"/>
      <c r="ACE527" s="901"/>
      <c r="ACF527" s="901"/>
      <c r="ACG527" s="901"/>
      <c r="ACH527" s="901"/>
      <c r="ACI527" s="901"/>
      <c r="ACJ527" s="901"/>
      <c r="ACK527" s="901"/>
      <c r="ACL527" s="901"/>
      <c r="ACM527" s="901"/>
      <c r="ACN527" s="901"/>
      <c r="ACO527" s="901"/>
      <c r="ACP527" s="901"/>
      <c r="ACQ527" s="901"/>
      <c r="ACR527" s="901"/>
      <c r="ACS527" s="901"/>
      <c r="ACT527" s="901"/>
      <c r="ACU527" s="901"/>
      <c r="ACV527" s="901"/>
      <c r="ACW527" s="901"/>
      <c r="ACX527" s="901"/>
      <c r="ACY527" s="901"/>
      <c r="ACZ527" s="901"/>
      <c r="ADA527" s="901"/>
      <c r="ADB527" s="901"/>
      <c r="ADC527" s="901"/>
      <c r="ADD527" s="901"/>
      <c r="ADE527" s="901"/>
      <c r="ADF527" s="901"/>
      <c r="ADG527" s="901"/>
      <c r="ADH527" s="901"/>
      <c r="ADI527" s="901"/>
      <c r="ADJ527" s="901"/>
      <c r="ADK527" s="901"/>
      <c r="ADL527" s="901"/>
      <c r="ADM527" s="901"/>
      <c r="ADN527" s="901"/>
      <c r="ADO527" s="901"/>
      <c r="ADP527" s="901"/>
      <c r="ADQ527" s="901"/>
      <c r="ADR527" s="901"/>
      <c r="ADS527" s="901"/>
      <c r="ADT527" s="901"/>
      <c r="ADU527" s="901"/>
      <c r="ADV527" s="901"/>
      <c r="ADW527" s="901"/>
      <c r="ADX527" s="901"/>
      <c r="ADY527" s="901"/>
      <c r="ADZ527" s="901"/>
      <c r="AEA527" s="901"/>
      <c r="AEB527" s="901"/>
      <c r="AEC527" s="901"/>
      <c r="AED527" s="901"/>
      <c r="AEE527" s="901"/>
      <c r="AEF527" s="901"/>
      <c r="AEG527" s="901"/>
      <c r="AEH527" s="901"/>
      <c r="AEI527" s="901"/>
      <c r="AEJ527" s="901"/>
      <c r="AEK527" s="901"/>
      <c r="AEL527" s="901"/>
      <c r="AEM527" s="901"/>
      <c r="AEN527" s="901"/>
      <c r="AEO527" s="901"/>
      <c r="AEP527" s="901"/>
      <c r="AEQ527" s="901"/>
      <c r="AER527" s="901"/>
      <c r="AES527" s="901"/>
      <c r="AET527" s="901"/>
      <c r="AEU527" s="901"/>
      <c r="AEV527" s="901"/>
      <c r="AEW527" s="901"/>
      <c r="AEX527" s="901"/>
      <c r="AEY527" s="901"/>
      <c r="AEZ527" s="901"/>
      <c r="AFA527" s="901"/>
      <c r="AFB527" s="901"/>
      <c r="AFC527" s="901"/>
      <c r="AFD527" s="901"/>
      <c r="AFE527" s="901"/>
      <c r="AFF527" s="901"/>
      <c r="AFG527" s="901"/>
      <c r="AFH527" s="901"/>
      <c r="AFI527" s="901"/>
      <c r="AFJ527" s="901"/>
      <c r="AFK527" s="901"/>
      <c r="AFL527" s="901"/>
      <c r="AFM527" s="901"/>
      <c r="AFN527" s="901"/>
      <c r="AFO527" s="901"/>
      <c r="AFP527" s="901"/>
      <c r="AFQ527" s="901"/>
      <c r="AFR527" s="901"/>
      <c r="AFS527" s="901"/>
      <c r="AFT527" s="901"/>
      <c r="AFU527" s="901"/>
      <c r="AFV527" s="901"/>
      <c r="AFW527" s="901"/>
      <c r="AFX527" s="901"/>
      <c r="AFY527" s="901"/>
      <c r="AFZ527" s="901"/>
      <c r="AGA527" s="901"/>
      <c r="AGB527" s="901"/>
      <c r="AGC527" s="901"/>
      <c r="AGD527" s="901"/>
      <c r="AGE527" s="901"/>
      <c r="AGF527" s="901"/>
      <c r="AGG527" s="901"/>
      <c r="AGH527" s="901"/>
      <c r="AGI527" s="901"/>
      <c r="AGJ527" s="901"/>
      <c r="AGK527" s="901"/>
      <c r="AGL527" s="901"/>
      <c r="AGM527" s="901"/>
      <c r="AGN527" s="901"/>
      <c r="AGO527" s="901"/>
      <c r="AGP527" s="901"/>
      <c r="AGQ527" s="901"/>
      <c r="AGR527" s="901"/>
      <c r="AGS527" s="901"/>
      <c r="AGT527" s="901"/>
      <c r="AGU527" s="901"/>
      <c r="AGV527" s="901"/>
      <c r="AGW527" s="901"/>
      <c r="AGX527" s="901"/>
      <c r="AGY527" s="901"/>
      <c r="AGZ527" s="901"/>
      <c r="AHA527" s="901"/>
      <c r="AHB527" s="901"/>
      <c r="AHC527" s="901"/>
      <c r="AHD527" s="901"/>
      <c r="AHE527" s="901"/>
      <c r="AHF527" s="901"/>
      <c r="AHG527" s="901"/>
      <c r="AHH527" s="901"/>
      <c r="AHI527" s="901"/>
      <c r="AHJ527" s="901"/>
      <c r="AHK527" s="901"/>
      <c r="AHL527" s="901"/>
      <c r="AHM527" s="901"/>
      <c r="AHN527" s="901"/>
      <c r="AHO527" s="901"/>
      <c r="AHP527" s="901"/>
      <c r="AHQ527" s="901"/>
      <c r="AHR527" s="901"/>
      <c r="AHS527" s="901"/>
      <c r="AHT527" s="901"/>
      <c r="AHU527" s="901"/>
      <c r="AHV527" s="901"/>
      <c r="AHW527" s="901"/>
      <c r="AHX527" s="901"/>
      <c r="AHY527" s="901"/>
      <c r="AHZ527" s="901"/>
      <c r="AIA527" s="901"/>
      <c r="AIB527" s="901"/>
      <c r="AIC527" s="901"/>
      <c r="AID527" s="901"/>
      <c r="AIE527" s="901"/>
      <c r="AIF527" s="901"/>
      <c r="AIG527" s="901"/>
      <c r="AIH527" s="901"/>
      <c r="AII527" s="901"/>
      <c r="AIJ527" s="901"/>
      <c r="AIK527" s="901"/>
      <c r="AIL527" s="901"/>
      <c r="AIM527" s="901"/>
      <c r="AIN527" s="901"/>
      <c r="AIO527" s="901"/>
      <c r="AIP527" s="901"/>
      <c r="AIQ527" s="901"/>
      <c r="AIR527" s="901"/>
      <c r="AIS527" s="901"/>
      <c r="AIT527" s="901"/>
      <c r="AIU527" s="901"/>
      <c r="AIV527" s="901"/>
      <c r="AIW527" s="901"/>
      <c r="AIX527" s="901"/>
      <c r="AIY527" s="901"/>
      <c r="AIZ527" s="901"/>
      <c r="AJA527" s="901"/>
      <c r="AJB527" s="901"/>
      <c r="AJC527" s="901"/>
      <c r="AJD527" s="901"/>
      <c r="AJE527" s="901"/>
      <c r="AJF527" s="901"/>
      <c r="AJG527" s="901"/>
      <c r="AJH527" s="901"/>
      <c r="AJI527" s="901"/>
      <c r="AJJ527" s="901"/>
      <c r="AJK527" s="901"/>
      <c r="AJL527" s="901"/>
      <c r="AJM527" s="901"/>
      <c r="AJN527" s="901"/>
      <c r="AJO527" s="901"/>
      <c r="AJP527" s="901"/>
      <c r="AJQ527" s="901"/>
      <c r="AJR527" s="901"/>
      <c r="AJS527" s="901"/>
      <c r="AJT527" s="901"/>
      <c r="AJU527" s="901"/>
      <c r="AJV527" s="901"/>
      <c r="AJW527" s="901"/>
      <c r="AJX527" s="901"/>
      <c r="AJY527" s="901"/>
      <c r="AJZ527" s="901"/>
      <c r="AKA527" s="901"/>
      <c r="AKB527" s="901"/>
      <c r="AKC527" s="901"/>
      <c r="AKD527" s="901"/>
      <c r="AKE527" s="901"/>
      <c r="AKF527" s="901"/>
      <c r="AKG527" s="901"/>
      <c r="AKH527" s="901"/>
      <c r="AKI527" s="901"/>
      <c r="AKJ527" s="901"/>
      <c r="AKK527" s="901"/>
      <c r="AKL527" s="901"/>
      <c r="AKM527" s="901"/>
      <c r="AKN527" s="901"/>
      <c r="AKO527" s="901"/>
      <c r="AKP527" s="901"/>
      <c r="AKQ527" s="901"/>
      <c r="AKR527" s="901"/>
      <c r="AKS527" s="901"/>
      <c r="AKT527" s="901"/>
      <c r="AKU527" s="901"/>
      <c r="AKV527" s="901"/>
      <c r="AKW527" s="901"/>
      <c r="AKX527" s="901"/>
      <c r="AKY527" s="901"/>
      <c r="AKZ527" s="901"/>
      <c r="ALA527" s="901"/>
      <c r="ALB527" s="901"/>
      <c r="ALC527" s="901"/>
      <c r="ALD527" s="901"/>
      <c r="ALE527" s="901"/>
      <c r="ALF527" s="901"/>
      <c r="ALG527" s="901"/>
      <c r="ALH527" s="901"/>
      <c r="ALI527" s="901"/>
      <c r="ALJ527" s="901"/>
      <c r="ALK527" s="901"/>
      <c r="ALL527" s="901"/>
      <c r="ALM527" s="901"/>
      <c r="ALN527" s="901"/>
      <c r="ALO527" s="901"/>
      <c r="ALP527" s="901"/>
      <c r="ALQ527" s="901"/>
      <c r="ALR527" s="901"/>
      <c r="ALS527" s="901"/>
      <c r="ALT527" s="901"/>
      <c r="ALU527" s="901"/>
      <c r="ALV527" s="901"/>
      <c r="ALW527" s="901"/>
      <c r="ALX527" s="901"/>
      <c r="ALY527" s="901"/>
      <c r="ALZ527" s="901"/>
      <c r="AMA527" s="901"/>
      <c r="AMB527" s="901"/>
      <c r="AMC527" s="901"/>
      <c r="AMD527" s="901"/>
      <c r="AME527" s="901"/>
      <c r="AMF527" s="901"/>
      <c r="AMG527" s="901"/>
      <c r="AMH527" s="901"/>
      <c r="AMI527" s="901"/>
      <c r="AMJ527" s="901"/>
      <c r="AMK527" s="901"/>
      <c r="AML527" s="901"/>
      <c r="AMM527" s="901"/>
      <c r="AMN527" s="901"/>
      <c r="AMO527" s="901"/>
      <c r="AMP527" s="901"/>
      <c r="AMQ527" s="901"/>
      <c r="AMR527" s="901"/>
      <c r="AMS527" s="901"/>
      <c r="AMT527" s="901"/>
      <c r="AMU527" s="901"/>
      <c r="AMV527" s="901"/>
      <c r="AMW527" s="901"/>
      <c r="AMX527" s="901"/>
      <c r="AMY527" s="901"/>
      <c r="AMZ527" s="901"/>
      <c r="ANA527" s="901"/>
      <c r="ANB527" s="901"/>
      <c r="ANC527" s="901"/>
      <c r="AND527" s="901"/>
      <c r="ANE527" s="901"/>
      <c r="ANF527" s="901"/>
      <c r="ANG527" s="901"/>
      <c r="ANH527" s="901"/>
      <c r="ANI527" s="901"/>
      <c r="ANJ527" s="901"/>
      <c r="ANK527" s="901"/>
      <c r="ANL527" s="901"/>
      <c r="ANM527" s="901"/>
      <c r="ANN527" s="901"/>
      <c r="ANO527" s="901"/>
      <c r="ANP527" s="901"/>
      <c r="ANQ527" s="901"/>
      <c r="ANR527" s="901"/>
      <c r="ANS527" s="901"/>
      <c r="ANT527" s="901"/>
      <c r="ANU527" s="901"/>
      <c r="ANV527" s="901"/>
      <c r="ANW527" s="901"/>
      <c r="ANX527" s="901"/>
      <c r="ANY527" s="901"/>
      <c r="ANZ527" s="901"/>
      <c r="AOA527" s="901"/>
      <c r="AOB527" s="901"/>
      <c r="AOC527" s="901"/>
      <c r="AOD527" s="901"/>
      <c r="AOE527" s="901"/>
      <c r="AOF527" s="901"/>
      <c r="AOG527" s="901"/>
      <c r="AOH527" s="901"/>
      <c r="AOI527" s="901"/>
      <c r="AOJ527" s="901"/>
      <c r="AOK527" s="901"/>
      <c r="AOL527" s="901"/>
      <c r="AOM527" s="901"/>
      <c r="AON527" s="901"/>
      <c r="AOO527" s="901"/>
      <c r="AOP527" s="901"/>
      <c r="AOQ527" s="901"/>
      <c r="AOR527" s="901"/>
      <c r="AOS527" s="901"/>
      <c r="AOT527" s="901"/>
      <c r="AOU527" s="901"/>
      <c r="AOV527" s="901"/>
      <c r="AOW527" s="901"/>
      <c r="AOX527" s="901"/>
      <c r="AOY527" s="901"/>
      <c r="AOZ527" s="901"/>
      <c r="APA527" s="901"/>
      <c r="APB527" s="901"/>
      <c r="APC527" s="901"/>
      <c r="APD527" s="901"/>
      <c r="APE527" s="901"/>
      <c r="APF527" s="901"/>
      <c r="APG527" s="901"/>
      <c r="APH527" s="901"/>
      <c r="API527" s="901"/>
      <c r="APJ527" s="901"/>
      <c r="APK527" s="901"/>
      <c r="APL527" s="901"/>
      <c r="APM527" s="901"/>
      <c r="APN527" s="901"/>
      <c r="APO527" s="901"/>
      <c r="APP527" s="901"/>
      <c r="APQ527" s="901"/>
      <c r="APR527" s="901"/>
      <c r="APS527" s="901"/>
      <c r="APT527" s="901"/>
      <c r="APU527" s="901"/>
      <c r="APV527" s="901"/>
      <c r="APW527" s="901"/>
      <c r="APX527" s="901"/>
      <c r="APY527" s="901"/>
      <c r="APZ527" s="901"/>
      <c r="AQA527" s="901"/>
      <c r="AQB527" s="901"/>
      <c r="AQC527" s="901"/>
      <c r="AQD527" s="901"/>
      <c r="AQE527" s="901"/>
      <c r="AQF527" s="901"/>
      <c r="AQG527" s="901"/>
      <c r="AQH527" s="901"/>
      <c r="AQI527" s="901"/>
      <c r="AQJ527" s="901"/>
      <c r="AQK527" s="901"/>
      <c r="AQL527" s="901"/>
      <c r="AQM527" s="901"/>
      <c r="AQN527" s="901"/>
      <c r="AQO527" s="901"/>
      <c r="AQP527" s="901"/>
      <c r="AQQ527" s="901"/>
      <c r="AQR527" s="901"/>
      <c r="AQS527" s="901"/>
      <c r="AQT527" s="901"/>
      <c r="AQU527" s="901"/>
      <c r="AQV527" s="901"/>
      <c r="AQW527" s="901"/>
      <c r="AQX527" s="901"/>
      <c r="AQY527" s="901"/>
      <c r="AQZ527" s="901"/>
      <c r="ARA527" s="901"/>
      <c r="ARB527" s="901"/>
      <c r="ARC527" s="901"/>
      <c r="ARD527" s="901"/>
      <c r="ARE527" s="901"/>
      <c r="ARF527" s="901"/>
      <c r="ARG527" s="901"/>
      <c r="ARH527" s="901"/>
      <c r="ARI527" s="901"/>
      <c r="ARJ527" s="901"/>
      <c r="ARK527" s="901"/>
      <c r="ARL527" s="901"/>
      <c r="ARM527" s="901"/>
      <c r="ARN527" s="901"/>
      <c r="ARO527" s="901"/>
      <c r="ARP527" s="901"/>
      <c r="ARQ527" s="901"/>
      <c r="ARR527" s="901"/>
      <c r="ARS527" s="901"/>
      <c r="ART527" s="901"/>
      <c r="ARU527" s="901"/>
      <c r="ARV527" s="901"/>
      <c r="ARW527" s="901"/>
      <c r="ARX527" s="901"/>
      <c r="ARY527" s="901"/>
      <c r="ARZ527" s="901"/>
      <c r="ASA527" s="901"/>
      <c r="ASB527" s="901"/>
      <c r="ASC527" s="901"/>
      <c r="ASD527" s="901"/>
      <c r="ASE527" s="901"/>
      <c r="ASF527" s="901"/>
      <c r="ASG527" s="901"/>
      <c r="ASH527" s="901"/>
      <c r="ASI527" s="901"/>
      <c r="ASJ527" s="901"/>
      <c r="ASK527" s="901"/>
      <c r="ASL527" s="901"/>
      <c r="ASM527" s="901"/>
      <c r="ASN527" s="901"/>
      <c r="ASO527" s="901"/>
      <c r="ASP527" s="901"/>
      <c r="ASQ527" s="901"/>
      <c r="ASR527" s="901"/>
      <c r="ASS527" s="901"/>
      <c r="AST527" s="901"/>
      <c r="ASU527" s="901"/>
      <c r="ASV527" s="901"/>
      <c r="ASW527" s="901"/>
      <c r="ASX527" s="901"/>
      <c r="ASY527" s="901"/>
      <c r="ASZ527" s="901"/>
      <c r="ATA527" s="901"/>
      <c r="ATB527" s="901"/>
      <c r="ATC527" s="901"/>
      <c r="ATD527" s="901"/>
      <c r="ATE527" s="901"/>
      <c r="ATF527" s="901"/>
      <c r="ATG527" s="901"/>
      <c r="ATH527" s="901"/>
      <c r="ATI527" s="901"/>
      <c r="ATJ527" s="901"/>
      <c r="ATK527" s="901"/>
      <c r="ATL527" s="901"/>
      <c r="ATM527" s="901"/>
      <c r="ATN527" s="901"/>
      <c r="ATO527" s="901"/>
      <c r="ATP527" s="901"/>
      <c r="ATQ527" s="901"/>
      <c r="ATR527" s="901"/>
      <c r="ATS527" s="901"/>
      <c r="ATT527" s="901"/>
      <c r="ATU527" s="901"/>
      <c r="ATV527" s="901"/>
      <c r="ATW527" s="901"/>
      <c r="ATX527" s="901"/>
      <c r="ATY527" s="901"/>
      <c r="ATZ527" s="901"/>
      <c r="AUA527" s="901"/>
      <c r="AUB527" s="901"/>
      <c r="AUC527" s="901"/>
      <c r="AUD527" s="901"/>
      <c r="AUE527" s="901"/>
      <c r="AUF527" s="901"/>
      <c r="AUG527" s="901"/>
      <c r="AUH527" s="901"/>
      <c r="AUI527" s="901"/>
      <c r="AUJ527" s="901"/>
      <c r="AUK527" s="901"/>
      <c r="AUL527" s="901"/>
      <c r="AUM527" s="901"/>
      <c r="AUN527" s="901"/>
      <c r="AUO527" s="901"/>
      <c r="AUP527" s="901"/>
      <c r="AUQ527" s="901"/>
      <c r="AUR527" s="901"/>
      <c r="AUS527" s="901"/>
      <c r="AUT527" s="901"/>
      <c r="AUU527" s="901"/>
      <c r="AUV527" s="901"/>
      <c r="AUW527" s="901"/>
      <c r="AUX527" s="901"/>
      <c r="AUY527" s="901"/>
      <c r="AUZ527" s="901"/>
      <c r="AVA527" s="901"/>
      <c r="AVB527" s="901"/>
      <c r="AVC527" s="901"/>
      <c r="AVD527" s="901"/>
      <c r="AVE527" s="901"/>
      <c r="AVF527" s="901"/>
      <c r="AVG527" s="901"/>
      <c r="AVH527" s="901"/>
      <c r="AVI527" s="901"/>
      <c r="AVJ527" s="901"/>
      <c r="AVK527" s="901"/>
      <c r="AVL527" s="901"/>
      <c r="AVM527" s="901"/>
      <c r="AVN527" s="901"/>
      <c r="AVO527" s="901"/>
      <c r="AVP527" s="901"/>
      <c r="AVQ527" s="901"/>
      <c r="AVR527" s="901"/>
      <c r="AVS527" s="901"/>
      <c r="AVT527" s="901"/>
      <c r="AVU527" s="901"/>
      <c r="AVV527" s="901"/>
      <c r="AVW527" s="901"/>
      <c r="AVX527" s="901"/>
      <c r="AVY527" s="901"/>
      <c r="AVZ527" s="901"/>
      <c r="AWA527" s="901"/>
      <c r="AWB527" s="901"/>
      <c r="AWC527" s="901"/>
      <c r="AWD527" s="901"/>
      <c r="AWE527" s="901"/>
      <c r="AWF527" s="901"/>
      <c r="AWG527" s="901"/>
      <c r="AWH527" s="901"/>
      <c r="AWI527" s="901"/>
      <c r="AWJ527" s="901"/>
      <c r="AWK527" s="901"/>
      <c r="AWL527" s="901"/>
      <c r="AWM527" s="901"/>
      <c r="AWN527" s="901"/>
      <c r="AWO527" s="901"/>
      <c r="AWP527" s="901"/>
      <c r="AWQ527" s="901"/>
      <c r="AWR527" s="901"/>
      <c r="AWS527" s="901"/>
      <c r="AWT527" s="901"/>
      <c r="AWU527" s="901"/>
      <c r="AWV527" s="901"/>
      <c r="AWW527" s="901"/>
      <c r="AWX527" s="901"/>
      <c r="AWY527" s="901"/>
      <c r="AWZ527" s="901"/>
      <c r="AXA527" s="901"/>
      <c r="AXB527" s="901"/>
      <c r="AXC527" s="901"/>
      <c r="AXD527" s="901"/>
      <c r="AXE527" s="901"/>
      <c r="AXF527" s="901"/>
      <c r="AXG527" s="901"/>
      <c r="AXH527" s="901"/>
      <c r="AXI527" s="901"/>
      <c r="AXJ527" s="901"/>
      <c r="AXK527" s="901"/>
      <c r="AXL527" s="901"/>
      <c r="AXM527" s="901"/>
      <c r="AXN527" s="901"/>
      <c r="AXO527" s="901"/>
      <c r="AXP527" s="901"/>
      <c r="AXQ527" s="901"/>
      <c r="AXR527" s="901"/>
      <c r="AXS527" s="901"/>
      <c r="AXT527" s="901"/>
      <c r="AXU527" s="901"/>
      <c r="AXV527" s="901"/>
      <c r="AXW527" s="901"/>
      <c r="AXX527" s="901"/>
      <c r="AXY527" s="901"/>
      <c r="AXZ527" s="901"/>
      <c r="AYA527" s="901"/>
      <c r="AYB527" s="901"/>
      <c r="AYC527" s="901"/>
      <c r="AYD527" s="901"/>
      <c r="AYE527" s="901"/>
      <c r="AYF527" s="901"/>
      <c r="AYG527" s="901"/>
      <c r="AYH527" s="901"/>
      <c r="AYI527" s="901"/>
      <c r="AYJ527" s="901"/>
      <c r="AYK527" s="901"/>
      <c r="AYL527" s="901"/>
      <c r="AYM527" s="901"/>
      <c r="AYN527" s="901"/>
      <c r="AYO527" s="901"/>
      <c r="AYP527" s="901"/>
      <c r="AYQ527" s="901"/>
      <c r="AYR527" s="901"/>
      <c r="AYS527" s="901"/>
      <c r="AYT527" s="901"/>
      <c r="AYU527" s="901"/>
      <c r="AYV527" s="901"/>
      <c r="AYW527" s="901"/>
      <c r="AYX527" s="901"/>
      <c r="AYY527" s="901"/>
      <c r="AYZ527" s="901"/>
      <c r="AZA527" s="901"/>
      <c r="AZB527" s="901"/>
      <c r="AZC527" s="901"/>
      <c r="AZD527" s="901"/>
      <c r="AZE527" s="901"/>
      <c r="AZF527" s="901"/>
      <c r="AZG527" s="901"/>
      <c r="AZH527" s="901"/>
      <c r="AZI527" s="901"/>
      <c r="AZJ527" s="901"/>
      <c r="AZK527" s="901"/>
      <c r="AZL527" s="901"/>
      <c r="AZM527" s="901"/>
      <c r="AZN527" s="901"/>
      <c r="AZO527" s="901"/>
      <c r="AZP527" s="901"/>
      <c r="AZQ527" s="901"/>
      <c r="AZR527" s="901"/>
      <c r="AZS527" s="901"/>
      <c r="AZT527" s="901"/>
      <c r="AZU527" s="901"/>
      <c r="AZV527" s="901"/>
      <c r="AZW527" s="901"/>
      <c r="AZX527" s="901"/>
      <c r="AZY527" s="901"/>
      <c r="AZZ527" s="901"/>
      <c r="BAA527" s="901"/>
      <c r="BAB527" s="901"/>
      <c r="BAC527" s="901"/>
      <c r="BAD527" s="901"/>
      <c r="BAE527" s="901"/>
      <c r="BAF527" s="901"/>
      <c r="BAG527" s="901"/>
      <c r="BAH527" s="901"/>
      <c r="BAI527" s="901"/>
      <c r="BAJ527" s="901"/>
      <c r="BAK527" s="901"/>
      <c r="BAL527" s="901"/>
      <c r="BAM527" s="901"/>
      <c r="BAN527" s="901"/>
      <c r="BAO527" s="901"/>
      <c r="BAP527" s="901"/>
      <c r="BAQ527" s="901"/>
      <c r="BAR527" s="901"/>
      <c r="BAS527" s="901"/>
      <c r="BAT527" s="901"/>
      <c r="BAU527" s="901"/>
      <c r="BAV527" s="901"/>
      <c r="BAW527" s="901"/>
      <c r="BAX527" s="901"/>
      <c r="BAY527" s="901"/>
      <c r="BAZ527" s="901"/>
      <c r="BBA527" s="901"/>
      <c r="BBB527" s="901"/>
      <c r="BBC527" s="901"/>
      <c r="BBD527" s="901"/>
      <c r="BBE527" s="901"/>
      <c r="BBF527" s="901"/>
      <c r="BBG527" s="901"/>
      <c r="BBH527" s="901"/>
      <c r="BBI527" s="901"/>
      <c r="BBJ527" s="901"/>
      <c r="BBK527" s="901"/>
      <c r="BBL527" s="901"/>
      <c r="BBM527" s="901"/>
      <c r="BBN527" s="901"/>
      <c r="BBO527" s="901"/>
      <c r="BBP527" s="901"/>
      <c r="BBQ527" s="901"/>
      <c r="BBR527" s="901"/>
      <c r="BBS527" s="901"/>
      <c r="BBT527" s="901"/>
      <c r="BBU527" s="901"/>
      <c r="BBV527" s="901"/>
      <c r="BBW527" s="901"/>
      <c r="BBX527" s="901"/>
      <c r="BBY527" s="901"/>
      <c r="BBZ527" s="901"/>
      <c r="BCA527" s="901"/>
      <c r="BCB527" s="901"/>
      <c r="BCC527" s="901"/>
      <c r="BCD527" s="901"/>
      <c r="BCE527" s="901"/>
      <c r="BCF527" s="901"/>
      <c r="BCG527" s="901"/>
      <c r="BCH527" s="901"/>
      <c r="BCI527" s="901"/>
      <c r="BCJ527" s="901"/>
      <c r="BCK527" s="901"/>
      <c r="BCL527" s="901"/>
      <c r="BCM527" s="901"/>
      <c r="BCN527" s="901"/>
      <c r="BCO527" s="901"/>
      <c r="BCP527" s="901"/>
      <c r="BCQ527" s="901"/>
      <c r="BCR527" s="901"/>
      <c r="BCS527" s="901"/>
      <c r="BCT527" s="901"/>
      <c r="BCU527" s="901"/>
      <c r="BCV527" s="901"/>
      <c r="BCW527" s="901"/>
      <c r="BCX527" s="901"/>
      <c r="BCY527" s="901"/>
      <c r="BCZ527" s="901"/>
      <c r="BDA527" s="901"/>
      <c r="BDB527" s="901"/>
      <c r="BDC527" s="901"/>
      <c r="BDD527" s="901"/>
      <c r="BDE527" s="901"/>
      <c r="BDF527" s="901"/>
      <c r="BDG527" s="901"/>
      <c r="BDH527" s="901"/>
      <c r="BDI527" s="901"/>
      <c r="BDJ527" s="901"/>
      <c r="BDK527" s="901"/>
      <c r="BDL527" s="901"/>
      <c r="BDM527" s="901"/>
      <c r="BDN527" s="901"/>
      <c r="BDO527" s="901"/>
      <c r="BDP527" s="901"/>
      <c r="BDQ527" s="901"/>
      <c r="BDR527" s="901"/>
      <c r="BDS527" s="901"/>
      <c r="BDT527" s="901"/>
      <c r="BDU527" s="901"/>
      <c r="BDV527" s="901"/>
      <c r="BDW527" s="901"/>
      <c r="BDX527" s="901"/>
      <c r="BDY527" s="901"/>
      <c r="BDZ527" s="901"/>
      <c r="BEA527" s="901"/>
      <c r="BEB527" s="901"/>
      <c r="BEC527" s="901"/>
      <c r="BED527" s="901"/>
      <c r="BEE527" s="901"/>
      <c r="BEF527" s="901"/>
      <c r="BEG527" s="901"/>
      <c r="BEH527" s="901"/>
      <c r="BEI527" s="901"/>
      <c r="BEJ527" s="901"/>
      <c r="BEK527" s="901"/>
      <c r="BEL527" s="901"/>
      <c r="BEM527" s="901"/>
      <c r="BEN527" s="901"/>
      <c r="BEO527" s="901"/>
      <c r="BEP527" s="901"/>
      <c r="BEQ527" s="901"/>
      <c r="BER527" s="901"/>
      <c r="BES527" s="901"/>
      <c r="BET527" s="901"/>
      <c r="BEU527" s="901"/>
      <c r="BEV527" s="901"/>
      <c r="BEW527" s="901"/>
      <c r="BEX527" s="901"/>
      <c r="BEY527" s="901"/>
      <c r="BEZ527" s="901"/>
      <c r="BFA527" s="901"/>
      <c r="BFB527" s="901"/>
      <c r="BFC527" s="901"/>
      <c r="BFD527" s="901"/>
      <c r="BFE527" s="901"/>
      <c r="BFF527" s="901"/>
      <c r="BFG527" s="901"/>
      <c r="BFH527" s="901"/>
      <c r="BFI527" s="901"/>
      <c r="BFJ527" s="901"/>
      <c r="BFK527" s="901"/>
      <c r="BFL527" s="901"/>
      <c r="BFM527" s="901"/>
      <c r="BFN527" s="901"/>
      <c r="BFO527" s="901"/>
      <c r="BFP527" s="901"/>
      <c r="BFQ527" s="901"/>
      <c r="BFR527" s="901"/>
      <c r="BFS527" s="901"/>
      <c r="BFT527" s="901"/>
      <c r="BFU527" s="901"/>
      <c r="BFV527" s="901"/>
      <c r="BFW527" s="901"/>
      <c r="BFX527" s="901"/>
      <c r="BFY527" s="901"/>
      <c r="BFZ527" s="901"/>
      <c r="BGA527" s="901"/>
      <c r="BGB527" s="901"/>
      <c r="BGC527" s="901"/>
      <c r="BGD527" s="901"/>
      <c r="BGE527" s="901"/>
      <c r="BGF527" s="901"/>
      <c r="BGG527" s="901"/>
      <c r="BGH527" s="901"/>
      <c r="BGI527" s="901"/>
      <c r="BGJ527" s="901"/>
      <c r="BGK527" s="901"/>
      <c r="BGL527" s="901"/>
      <c r="BGM527" s="901"/>
      <c r="BGN527" s="901"/>
      <c r="BGO527" s="901"/>
      <c r="BGP527" s="901"/>
      <c r="BGQ527" s="901"/>
      <c r="BGR527" s="901"/>
      <c r="BGS527" s="901"/>
      <c r="BGT527" s="901"/>
      <c r="BGU527" s="901"/>
      <c r="BGV527" s="901"/>
      <c r="BGW527" s="901"/>
      <c r="BGX527" s="901"/>
      <c r="BGY527" s="901"/>
      <c r="BGZ527" s="901"/>
      <c r="BHA527" s="901"/>
      <c r="BHB527" s="901"/>
      <c r="BHC527" s="901"/>
      <c r="BHD527" s="901"/>
      <c r="BHE527" s="901"/>
      <c r="BHF527" s="901"/>
      <c r="BHG527" s="901"/>
      <c r="BHH527" s="901"/>
      <c r="BHI527" s="901"/>
      <c r="BHJ527" s="901"/>
      <c r="BHK527" s="901"/>
      <c r="BHL527" s="901"/>
      <c r="BHM527" s="901"/>
      <c r="BHN527" s="901"/>
      <c r="BHO527" s="901"/>
      <c r="BHP527" s="901"/>
      <c r="BHQ527" s="901"/>
      <c r="BHR527" s="901"/>
      <c r="BHS527" s="901"/>
      <c r="BHT527" s="901"/>
      <c r="BHU527" s="901"/>
      <c r="BHV527" s="901"/>
      <c r="BHW527" s="901"/>
      <c r="BHX527" s="901"/>
      <c r="BHY527" s="901"/>
      <c r="BHZ527" s="901"/>
      <c r="BIA527" s="901"/>
      <c r="BIB527" s="901"/>
      <c r="BIC527" s="901"/>
      <c r="BID527" s="901"/>
      <c r="BIE527" s="901"/>
      <c r="BIF527" s="901"/>
      <c r="BIG527" s="901"/>
      <c r="BIH527" s="901"/>
      <c r="BII527" s="901"/>
      <c r="BIJ527" s="901"/>
      <c r="BIK527" s="901"/>
      <c r="BIL527" s="901"/>
      <c r="BIM527" s="901"/>
      <c r="BIN527" s="901"/>
      <c r="BIO527" s="901"/>
      <c r="BIP527" s="901"/>
      <c r="BIQ527" s="901"/>
      <c r="BIR527" s="901"/>
      <c r="BIS527" s="901"/>
      <c r="BIT527" s="901"/>
      <c r="BIU527" s="901"/>
      <c r="BIV527" s="901"/>
      <c r="BIW527" s="901"/>
      <c r="BIX527" s="901"/>
      <c r="BIY527" s="901"/>
      <c r="BIZ527" s="901"/>
      <c r="BJA527" s="901"/>
      <c r="BJB527" s="901"/>
      <c r="BJC527" s="901"/>
      <c r="BJD527" s="901"/>
      <c r="BJE527" s="901"/>
      <c r="BJF527" s="901"/>
      <c r="BJG527" s="901"/>
      <c r="BJH527" s="901"/>
      <c r="BJI527" s="901"/>
      <c r="BJJ527" s="901"/>
      <c r="BJK527" s="901"/>
      <c r="BJL527" s="901"/>
      <c r="BJM527" s="901"/>
      <c r="BJN527" s="901"/>
      <c r="BJO527" s="901"/>
      <c r="BJP527" s="901"/>
      <c r="BJQ527" s="901"/>
      <c r="BJR527" s="901"/>
      <c r="BJS527" s="901"/>
      <c r="BJT527" s="901"/>
      <c r="BJU527" s="901"/>
      <c r="BJV527" s="901"/>
      <c r="BJW527" s="901"/>
      <c r="BJX527" s="901"/>
      <c r="BJY527" s="901"/>
      <c r="BJZ527" s="901"/>
      <c r="BKA527" s="901"/>
      <c r="BKB527" s="901"/>
      <c r="BKC527" s="901"/>
      <c r="BKD527" s="901"/>
      <c r="BKE527" s="901"/>
      <c r="BKF527" s="901"/>
      <c r="BKG527" s="901"/>
      <c r="BKH527" s="901"/>
      <c r="BKI527" s="901"/>
      <c r="BKJ527" s="901"/>
      <c r="BKK527" s="901"/>
      <c r="BKL527" s="901"/>
      <c r="BKM527" s="901"/>
      <c r="BKN527" s="901"/>
      <c r="BKO527" s="901"/>
      <c r="BKP527" s="901"/>
      <c r="BKQ527" s="901"/>
      <c r="BKR527" s="901"/>
      <c r="BKS527" s="901"/>
      <c r="BKT527" s="901"/>
      <c r="BKU527" s="901"/>
      <c r="BKV527" s="901"/>
      <c r="BKW527" s="901"/>
      <c r="BKX527" s="901"/>
      <c r="BKY527" s="901"/>
      <c r="BKZ527" s="901"/>
      <c r="BLA527" s="901"/>
      <c r="BLB527" s="901"/>
      <c r="BLC527" s="901"/>
      <c r="BLD527" s="901"/>
      <c r="BLE527" s="901"/>
      <c r="BLF527" s="901"/>
      <c r="BLG527" s="901"/>
      <c r="BLH527" s="901"/>
      <c r="BLI527" s="901"/>
      <c r="BLJ527" s="901"/>
      <c r="BLK527" s="901"/>
      <c r="BLL527" s="901"/>
      <c r="BLM527" s="901"/>
      <c r="BLN527" s="901"/>
      <c r="BLO527" s="901"/>
      <c r="BLP527" s="901"/>
      <c r="BLQ527" s="901"/>
      <c r="BLR527" s="901"/>
      <c r="BLS527" s="901"/>
      <c r="BLT527" s="901"/>
      <c r="BLU527" s="901"/>
      <c r="BLV527" s="901"/>
      <c r="BLW527" s="901"/>
      <c r="BLX527" s="901"/>
      <c r="BLY527" s="901"/>
      <c r="BLZ527" s="901"/>
      <c r="BMA527" s="901"/>
      <c r="BMB527" s="901"/>
      <c r="BMC527" s="901"/>
      <c r="BMD527" s="901"/>
      <c r="BME527" s="901"/>
      <c r="BMF527" s="901"/>
      <c r="BMG527" s="901"/>
      <c r="BMH527" s="901"/>
      <c r="BMI527" s="901"/>
      <c r="BMJ527" s="901"/>
      <c r="BMK527" s="901"/>
      <c r="BML527" s="901"/>
      <c r="BMM527" s="901"/>
      <c r="BMN527" s="901"/>
      <c r="BMO527" s="901"/>
      <c r="BMP527" s="901"/>
      <c r="BMQ527" s="901"/>
      <c r="BMR527" s="901"/>
      <c r="BMS527" s="901"/>
      <c r="BMT527" s="901"/>
      <c r="BMU527" s="901"/>
      <c r="BMV527" s="901"/>
      <c r="BMW527" s="901"/>
      <c r="BMX527" s="901"/>
      <c r="BMY527" s="901"/>
      <c r="BMZ527" s="901"/>
      <c r="BNA527" s="901"/>
      <c r="BNB527" s="901"/>
      <c r="BNC527" s="901"/>
      <c r="BND527" s="901"/>
      <c r="BNE527" s="901"/>
      <c r="BNF527" s="901"/>
      <c r="BNG527" s="901"/>
      <c r="BNH527" s="901"/>
      <c r="BNI527" s="901"/>
      <c r="BNJ527" s="901"/>
      <c r="BNK527" s="901"/>
      <c r="BNL527" s="901"/>
      <c r="BNM527" s="901"/>
      <c r="BNN527" s="901"/>
      <c r="BNO527" s="901"/>
      <c r="BNP527" s="901"/>
      <c r="BNQ527" s="901"/>
      <c r="BNR527" s="901"/>
      <c r="BNS527" s="901"/>
      <c r="BNT527" s="901"/>
      <c r="BNU527" s="901"/>
      <c r="BNV527" s="901"/>
      <c r="BNW527" s="901"/>
      <c r="BNX527" s="901"/>
      <c r="BNY527" s="901"/>
      <c r="BNZ527" s="901"/>
      <c r="BOA527" s="901"/>
      <c r="BOB527" s="901"/>
      <c r="BOC527" s="901"/>
      <c r="BOD527" s="901"/>
      <c r="BOE527" s="901"/>
      <c r="BOF527" s="901"/>
      <c r="BOG527" s="901"/>
      <c r="BOH527" s="901"/>
      <c r="BOI527" s="901"/>
      <c r="BOJ527" s="901"/>
      <c r="BOK527" s="901"/>
      <c r="BOL527" s="901"/>
      <c r="BOM527" s="901"/>
      <c r="BON527" s="901"/>
      <c r="BOO527" s="901"/>
      <c r="BOP527" s="901"/>
      <c r="BOQ527" s="901"/>
      <c r="BOR527" s="901"/>
      <c r="BOS527" s="901"/>
      <c r="BOT527" s="901"/>
      <c r="BOU527" s="901"/>
      <c r="BOV527" s="901"/>
      <c r="BOW527" s="901"/>
      <c r="BOX527" s="901"/>
      <c r="BOY527" s="901"/>
      <c r="BOZ527" s="901"/>
      <c r="BPA527" s="901"/>
      <c r="BPB527" s="901"/>
      <c r="BPC527" s="901"/>
      <c r="BPD527" s="901"/>
      <c r="BPE527" s="901"/>
      <c r="BPF527" s="901"/>
      <c r="BPG527" s="901"/>
      <c r="BPH527" s="901"/>
      <c r="BPI527" s="901"/>
      <c r="BPJ527" s="901"/>
      <c r="BPK527" s="901"/>
      <c r="BPL527" s="901"/>
      <c r="BPM527" s="901"/>
      <c r="BPN527" s="901"/>
      <c r="BPO527" s="901"/>
      <c r="BPP527" s="901"/>
      <c r="BPQ527" s="901"/>
      <c r="BPR527" s="901"/>
      <c r="BPS527" s="901"/>
      <c r="BPT527" s="901"/>
      <c r="BPU527" s="901"/>
      <c r="BPV527" s="901"/>
      <c r="BPW527" s="901"/>
      <c r="BPX527" s="901"/>
      <c r="BPY527" s="901"/>
      <c r="BPZ527" s="901"/>
      <c r="BQA527" s="901"/>
      <c r="BQB527" s="901"/>
      <c r="BQC527" s="901"/>
      <c r="BQD527" s="901"/>
      <c r="BQE527" s="901"/>
      <c r="BQF527" s="901"/>
      <c r="BQG527" s="901"/>
      <c r="BQH527" s="901"/>
      <c r="BQI527" s="901"/>
      <c r="BQJ527" s="901"/>
      <c r="BQK527" s="901"/>
      <c r="BQL527" s="901"/>
      <c r="BQM527" s="901"/>
      <c r="BQN527" s="901"/>
      <c r="BQO527" s="901"/>
      <c r="BQP527" s="901"/>
      <c r="BQQ527" s="901"/>
      <c r="BQR527" s="901"/>
      <c r="BQS527" s="901"/>
      <c r="BQT527" s="901"/>
      <c r="BQU527" s="901"/>
      <c r="BQV527" s="901"/>
      <c r="BQW527" s="901"/>
      <c r="BQX527" s="901"/>
      <c r="BQY527" s="901"/>
      <c r="BQZ527" s="901"/>
      <c r="BRA527" s="901"/>
      <c r="BRB527" s="901"/>
      <c r="BRC527" s="901"/>
      <c r="BRD527" s="901"/>
      <c r="BRE527" s="901"/>
      <c r="BRF527" s="901"/>
      <c r="BRG527" s="901"/>
      <c r="BRH527" s="901"/>
      <c r="BRI527" s="901"/>
      <c r="BRJ527" s="901"/>
      <c r="BRK527" s="901"/>
      <c r="BRL527" s="901"/>
      <c r="BRM527" s="901"/>
      <c r="BRN527" s="901"/>
      <c r="BRO527" s="901"/>
      <c r="BRP527" s="901"/>
      <c r="BRQ527" s="901"/>
      <c r="BRR527" s="901"/>
      <c r="BRS527" s="901"/>
      <c r="BRT527" s="901"/>
      <c r="BRU527" s="901"/>
      <c r="BRV527" s="901"/>
      <c r="BRW527" s="901"/>
      <c r="BRX527" s="901"/>
      <c r="BRY527" s="901"/>
      <c r="BRZ527" s="901"/>
      <c r="BSA527" s="901"/>
      <c r="BSB527" s="901"/>
      <c r="BSC527" s="901"/>
      <c r="BSD527" s="901"/>
      <c r="BSE527" s="901"/>
      <c r="BSF527" s="901"/>
      <c r="BSG527" s="901"/>
      <c r="BSH527" s="901"/>
      <c r="BSI527" s="901"/>
      <c r="BSJ527" s="901"/>
      <c r="BSK527" s="901"/>
      <c r="BSL527" s="901"/>
      <c r="BSM527" s="901"/>
      <c r="BSN527" s="901"/>
      <c r="BSO527" s="901"/>
      <c r="BSP527" s="901"/>
      <c r="BSQ527" s="901"/>
      <c r="BSR527" s="901"/>
      <c r="BSS527" s="901"/>
      <c r="BST527" s="901"/>
      <c r="BSU527" s="901"/>
      <c r="BSV527" s="901"/>
      <c r="BSW527" s="901"/>
      <c r="BSX527" s="901"/>
      <c r="BSY527" s="901"/>
      <c r="BSZ527" s="901"/>
      <c r="BTA527" s="901"/>
      <c r="BTB527" s="901"/>
      <c r="BTC527" s="901"/>
      <c r="BTD527" s="901"/>
      <c r="BTE527" s="901"/>
      <c r="BTF527" s="901"/>
      <c r="BTG527" s="901"/>
      <c r="BTH527" s="901"/>
      <c r="BTI527" s="901"/>
      <c r="BTJ527" s="901"/>
      <c r="BTK527" s="901"/>
      <c r="BTL527" s="901"/>
      <c r="BTM527" s="901"/>
      <c r="BTN527" s="901"/>
      <c r="BTO527" s="901"/>
      <c r="BTP527" s="901"/>
      <c r="BTQ527" s="901"/>
      <c r="BTR527" s="901"/>
      <c r="BTS527" s="901"/>
      <c r="BTT527" s="901"/>
      <c r="BTU527" s="901"/>
      <c r="BTV527" s="901"/>
      <c r="BTW527" s="901"/>
      <c r="BTX527" s="901"/>
      <c r="BTY527" s="901"/>
      <c r="BTZ527" s="901"/>
      <c r="BUA527" s="901"/>
      <c r="BUB527" s="901"/>
      <c r="BUC527" s="901"/>
      <c r="BUD527" s="901"/>
      <c r="BUE527" s="901"/>
      <c r="BUF527" s="901"/>
      <c r="BUG527" s="901"/>
      <c r="BUH527" s="901"/>
      <c r="BUI527" s="901"/>
      <c r="BUJ527" s="901"/>
      <c r="BUK527" s="901"/>
      <c r="BUL527" s="901"/>
      <c r="BUM527" s="901"/>
      <c r="BUN527" s="901"/>
      <c r="BUO527" s="901"/>
      <c r="BUP527" s="901"/>
      <c r="BUQ527" s="901"/>
      <c r="BUR527" s="901"/>
      <c r="BUS527" s="901"/>
      <c r="BUT527" s="901"/>
      <c r="BUU527" s="901"/>
      <c r="BUV527" s="901"/>
      <c r="BUW527" s="901"/>
      <c r="BUX527" s="901"/>
      <c r="BUY527" s="901"/>
      <c r="BUZ527" s="901"/>
      <c r="BVA527" s="901"/>
      <c r="BVB527" s="901"/>
      <c r="BVC527" s="901"/>
      <c r="BVD527" s="901"/>
      <c r="BVE527" s="901"/>
      <c r="BVF527" s="901"/>
      <c r="BVG527" s="901"/>
      <c r="BVH527" s="901"/>
      <c r="BVI527" s="901"/>
      <c r="BVJ527" s="901"/>
      <c r="BVK527" s="901"/>
      <c r="BVL527" s="901"/>
      <c r="BVM527" s="901"/>
      <c r="BVN527" s="901"/>
      <c r="BVO527" s="901"/>
      <c r="BVP527" s="901"/>
      <c r="BVQ527" s="901"/>
      <c r="BVR527" s="901"/>
      <c r="BVS527" s="901"/>
      <c r="BVT527" s="901"/>
      <c r="BVU527" s="901"/>
      <c r="BVV527" s="901"/>
      <c r="BVW527" s="901"/>
      <c r="BVX527" s="901"/>
      <c r="BVY527" s="901"/>
      <c r="BVZ527" s="901"/>
      <c r="BWA527" s="901"/>
      <c r="BWB527" s="901"/>
      <c r="BWC527" s="901"/>
      <c r="BWD527" s="901"/>
      <c r="BWE527" s="901"/>
      <c r="BWF527" s="901"/>
      <c r="BWG527" s="901"/>
      <c r="BWH527" s="901"/>
      <c r="BWI527" s="901"/>
      <c r="BWJ527" s="901"/>
      <c r="BWK527" s="901"/>
      <c r="BWL527" s="901"/>
      <c r="BWM527" s="901"/>
      <c r="BWN527" s="901"/>
      <c r="BWO527" s="901"/>
      <c r="BWP527" s="901"/>
      <c r="BWQ527" s="901"/>
      <c r="BWR527" s="901"/>
      <c r="BWS527" s="901"/>
      <c r="BWT527" s="901"/>
      <c r="BWU527" s="901"/>
      <c r="BWV527" s="901"/>
      <c r="BWW527" s="901"/>
      <c r="BWX527" s="901"/>
      <c r="BWY527" s="901"/>
      <c r="BWZ527" s="901"/>
      <c r="BXA527" s="901"/>
      <c r="BXB527" s="901"/>
      <c r="BXC527" s="901"/>
      <c r="BXD527" s="901"/>
      <c r="BXE527" s="901"/>
      <c r="BXF527" s="901"/>
      <c r="BXG527" s="901"/>
      <c r="BXH527" s="901"/>
      <c r="BXI527" s="901"/>
      <c r="BXJ527" s="901"/>
      <c r="BXK527" s="901"/>
      <c r="BXL527" s="901"/>
      <c r="BXM527" s="901"/>
      <c r="BXN527" s="901"/>
      <c r="BXO527" s="901"/>
      <c r="BXP527" s="901"/>
      <c r="BXQ527" s="901"/>
      <c r="BXR527" s="901"/>
      <c r="BXS527" s="901"/>
      <c r="BXT527" s="901"/>
      <c r="BXU527" s="901"/>
      <c r="BXV527" s="901"/>
      <c r="BXW527" s="901"/>
      <c r="BXX527" s="901"/>
      <c r="BXY527" s="901"/>
      <c r="BXZ527" s="901"/>
      <c r="BYA527" s="901"/>
      <c r="BYB527" s="901"/>
      <c r="BYC527" s="901"/>
      <c r="BYD527" s="901"/>
      <c r="BYE527" s="901"/>
      <c r="BYF527" s="901"/>
      <c r="BYG527" s="901"/>
      <c r="BYH527" s="901"/>
      <c r="BYI527" s="901"/>
      <c r="BYJ527" s="901"/>
      <c r="BYK527" s="901"/>
      <c r="BYL527" s="901"/>
      <c r="BYM527" s="901"/>
      <c r="BYN527" s="901"/>
      <c r="BYO527" s="901"/>
      <c r="BYP527" s="901"/>
      <c r="BYQ527" s="901"/>
      <c r="BYR527" s="901"/>
      <c r="BYS527" s="901"/>
      <c r="BYT527" s="901"/>
      <c r="BYU527" s="901"/>
      <c r="BYV527" s="901"/>
      <c r="BYW527" s="901"/>
      <c r="BYX527" s="901"/>
      <c r="BYY527" s="901"/>
      <c r="BYZ527" s="901"/>
      <c r="BZA527" s="901"/>
      <c r="BZB527" s="901"/>
      <c r="BZC527" s="901"/>
      <c r="BZD527" s="901"/>
      <c r="BZE527" s="901"/>
      <c r="BZF527" s="901"/>
      <c r="BZG527" s="901"/>
      <c r="BZH527" s="901"/>
      <c r="BZI527" s="901"/>
      <c r="BZJ527" s="901"/>
      <c r="BZK527" s="901"/>
      <c r="BZL527" s="901"/>
      <c r="BZM527" s="901"/>
      <c r="BZN527" s="901"/>
      <c r="BZO527" s="901"/>
      <c r="BZP527" s="901"/>
      <c r="BZQ527" s="901"/>
      <c r="BZR527" s="901"/>
      <c r="BZS527" s="901"/>
      <c r="BZT527" s="901"/>
      <c r="BZU527" s="901"/>
      <c r="BZV527" s="901"/>
      <c r="BZW527" s="901"/>
      <c r="BZX527" s="901"/>
      <c r="BZY527" s="901"/>
      <c r="BZZ527" s="901"/>
      <c r="CAA527" s="901"/>
      <c r="CAB527" s="901"/>
      <c r="CAC527" s="901"/>
      <c r="CAD527" s="901"/>
      <c r="CAE527" s="901"/>
      <c r="CAF527" s="901"/>
      <c r="CAG527" s="901"/>
      <c r="CAH527" s="901"/>
      <c r="CAI527" s="901"/>
      <c r="CAJ527" s="901"/>
      <c r="CAK527" s="901"/>
      <c r="CAL527" s="901"/>
      <c r="CAM527" s="901"/>
      <c r="CAN527" s="901"/>
      <c r="CAO527" s="901"/>
      <c r="CAP527" s="901"/>
      <c r="CAQ527" s="901"/>
      <c r="CAR527" s="901"/>
      <c r="CAS527" s="901"/>
      <c r="CAT527" s="901"/>
      <c r="CAU527" s="901"/>
      <c r="CAV527" s="901"/>
      <c r="CAW527" s="901"/>
      <c r="CAX527" s="901"/>
      <c r="CAY527" s="901"/>
      <c r="CAZ527" s="901"/>
      <c r="CBA527" s="901"/>
      <c r="CBB527" s="901"/>
      <c r="CBC527" s="901"/>
      <c r="CBD527" s="901"/>
      <c r="CBE527" s="901"/>
      <c r="CBF527" s="901"/>
      <c r="CBG527" s="901"/>
      <c r="CBH527" s="901"/>
      <c r="CBI527" s="901"/>
      <c r="CBJ527" s="901"/>
      <c r="CBK527" s="901"/>
      <c r="CBL527" s="901"/>
      <c r="CBM527" s="901"/>
      <c r="CBN527" s="901"/>
      <c r="CBO527" s="901"/>
      <c r="CBP527" s="901"/>
      <c r="CBQ527" s="901"/>
      <c r="CBR527" s="901"/>
      <c r="CBS527" s="901"/>
      <c r="CBT527" s="901"/>
      <c r="CBU527" s="901"/>
      <c r="CBV527" s="901"/>
      <c r="CBW527" s="901"/>
      <c r="CBX527" s="901"/>
      <c r="CBY527" s="901"/>
      <c r="CBZ527" s="901"/>
      <c r="CCA527" s="901"/>
      <c r="CCB527" s="901"/>
      <c r="CCC527" s="901"/>
      <c r="CCD527" s="901"/>
      <c r="CCE527" s="901"/>
      <c r="CCF527" s="901"/>
      <c r="CCG527" s="901"/>
      <c r="CCH527" s="901"/>
      <c r="CCI527" s="901"/>
      <c r="CCJ527" s="901"/>
      <c r="CCK527" s="901"/>
      <c r="CCL527" s="901"/>
      <c r="CCM527" s="901"/>
      <c r="CCN527" s="901"/>
      <c r="CCO527" s="901"/>
      <c r="CCP527" s="901"/>
      <c r="CCQ527" s="901"/>
      <c r="CCR527" s="901"/>
      <c r="CCS527" s="901"/>
      <c r="CCT527" s="901"/>
      <c r="CCU527" s="901"/>
      <c r="CCV527" s="901"/>
      <c r="CCW527" s="901"/>
      <c r="CCX527" s="901"/>
      <c r="CCY527" s="901"/>
      <c r="CCZ527" s="901"/>
      <c r="CDA527" s="901"/>
      <c r="CDB527" s="901"/>
      <c r="CDC527" s="901"/>
      <c r="CDD527" s="901"/>
      <c r="CDE527" s="901"/>
      <c r="CDF527" s="901"/>
      <c r="CDG527" s="901"/>
      <c r="CDH527" s="901"/>
      <c r="CDI527" s="901"/>
      <c r="CDJ527" s="901"/>
      <c r="CDK527" s="901"/>
      <c r="CDL527" s="901"/>
      <c r="CDM527" s="901"/>
      <c r="CDN527" s="901"/>
      <c r="CDO527" s="901"/>
      <c r="CDP527" s="901"/>
      <c r="CDQ527" s="901"/>
      <c r="CDR527" s="901"/>
      <c r="CDS527" s="901"/>
      <c r="CDT527" s="901"/>
      <c r="CDU527" s="901"/>
      <c r="CDV527" s="901"/>
      <c r="CDW527" s="901"/>
      <c r="CDX527" s="901"/>
      <c r="CDY527" s="901"/>
      <c r="CDZ527" s="901"/>
      <c r="CEA527" s="901"/>
      <c r="CEB527" s="901"/>
      <c r="CEC527" s="901"/>
      <c r="CED527" s="901"/>
      <c r="CEE527" s="901"/>
      <c r="CEF527" s="901"/>
      <c r="CEG527" s="901"/>
      <c r="CEH527" s="901"/>
      <c r="CEI527" s="901"/>
      <c r="CEJ527" s="901"/>
      <c r="CEK527" s="901"/>
      <c r="CEL527" s="901"/>
      <c r="CEM527" s="901"/>
      <c r="CEN527" s="901"/>
      <c r="CEO527" s="901"/>
      <c r="CEP527" s="901"/>
      <c r="CEQ527" s="901"/>
      <c r="CER527" s="901"/>
      <c r="CES527" s="901"/>
      <c r="CET527" s="901"/>
      <c r="CEU527" s="901"/>
      <c r="CEV527" s="901"/>
      <c r="CEW527" s="901"/>
      <c r="CEX527" s="901"/>
      <c r="CEY527" s="901"/>
      <c r="CEZ527" s="901"/>
      <c r="CFA527" s="901"/>
      <c r="CFB527" s="901"/>
      <c r="CFC527" s="901"/>
      <c r="CFD527" s="901"/>
      <c r="CFE527" s="901"/>
      <c r="CFF527" s="901"/>
      <c r="CFG527" s="901"/>
      <c r="CFH527" s="901"/>
      <c r="CFI527" s="901"/>
      <c r="CFJ527" s="901"/>
      <c r="CFK527" s="901"/>
      <c r="CFL527" s="901"/>
      <c r="CFM527" s="901"/>
      <c r="CFN527" s="901"/>
      <c r="CFO527" s="901"/>
      <c r="CFP527" s="901"/>
      <c r="CFQ527" s="901"/>
      <c r="CFR527" s="901"/>
      <c r="CFS527" s="901"/>
      <c r="CFT527" s="901"/>
      <c r="CFU527" s="901"/>
      <c r="CFV527" s="901"/>
      <c r="CFW527" s="901"/>
      <c r="CFX527" s="901"/>
      <c r="CFY527" s="901"/>
      <c r="CFZ527" s="901"/>
      <c r="CGA527" s="901"/>
      <c r="CGB527" s="901"/>
      <c r="CGC527" s="901"/>
      <c r="CGD527" s="901"/>
      <c r="CGE527" s="901"/>
      <c r="CGF527" s="901"/>
      <c r="CGG527" s="901"/>
      <c r="CGH527" s="901"/>
      <c r="CGI527" s="901"/>
      <c r="CGJ527" s="901"/>
      <c r="CGK527" s="901"/>
      <c r="CGL527" s="901"/>
      <c r="CGM527" s="901"/>
      <c r="CGN527" s="901"/>
      <c r="CGO527" s="901"/>
      <c r="CGP527" s="901"/>
      <c r="CGQ527" s="901"/>
      <c r="CGR527" s="901"/>
      <c r="CGS527" s="901"/>
      <c r="CGT527" s="901"/>
      <c r="CGU527" s="901"/>
      <c r="CGV527" s="901"/>
      <c r="CGW527" s="901"/>
      <c r="CGX527" s="901"/>
      <c r="CGY527" s="901"/>
      <c r="CGZ527" s="901"/>
      <c r="CHA527" s="901"/>
      <c r="CHB527" s="901"/>
      <c r="CHC527" s="901"/>
      <c r="CHD527" s="901"/>
      <c r="CHE527" s="901"/>
      <c r="CHF527" s="901"/>
      <c r="CHG527" s="901"/>
      <c r="CHH527" s="901"/>
      <c r="CHI527" s="901"/>
      <c r="CHJ527" s="901"/>
      <c r="CHK527" s="901"/>
      <c r="CHL527" s="901"/>
      <c r="CHM527" s="901"/>
      <c r="CHN527" s="901"/>
      <c r="CHO527" s="901"/>
      <c r="CHP527" s="901"/>
      <c r="CHQ527" s="901"/>
      <c r="CHR527" s="901"/>
      <c r="CHS527" s="901"/>
      <c r="CHT527" s="901"/>
      <c r="CHU527" s="901"/>
      <c r="CHV527" s="901"/>
      <c r="CHW527" s="901"/>
      <c r="CHX527" s="901"/>
      <c r="CHY527" s="901"/>
      <c r="CHZ527" s="901"/>
      <c r="CIA527" s="901"/>
      <c r="CIB527" s="901"/>
      <c r="CIC527" s="901"/>
      <c r="CID527" s="901"/>
      <c r="CIE527" s="901"/>
      <c r="CIF527" s="901"/>
      <c r="CIG527" s="901"/>
      <c r="CIH527" s="901"/>
      <c r="CII527" s="901"/>
      <c r="CIJ527" s="901"/>
      <c r="CIK527" s="901"/>
      <c r="CIL527" s="901"/>
      <c r="CIM527" s="901"/>
      <c r="CIN527" s="901"/>
      <c r="CIO527" s="901"/>
      <c r="CIP527" s="901"/>
      <c r="CIQ527" s="901"/>
      <c r="CIR527" s="901"/>
      <c r="CIS527" s="901"/>
      <c r="CIT527" s="901"/>
      <c r="CIU527" s="901"/>
      <c r="CIV527" s="901"/>
      <c r="CIW527" s="901"/>
      <c r="CIX527" s="901"/>
      <c r="CIY527" s="901"/>
      <c r="CIZ527" s="901"/>
      <c r="CJA527" s="901"/>
      <c r="CJB527" s="901"/>
      <c r="CJC527" s="901"/>
      <c r="CJD527" s="901"/>
      <c r="CJE527" s="901"/>
      <c r="CJF527" s="901"/>
      <c r="CJG527" s="901"/>
      <c r="CJH527" s="901"/>
      <c r="CJI527" s="901"/>
      <c r="CJJ527" s="901"/>
      <c r="CJK527" s="901"/>
      <c r="CJL527" s="901"/>
      <c r="CJM527" s="901"/>
      <c r="CJN527" s="901"/>
      <c r="CJO527" s="901"/>
      <c r="CJP527" s="901"/>
      <c r="CJQ527" s="901"/>
      <c r="CJR527" s="901"/>
      <c r="CJS527" s="901"/>
      <c r="CJT527" s="901"/>
      <c r="CJU527" s="901"/>
      <c r="CJV527" s="901"/>
      <c r="CJW527" s="901"/>
      <c r="CJX527" s="901"/>
      <c r="CJY527" s="901"/>
      <c r="CJZ527" s="901"/>
      <c r="CKA527" s="901"/>
      <c r="CKB527" s="901"/>
      <c r="CKC527" s="901"/>
      <c r="CKD527" s="901"/>
      <c r="CKE527" s="901"/>
      <c r="CKF527" s="901"/>
      <c r="CKG527" s="901"/>
      <c r="CKH527" s="901"/>
      <c r="CKI527" s="901"/>
      <c r="CKJ527" s="901"/>
      <c r="CKK527" s="901"/>
      <c r="CKL527" s="901"/>
      <c r="CKM527" s="901"/>
      <c r="CKN527" s="901"/>
      <c r="CKO527" s="901"/>
      <c r="CKP527" s="901"/>
      <c r="CKQ527" s="901"/>
      <c r="CKR527" s="901"/>
      <c r="CKS527" s="901"/>
      <c r="CKT527" s="901"/>
      <c r="CKU527" s="901"/>
      <c r="CKV527" s="901"/>
      <c r="CKW527" s="901"/>
      <c r="CKX527" s="901"/>
      <c r="CKY527" s="901"/>
      <c r="CKZ527" s="901"/>
      <c r="CLA527" s="901"/>
      <c r="CLB527" s="901"/>
      <c r="CLC527" s="901"/>
      <c r="CLD527" s="901"/>
      <c r="CLE527" s="901"/>
      <c r="CLF527" s="901"/>
      <c r="CLG527" s="901"/>
      <c r="CLH527" s="901"/>
      <c r="CLI527" s="901"/>
      <c r="CLJ527" s="901"/>
      <c r="CLK527" s="901"/>
      <c r="CLL527" s="901"/>
      <c r="CLM527" s="901"/>
      <c r="CLN527" s="901"/>
      <c r="CLO527" s="901"/>
      <c r="CLP527" s="901"/>
      <c r="CLQ527" s="901"/>
      <c r="CLR527" s="901"/>
      <c r="CLS527" s="901"/>
      <c r="CLT527" s="901"/>
      <c r="CLU527" s="901"/>
      <c r="CLV527" s="901"/>
      <c r="CLW527" s="901"/>
      <c r="CLX527" s="901"/>
      <c r="CLY527" s="901"/>
      <c r="CLZ527" s="901"/>
      <c r="CMA527" s="901"/>
      <c r="CMB527" s="901"/>
      <c r="CMC527" s="901"/>
      <c r="CMD527" s="901"/>
      <c r="CME527" s="901"/>
      <c r="CMF527" s="901"/>
      <c r="CMG527" s="901"/>
      <c r="CMH527" s="901"/>
      <c r="CMI527" s="901"/>
      <c r="CMJ527" s="901"/>
      <c r="CMK527" s="901"/>
      <c r="CML527" s="901"/>
      <c r="CMM527" s="901"/>
      <c r="CMN527" s="901"/>
      <c r="CMO527" s="901"/>
      <c r="CMP527" s="901"/>
      <c r="CMQ527" s="901"/>
      <c r="CMR527" s="901"/>
      <c r="CMS527" s="901"/>
      <c r="CMT527" s="901"/>
      <c r="CMU527" s="901"/>
      <c r="CMV527" s="901"/>
      <c r="CMW527" s="901"/>
      <c r="CMX527" s="901"/>
      <c r="CMY527" s="901"/>
      <c r="CMZ527" s="901"/>
      <c r="CNA527" s="901"/>
      <c r="CNB527" s="901"/>
      <c r="CNC527" s="901"/>
      <c r="CND527" s="901"/>
      <c r="CNE527" s="901"/>
      <c r="CNF527" s="901"/>
      <c r="CNG527" s="901"/>
      <c r="CNH527" s="901"/>
      <c r="CNI527" s="901"/>
      <c r="CNJ527" s="901"/>
      <c r="CNK527" s="901"/>
      <c r="CNL527" s="901"/>
      <c r="CNM527" s="901"/>
      <c r="CNN527" s="901"/>
      <c r="CNO527" s="901"/>
      <c r="CNP527" s="901"/>
      <c r="CNQ527" s="901"/>
      <c r="CNR527" s="901"/>
      <c r="CNS527" s="901"/>
      <c r="CNT527" s="901"/>
      <c r="CNU527" s="901"/>
      <c r="CNV527" s="901"/>
      <c r="CNW527" s="901"/>
      <c r="CNX527" s="901"/>
      <c r="CNY527" s="901"/>
      <c r="CNZ527" s="901"/>
      <c r="COA527" s="901"/>
      <c r="COB527" s="901"/>
      <c r="COC527" s="901"/>
      <c r="COD527" s="901"/>
      <c r="COE527" s="901"/>
      <c r="COF527" s="901"/>
      <c r="COG527" s="901"/>
      <c r="COH527" s="901"/>
      <c r="COI527" s="901"/>
      <c r="COJ527" s="901"/>
      <c r="COK527" s="901"/>
      <c r="COL527" s="901"/>
      <c r="COM527" s="901"/>
      <c r="CON527" s="901"/>
      <c r="COO527" s="901"/>
      <c r="COP527" s="901"/>
      <c r="COQ527" s="901"/>
      <c r="COR527" s="901"/>
      <c r="COS527" s="901"/>
      <c r="COT527" s="901"/>
      <c r="COU527" s="901"/>
      <c r="COV527" s="901"/>
      <c r="COW527" s="901"/>
      <c r="COX527" s="901"/>
      <c r="COY527" s="901"/>
      <c r="COZ527" s="901"/>
      <c r="CPA527" s="901"/>
      <c r="CPB527" s="901"/>
      <c r="CPC527" s="901"/>
      <c r="CPD527" s="901"/>
      <c r="CPE527" s="901"/>
      <c r="CPF527" s="901"/>
      <c r="CPG527" s="901"/>
      <c r="CPH527" s="901"/>
      <c r="CPI527" s="901"/>
      <c r="CPJ527" s="901"/>
      <c r="CPK527" s="901"/>
      <c r="CPL527" s="901"/>
      <c r="CPM527" s="901"/>
      <c r="CPN527" s="901"/>
      <c r="CPO527" s="901"/>
      <c r="CPP527" s="901"/>
      <c r="CPQ527" s="901"/>
      <c r="CPR527" s="901"/>
      <c r="CPS527" s="901"/>
      <c r="CPT527" s="901"/>
      <c r="CPU527" s="901"/>
      <c r="CPV527" s="901"/>
      <c r="CPW527" s="901"/>
      <c r="CPX527" s="901"/>
      <c r="CPY527" s="901"/>
      <c r="CPZ527" s="901"/>
      <c r="CQA527" s="901"/>
      <c r="CQB527" s="901"/>
      <c r="CQC527" s="901"/>
      <c r="CQD527" s="901"/>
      <c r="CQE527" s="901"/>
      <c r="CQF527" s="901"/>
      <c r="CQG527" s="901"/>
      <c r="CQH527" s="901"/>
      <c r="CQI527" s="901"/>
      <c r="CQJ527" s="901"/>
      <c r="CQK527" s="901"/>
      <c r="CQL527" s="901"/>
      <c r="CQM527" s="901"/>
      <c r="CQN527" s="901"/>
      <c r="CQO527" s="901"/>
      <c r="CQP527" s="901"/>
      <c r="CQQ527" s="901"/>
      <c r="CQR527" s="901"/>
      <c r="CQS527" s="901"/>
      <c r="CQT527" s="901"/>
      <c r="CQU527" s="901"/>
      <c r="CQV527" s="901"/>
      <c r="CQW527" s="901"/>
      <c r="CQX527" s="901"/>
      <c r="CQY527" s="901"/>
      <c r="CQZ527" s="901"/>
      <c r="CRA527" s="901"/>
      <c r="CRB527" s="901"/>
      <c r="CRC527" s="901"/>
      <c r="CRD527" s="901"/>
      <c r="CRE527" s="901"/>
      <c r="CRF527" s="901"/>
      <c r="CRG527" s="901"/>
      <c r="CRH527" s="901"/>
      <c r="CRI527" s="901"/>
      <c r="CRJ527" s="901"/>
      <c r="CRK527" s="901"/>
      <c r="CRL527" s="901"/>
      <c r="CRM527" s="901"/>
      <c r="CRN527" s="901"/>
      <c r="CRO527" s="901"/>
      <c r="CRP527" s="901"/>
      <c r="CRQ527" s="901"/>
      <c r="CRR527" s="901"/>
      <c r="CRS527" s="901"/>
      <c r="CRT527" s="901"/>
      <c r="CRU527" s="901"/>
      <c r="CRV527" s="901"/>
      <c r="CRW527" s="901"/>
      <c r="CRX527" s="901"/>
      <c r="CRY527" s="901"/>
      <c r="CRZ527" s="901"/>
      <c r="CSA527" s="901"/>
      <c r="CSB527" s="901"/>
      <c r="CSC527" s="901"/>
      <c r="CSD527" s="901"/>
      <c r="CSE527" s="901"/>
      <c r="CSF527" s="901"/>
      <c r="CSG527" s="901"/>
      <c r="CSH527" s="901"/>
      <c r="CSI527" s="901"/>
      <c r="CSJ527" s="901"/>
      <c r="CSK527" s="901"/>
      <c r="CSL527" s="901"/>
      <c r="CSM527" s="901"/>
      <c r="CSN527" s="901"/>
      <c r="CSO527" s="901"/>
      <c r="CSP527" s="901"/>
      <c r="CSQ527" s="901"/>
      <c r="CSR527" s="901"/>
      <c r="CSS527" s="901"/>
      <c r="CST527" s="901"/>
      <c r="CSU527" s="901"/>
      <c r="CSV527" s="901"/>
      <c r="CSW527" s="901"/>
      <c r="CSX527" s="901"/>
      <c r="CSY527" s="901"/>
      <c r="CSZ527" s="901"/>
      <c r="CTA527" s="901"/>
      <c r="CTB527" s="901"/>
      <c r="CTC527" s="901"/>
      <c r="CTD527" s="901"/>
      <c r="CTE527" s="901"/>
      <c r="CTF527" s="901"/>
      <c r="CTG527" s="901"/>
      <c r="CTH527" s="901"/>
      <c r="CTI527" s="901"/>
      <c r="CTJ527" s="901"/>
      <c r="CTK527" s="901"/>
      <c r="CTL527" s="901"/>
      <c r="CTM527" s="901"/>
      <c r="CTN527" s="901"/>
      <c r="CTO527" s="901"/>
      <c r="CTP527" s="901"/>
      <c r="CTQ527" s="901"/>
      <c r="CTR527" s="901"/>
      <c r="CTS527" s="901"/>
      <c r="CTT527" s="901"/>
      <c r="CTU527" s="901"/>
      <c r="CTV527" s="901"/>
      <c r="CTW527" s="901"/>
      <c r="CTX527" s="901"/>
      <c r="CTY527" s="901"/>
      <c r="CTZ527" s="901"/>
      <c r="CUA527" s="901"/>
      <c r="CUB527" s="901"/>
      <c r="CUC527" s="901"/>
      <c r="CUD527" s="901"/>
      <c r="CUE527" s="901"/>
      <c r="CUF527" s="901"/>
      <c r="CUG527" s="901"/>
      <c r="CUH527" s="901"/>
      <c r="CUI527" s="901"/>
      <c r="CUJ527" s="901"/>
      <c r="CUK527" s="901"/>
      <c r="CUL527" s="901"/>
      <c r="CUM527" s="901"/>
      <c r="CUN527" s="901"/>
      <c r="CUO527" s="901"/>
      <c r="CUP527" s="901"/>
      <c r="CUQ527" s="901"/>
      <c r="CUR527" s="901"/>
      <c r="CUS527" s="901"/>
      <c r="CUT527" s="901"/>
      <c r="CUU527" s="901"/>
      <c r="CUV527" s="901"/>
      <c r="CUW527" s="901"/>
      <c r="CUX527" s="901"/>
      <c r="CUY527" s="901"/>
      <c r="CUZ527" s="901"/>
      <c r="CVA527" s="901"/>
      <c r="CVB527" s="901"/>
      <c r="CVC527" s="901"/>
      <c r="CVD527" s="901"/>
      <c r="CVE527" s="901"/>
      <c r="CVF527" s="901"/>
      <c r="CVG527" s="901"/>
      <c r="CVH527" s="901"/>
      <c r="CVI527" s="901"/>
      <c r="CVJ527" s="901"/>
      <c r="CVK527" s="901"/>
      <c r="CVL527" s="901"/>
      <c r="CVM527" s="901"/>
      <c r="CVN527" s="901"/>
      <c r="CVO527" s="901"/>
      <c r="CVP527" s="901"/>
      <c r="CVQ527" s="901"/>
      <c r="CVR527" s="901"/>
      <c r="CVS527" s="901"/>
      <c r="CVT527" s="901"/>
      <c r="CVU527" s="901"/>
      <c r="CVV527" s="901"/>
      <c r="CVW527" s="901"/>
      <c r="CVX527" s="901"/>
      <c r="CVY527" s="901"/>
      <c r="CVZ527" s="901"/>
      <c r="CWA527" s="901"/>
      <c r="CWB527" s="901"/>
      <c r="CWC527" s="901"/>
      <c r="CWD527" s="901"/>
      <c r="CWE527" s="901"/>
      <c r="CWF527" s="901"/>
      <c r="CWG527" s="901"/>
      <c r="CWH527" s="901"/>
      <c r="CWI527" s="901"/>
      <c r="CWJ527" s="901"/>
      <c r="CWK527" s="901"/>
      <c r="CWL527" s="901"/>
      <c r="CWM527" s="901"/>
      <c r="CWN527" s="901"/>
      <c r="CWO527" s="901"/>
      <c r="CWP527" s="901"/>
      <c r="CWQ527" s="901"/>
      <c r="CWR527" s="901"/>
      <c r="CWS527" s="901"/>
      <c r="CWT527" s="901"/>
      <c r="CWU527" s="901"/>
      <c r="CWV527" s="901"/>
      <c r="CWW527" s="901"/>
      <c r="CWX527" s="901"/>
      <c r="CWY527" s="901"/>
      <c r="CWZ527" s="901"/>
      <c r="CXA527" s="901"/>
      <c r="CXB527" s="901"/>
      <c r="CXC527" s="901"/>
      <c r="CXD527" s="901"/>
      <c r="CXE527" s="901"/>
      <c r="CXF527" s="901"/>
      <c r="CXG527" s="901"/>
      <c r="CXH527" s="901"/>
      <c r="CXI527" s="901"/>
      <c r="CXJ527" s="901"/>
      <c r="CXK527" s="901"/>
      <c r="CXL527" s="901"/>
      <c r="CXM527" s="901"/>
      <c r="CXN527" s="901"/>
      <c r="CXO527" s="901"/>
      <c r="CXP527" s="901"/>
      <c r="CXQ527" s="901"/>
      <c r="CXR527" s="901"/>
      <c r="CXS527" s="901"/>
      <c r="CXT527" s="901"/>
      <c r="CXU527" s="901"/>
      <c r="CXV527" s="901"/>
      <c r="CXW527" s="901"/>
      <c r="CXX527" s="901"/>
      <c r="CXY527" s="901"/>
      <c r="CXZ527" s="901"/>
      <c r="CYA527" s="901"/>
      <c r="CYB527" s="901"/>
      <c r="CYC527" s="901"/>
      <c r="CYD527" s="901"/>
      <c r="CYE527" s="901"/>
      <c r="CYF527" s="901"/>
      <c r="CYG527" s="901"/>
      <c r="CYH527" s="901"/>
      <c r="CYI527" s="901"/>
      <c r="CYJ527" s="901"/>
      <c r="CYK527" s="901"/>
      <c r="CYL527" s="901"/>
      <c r="CYM527" s="901"/>
      <c r="CYN527" s="901"/>
      <c r="CYO527" s="901"/>
      <c r="CYP527" s="901"/>
      <c r="CYQ527" s="901"/>
      <c r="CYR527" s="901"/>
      <c r="CYS527" s="901"/>
      <c r="CYT527" s="901"/>
      <c r="CYU527" s="901"/>
      <c r="CYV527" s="901"/>
      <c r="CYW527" s="901"/>
      <c r="CYX527" s="901"/>
      <c r="CYY527" s="901"/>
      <c r="CYZ527" s="901"/>
      <c r="CZA527" s="901"/>
      <c r="CZB527" s="901"/>
      <c r="CZC527" s="901"/>
      <c r="CZD527" s="901"/>
      <c r="CZE527" s="901"/>
      <c r="CZF527" s="901"/>
      <c r="CZG527" s="901"/>
      <c r="CZH527" s="901"/>
      <c r="CZI527" s="901"/>
      <c r="CZJ527" s="901"/>
      <c r="CZK527" s="901"/>
      <c r="CZL527" s="901"/>
      <c r="CZM527" s="901"/>
      <c r="CZN527" s="901"/>
      <c r="CZO527" s="901"/>
      <c r="CZP527" s="901"/>
      <c r="CZQ527" s="901"/>
      <c r="CZR527" s="901"/>
      <c r="CZS527" s="901"/>
      <c r="CZT527" s="901"/>
      <c r="CZU527" s="901"/>
      <c r="CZV527" s="901"/>
      <c r="CZW527" s="901"/>
      <c r="CZX527" s="901"/>
      <c r="CZY527" s="901"/>
      <c r="CZZ527" s="901"/>
      <c r="DAA527" s="901"/>
      <c r="DAB527" s="901"/>
      <c r="DAC527" s="901"/>
      <c r="DAD527" s="901"/>
      <c r="DAE527" s="901"/>
      <c r="DAF527" s="901"/>
      <c r="DAG527" s="901"/>
      <c r="DAH527" s="901"/>
      <c r="DAI527" s="901"/>
      <c r="DAJ527" s="901"/>
      <c r="DAK527" s="901"/>
      <c r="DAL527" s="901"/>
      <c r="DAM527" s="901"/>
      <c r="DAN527" s="901"/>
      <c r="DAO527" s="901"/>
      <c r="DAP527" s="901"/>
      <c r="DAQ527" s="901"/>
      <c r="DAR527" s="901"/>
      <c r="DAS527" s="901"/>
      <c r="DAT527" s="901"/>
      <c r="DAU527" s="901"/>
      <c r="DAV527" s="901"/>
      <c r="DAW527" s="901"/>
      <c r="DAX527" s="901"/>
      <c r="DAY527" s="901"/>
      <c r="DAZ527" s="901"/>
      <c r="DBA527" s="901"/>
      <c r="DBB527" s="901"/>
      <c r="DBC527" s="901"/>
      <c r="DBD527" s="901"/>
      <c r="DBE527" s="901"/>
      <c r="DBF527" s="901"/>
      <c r="DBG527" s="901"/>
      <c r="DBH527" s="901"/>
      <c r="DBI527" s="901"/>
      <c r="DBJ527" s="901"/>
      <c r="DBK527" s="901"/>
      <c r="DBL527" s="901"/>
      <c r="DBM527" s="901"/>
      <c r="DBN527" s="901"/>
      <c r="DBO527" s="901"/>
      <c r="DBP527" s="901"/>
      <c r="DBQ527" s="901"/>
      <c r="DBR527" s="901"/>
      <c r="DBS527" s="901"/>
      <c r="DBT527" s="901"/>
      <c r="DBU527" s="901"/>
      <c r="DBV527" s="901"/>
      <c r="DBW527" s="901"/>
      <c r="DBX527" s="901"/>
      <c r="DBY527" s="901"/>
      <c r="DBZ527" s="901"/>
      <c r="DCA527" s="901"/>
      <c r="DCB527" s="901"/>
      <c r="DCC527" s="901"/>
      <c r="DCD527" s="901"/>
      <c r="DCE527" s="901"/>
      <c r="DCF527" s="901"/>
      <c r="DCG527" s="901"/>
      <c r="DCH527" s="901"/>
      <c r="DCI527" s="901"/>
      <c r="DCJ527" s="901"/>
      <c r="DCK527" s="901"/>
      <c r="DCL527" s="901"/>
      <c r="DCM527" s="901"/>
      <c r="DCN527" s="901"/>
      <c r="DCO527" s="901"/>
      <c r="DCP527" s="901"/>
      <c r="DCQ527" s="901"/>
      <c r="DCR527" s="901"/>
      <c r="DCS527" s="901"/>
      <c r="DCT527" s="901"/>
      <c r="DCU527" s="901"/>
      <c r="DCV527" s="901"/>
      <c r="DCW527" s="901"/>
      <c r="DCX527" s="901"/>
      <c r="DCY527" s="901"/>
      <c r="DCZ527" s="901"/>
      <c r="DDA527" s="901"/>
      <c r="DDB527" s="901"/>
      <c r="DDC527" s="901"/>
      <c r="DDD527" s="901"/>
      <c r="DDE527" s="901"/>
      <c r="DDF527" s="901"/>
      <c r="DDG527" s="901"/>
      <c r="DDH527" s="901"/>
      <c r="DDI527" s="901"/>
      <c r="DDJ527" s="901"/>
      <c r="DDK527" s="901"/>
      <c r="DDL527" s="901"/>
      <c r="DDM527" s="901"/>
      <c r="DDN527" s="901"/>
      <c r="DDO527" s="901"/>
      <c r="DDP527" s="901"/>
      <c r="DDQ527" s="901"/>
      <c r="DDR527" s="901"/>
      <c r="DDS527" s="901"/>
      <c r="DDT527" s="901"/>
      <c r="DDU527" s="901"/>
      <c r="DDV527" s="901"/>
      <c r="DDW527" s="901"/>
      <c r="DDX527" s="901"/>
      <c r="DDY527" s="901"/>
      <c r="DDZ527" s="901"/>
      <c r="DEA527" s="901"/>
      <c r="DEB527" s="901"/>
      <c r="DEC527" s="901"/>
      <c r="DED527" s="901"/>
      <c r="DEE527" s="901"/>
      <c r="DEF527" s="901"/>
      <c r="DEG527" s="901"/>
      <c r="DEH527" s="901"/>
      <c r="DEI527" s="901"/>
      <c r="DEJ527" s="901"/>
      <c r="DEK527" s="901"/>
      <c r="DEL527" s="901"/>
      <c r="DEM527" s="901"/>
      <c r="DEN527" s="901"/>
      <c r="DEO527" s="901"/>
      <c r="DEP527" s="901"/>
      <c r="DEQ527" s="901"/>
      <c r="DER527" s="901"/>
      <c r="DES527" s="901"/>
      <c r="DET527" s="901"/>
      <c r="DEU527" s="901"/>
      <c r="DEV527" s="901"/>
      <c r="DEW527" s="901"/>
      <c r="DEX527" s="901"/>
      <c r="DEY527" s="901"/>
      <c r="DEZ527" s="901"/>
      <c r="DFA527" s="901"/>
      <c r="DFB527" s="901"/>
      <c r="DFC527" s="901"/>
      <c r="DFD527" s="901"/>
      <c r="DFE527" s="901"/>
      <c r="DFF527" s="901"/>
      <c r="DFG527" s="901"/>
      <c r="DFH527" s="901"/>
      <c r="DFI527" s="901"/>
      <c r="DFJ527" s="901"/>
      <c r="DFK527" s="901"/>
      <c r="DFL527" s="901"/>
      <c r="DFM527" s="901"/>
      <c r="DFN527" s="901"/>
      <c r="DFO527" s="901"/>
      <c r="DFP527" s="901"/>
      <c r="DFQ527" s="901"/>
      <c r="DFR527" s="901"/>
      <c r="DFS527" s="901"/>
      <c r="DFT527" s="901"/>
      <c r="DFU527" s="901"/>
      <c r="DFV527" s="901"/>
      <c r="DFW527" s="901"/>
      <c r="DFX527" s="901"/>
      <c r="DFY527" s="901"/>
      <c r="DFZ527" s="901"/>
      <c r="DGA527" s="901"/>
      <c r="DGB527" s="901"/>
      <c r="DGC527" s="901"/>
      <c r="DGD527" s="901"/>
      <c r="DGE527" s="901"/>
      <c r="DGF527" s="901"/>
      <c r="DGG527" s="901"/>
      <c r="DGH527" s="901"/>
      <c r="DGI527" s="901"/>
      <c r="DGJ527" s="901"/>
      <c r="DGK527" s="901"/>
      <c r="DGL527" s="901"/>
      <c r="DGM527" s="901"/>
      <c r="DGN527" s="901"/>
      <c r="DGO527" s="901"/>
      <c r="DGP527" s="901"/>
      <c r="DGQ527" s="901"/>
      <c r="DGR527" s="901"/>
      <c r="DGS527" s="901"/>
      <c r="DGT527" s="901"/>
      <c r="DGU527" s="901"/>
      <c r="DGV527" s="901"/>
      <c r="DGW527" s="901"/>
      <c r="DGX527" s="901"/>
      <c r="DGY527" s="901"/>
      <c r="DGZ527" s="901"/>
      <c r="DHA527" s="901"/>
      <c r="DHB527" s="901"/>
      <c r="DHC527" s="901"/>
      <c r="DHD527" s="901"/>
      <c r="DHE527" s="901"/>
      <c r="DHF527" s="901"/>
      <c r="DHG527" s="901"/>
      <c r="DHH527" s="901"/>
      <c r="DHI527" s="901"/>
      <c r="DHJ527" s="901"/>
      <c r="DHK527" s="901"/>
      <c r="DHL527" s="901"/>
      <c r="DHM527" s="901"/>
      <c r="DHN527" s="901"/>
      <c r="DHO527" s="901"/>
      <c r="DHP527" s="901"/>
      <c r="DHQ527" s="901"/>
      <c r="DHR527" s="901"/>
      <c r="DHS527" s="901"/>
      <c r="DHT527" s="901"/>
      <c r="DHU527" s="901"/>
      <c r="DHV527" s="901"/>
      <c r="DHW527" s="901"/>
      <c r="DHX527" s="901"/>
      <c r="DHY527" s="901"/>
      <c r="DHZ527" s="901"/>
      <c r="DIA527" s="901"/>
      <c r="DIB527" s="901"/>
      <c r="DIC527" s="901"/>
      <c r="DID527" s="901"/>
      <c r="DIE527" s="901"/>
      <c r="DIF527" s="901"/>
      <c r="DIG527" s="901"/>
      <c r="DIH527" s="901"/>
      <c r="DII527" s="901"/>
      <c r="DIJ527" s="901"/>
      <c r="DIK527" s="901"/>
      <c r="DIL527" s="901"/>
      <c r="DIM527" s="901"/>
      <c r="DIN527" s="901"/>
      <c r="DIO527" s="901"/>
      <c r="DIP527" s="901"/>
      <c r="DIQ527" s="901"/>
      <c r="DIR527" s="901"/>
      <c r="DIS527" s="901"/>
      <c r="DIT527" s="901"/>
      <c r="DIU527" s="901"/>
      <c r="DIV527" s="901"/>
      <c r="DIW527" s="901"/>
      <c r="DIX527" s="901"/>
      <c r="DIY527" s="901"/>
      <c r="DIZ527" s="901"/>
      <c r="DJA527" s="901"/>
      <c r="DJB527" s="901"/>
      <c r="DJC527" s="901"/>
      <c r="DJD527" s="901"/>
      <c r="DJE527" s="901"/>
      <c r="DJF527" s="901"/>
      <c r="DJG527" s="901"/>
      <c r="DJH527" s="901"/>
      <c r="DJI527" s="901"/>
      <c r="DJJ527" s="901"/>
      <c r="DJK527" s="901"/>
      <c r="DJL527" s="901"/>
      <c r="DJM527" s="901"/>
      <c r="DJN527" s="901"/>
      <c r="DJO527" s="901"/>
      <c r="DJP527" s="901"/>
      <c r="DJQ527" s="901"/>
      <c r="DJR527" s="901"/>
      <c r="DJS527" s="901"/>
      <c r="DJT527" s="901"/>
      <c r="DJU527" s="901"/>
      <c r="DJV527" s="901"/>
      <c r="DJW527" s="901"/>
      <c r="DJX527" s="901"/>
      <c r="DJY527" s="901"/>
      <c r="DJZ527" s="901"/>
      <c r="DKA527" s="901"/>
      <c r="DKB527" s="901"/>
      <c r="DKC527" s="901"/>
      <c r="DKD527" s="901"/>
      <c r="DKE527" s="901"/>
      <c r="DKF527" s="901"/>
      <c r="DKG527" s="901"/>
      <c r="DKH527" s="901"/>
      <c r="DKI527" s="901"/>
      <c r="DKJ527" s="901"/>
      <c r="DKK527" s="901"/>
      <c r="DKL527" s="901"/>
      <c r="DKM527" s="901"/>
      <c r="DKN527" s="901"/>
      <c r="DKO527" s="901"/>
      <c r="DKP527" s="901"/>
      <c r="DKQ527" s="901"/>
      <c r="DKR527" s="901"/>
      <c r="DKS527" s="901"/>
      <c r="DKT527" s="901"/>
      <c r="DKU527" s="901"/>
      <c r="DKV527" s="901"/>
      <c r="DKW527" s="901"/>
      <c r="DKX527" s="901"/>
      <c r="DKY527" s="901"/>
      <c r="DKZ527" s="901"/>
      <c r="DLA527" s="901"/>
      <c r="DLB527" s="901"/>
      <c r="DLC527" s="901"/>
      <c r="DLD527" s="901"/>
      <c r="DLE527" s="901"/>
      <c r="DLF527" s="901"/>
      <c r="DLG527" s="901"/>
      <c r="DLH527" s="901"/>
      <c r="DLI527" s="901"/>
      <c r="DLJ527" s="901"/>
      <c r="DLK527" s="901"/>
      <c r="DLL527" s="901"/>
      <c r="DLM527" s="901"/>
      <c r="DLN527" s="901"/>
      <c r="DLO527" s="901"/>
      <c r="DLP527" s="901"/>
      <c r="DLQ527" s="901"/>
      <c r="DLR527" s="901"/>
      <c r="DLS527" s="901"/>
      <c r="DLT527" s="901"/>
      <c r="DLU527" s="901"/>
      <c r="DLV527" s="901"/>
      <c r="DLW527" s="901"/>
      <c r="DLX527" s="901"/>
      <c r="DLY527" s="901"/>
      <c r="DLZ527" s="901"/>
      <c r="DMA527" s="901"/>
      <c r="DMB527" s="901"/>
      <c r="DMC527" s="901"/>
      <c r="DMD527" s="901"/>
      <c r="DME527" s="901"/>
      <c r="DMF527" s="901"/>
      <c r="DMG527" s="901"/>
      <c r="DMH527" s="901"/>
      <c r="DMI527" s="901"/>
      <c r="DMJ527" s="901"/>
      <c r="DMK527" s="901"/>
      <c r="DML527" s="901"/>
      <c r="DMM527" s="901"/>
      <c r="DMN527" s="901"/>
      <c r="DMO527" s="901"/>
      <c r="DMP527" s="901"/>
      <c r="DMQ527" s="901"/>
      <c r="DMR527" s="901"/>
      <c r="DMS527" s="901"/>
      <c r="DMT527" s="901"/>
      <c r="DMU527" s="901"/>
      <c r="DMV527" s="901"/>
      <c r="DMW527" s="901"/>
      <c r="DMX527" s="901"/>
      <c r="DMY527" s="901"/>
      <c r="DMZ527" s="901"/>
      <c r="DNA527" s="901"/>
      <c r="DNB527" s="901"/>
      <c r="DNC527" s="901"/>
      <c r="DND527" s="901"/>
      <c r="DNE527" s="901"/>
      <c r="DNF527" s="901"/>
      <c r="DNG527" s="901"/>
      <c r="DNH527" s="901"/>
      <c r="DNI527" s="901"/>
      <c r="DNJ527" s="901"/>
      <c r="DNK527" s="901"/>
      <c r="DNL527" s="901"/>
      <c r="DNM527" s="901"/>
      <c r="DNN527" s="901"/>
      <c r="DNO527" s="901"/>
      <c r="DNP527" s="901"/>
      <c r="DNQ527" s="901"/>
      <c r="DNR527" s="901"/>
      <c r="DNS527" s="901"/>
      <c r="DNT527" s="901"/>
      <c r="DNU527" s="901"/>
      <c r="DNV527" s="901"/>
      <c r="DNW527" s="901"/>
      <c r="DNX527" s="901"/>
      <c r="DNY527" s="901"/>
      <c r="DNZ527" s="901"/>
      <c r="DOA527" s="901"/>
      <c r="DOB527" s="901"/>
      <c r="DOC527" s="901"/>
      <c r="DOD527" s="901"/>
      <c r="DOE527" s="901"/>
      <c r="DOF527" s="901"/>
      <c r="DOG527" s="901"/>
      <c r="DOH527" s="901"/>
      <c r="DOI527" s="901"/>
      <c r="DOJ527" s="901"/>
      <c r="DOK527" s="901"/>
      <c r="DOL527" s="901"/>
      <c r="DOM527" s="901"/>
      <c r="DON527" s="901"/>
      <c r="DOO527" s="901"/>
      <c r="DOP527" s="901"/>
      <c r="DOQ527" s="901"/>
      <c r="DOR527" s="901"/>
      <c r="DOS527" s="901"/>
      <c r="DOT527" s="901"/>
      <c r="DOU527" s="901"/>
      <c r="DOV527" s="901"/>
      <c r="DOW527" s="901"/>
      <c r="DOX527" s="901"/>
      <c r="DOY527" s="901"/>
      <c r="DOZ527" s="901"/>
      <c r="DPA527" s="901"/>
      <c r="DPB527" s="901"/>
      <c r="DPC527" s="901"/>
      <c r="DPD527" s="901"/>
      <c r="DPE527" s="901"/>
      <c r="DPF527" s="901"/>
      <c r="DPG527" s="901"/>
      <c r="DPH527" s="901"/>
      <c r="DPI527" s="901"/>
      <c r="DPJ527" s="901"/>
      <c r="DPK527" s="901"/>
      <c r="DPL527" s="901"/>
      <c r="DPM527" s="901"/>
      <c r="DPN527" s="901"/>
      <c r="DPO527" s="901"/>
      <c r="DPP527" s="901"/>
      <c r="DPQ527" s="901"/>
      <c r="DPR527" s="901"/>
      <c r="DPS527" s="901"/>
      <c r="DPT527" s="901"/>
      <c r="DPU527" s="901"/>
      <c r="DPV527" s="901"/>
      <c r="DPW527" s="901"/>
      <c r="DPX527" s="901"/>
      <c r="DPY527" s="901"/>
      <c r="DPZ527" s="901"/>
      <c r="DQA527" s="901"/>
      <c r="DQB527" s="901"/>
      <c r="DQC527" s="901"/>
      <c r="DQD527" s="901"/>
      <c r="DQE527" s="901"/>
      <c r="DQF527" s="901"/>
      <c r="DQG527" s="901"/>
      <c r="DQH527" s="901"/>
      <c r="DQI527" s="901"/>
      <c r="DQJ527" s="901"/>
      <c r="DQK527" s="901"/>
      <c r="DQL527" s="901"/>
      <c r="DQM527" s="901"/>
      <c r="DQN527" s="901"/>
      <c r="DQO527" s="901"/>
      <c r="DQP527" s="901"/>
      <c r="DQQ527" s="901"/>
      <c r="DQR527" s="901"/>
      <c r="DQS527" s="901"/>
      <c r="DQT527" s="901"/>
      <c r="DQU527" s="901"/>
      <c r="DQV527" s="901"/>
      <c r="DQW527" s="901"/>
      <c r="DQX527" s="901"/>
      <c r="DQY527" s="901"/>
      <c r="DQZ527" s="901"/>
      <c r="DRA527" s="901"/>
      <c r="DRB527" s="901"/>
      <c r="DRC527" s="901"/>
      <c r="DRD527" s="901"/>
      <c r="DRE527" s="901"/>
      <c r="DRF527" s="901"/>
      <c r="DRG527" s="901"/>
      <c r="DRH527" s="901"/>
      <c r="DRI527" s="901"/>
      <c r="DRJ527" s="901"/>
      <c r="DRK527" s="901"/>
      <c r="DRL527" s="901"/>
      <c r="DRM527" s="901"/>
      <c r="DRN527" s="901"/>
      <c r="DRO527" s="901"/>
      <c r="DRP527" s="901"/>
      <c r="DRQ527" s="901"/>
      <c r="DRR527" s="901"/>
      <c r="DRS527" s="901"/>
      <c r="DRT527" s="901"/>
      <c r="DRU527" s="901"/>
      <c r="DRV527" s="901"/>
      <c r="DRW527" s="901"/>
      <c r="DRX527" s="901"/>
      <c r="DRY527" s="901"/>
      <c r="DRZ527" s="901"/>
      <c r="DSA527" s="901"/>
      <c r="DSB527" s="901"/>
      <c r="DSC527" s="901"/>
      <c r="DSD527" s="901"/>
      <c r="DSE527" s="901"/>
      <c r="DSF527" s="901"/>
      <c r="DSG527" s="901"/>
      <c r="DSH527" s="901"/>
      <c r="DSI527" s="901"/>
      <c r="DSJ527" s="901"/>
      <c r="DSK527" s="901"/>
      <c r="DSL527" s="901"/>
      <c r="DSM527" s="901"/>
      <c r="DSN527" s="901"/>
      <c r="DSO527" s="901"/>
      <c r="DSP527" s="901"/>
      <c r="DSQ527" s="901"/>
      <c r="DSR527" s="901"/>
      <c r="DSS527" s="901"/>
      <c r="DST527" s="901"/>
      <c r="DSU527" s="901"/>
      <c r="DSV527" s="901"/>
      <c r="DSW527" s="901"/>
      <c r="DSX527" s="901"/>
      <c r="DSY527" s="901"/>
      <c r="DSZ527" s="901"/>
      <c r="DTA527" s="901"/>
      <c r="DTB527" s="901"/>
      <c r="DTC527" s="901"/>
      <c r="DTD527" s="901"/>
      <c r="DTE527" s="901"/>
      <c r="DTF527" s="901"/>
      <c r="DTG527" s="901"/>
      <c r="DTH527" s="901"/>
      <c r="DTI527" s="901"/>
      <c r="DTJ527" s="901"/>
      <c r="DTK527" s="901"/>
      <c r="DTL527" s="901"/>
      <c r="DTM527" s="901"/>
      <c r="DTN527" s="901"/>
      <c r="DTO527" s="901"/>
      <c r="DTP527" s="901"/>
      <c r="DTQ527" s="901"/>
      <c r="DTR527" s="901"/>
      <c r="DTS527" s="901"/>
      <c r="DTT527" s="901"/>
      <c r="DTU527" s="901"/>
      <c r="DTV527" s="901"/>
      <c r="DTW527" s="901"/>
      <c r="DTX527" s="901"/>
      <c r="DTY527" s="901"/>
      <c r="DTZ527" s="901"/>
      <c r="DUA527" s="901"/>
      <c r="DUB527" s="901"/>
      <c r="DUC527" s="901"/>
      <c r="DUD527" s="901"/>
      <c r="DUE527" s="901"/>
      <c r="DUF527" s="901"/>
      <c r="DUG527" s="901"/>
      <c r="DUH527" s="901"/>
      <c r="DUI527" s="901"/>
      <c r="DUJ527" s="901"/>
      <c r="DUK527" s="901"/>
      <c r="DUL527" s="901"/>
      <c r="DUM527" s="901"/>
      <c r="DUN527" s="901"/>
      <c r="DUO527" s="901"/>
      <c r="DUP527" s="901"/>
      <c r="DUQ527" s="901"/>
      <c r="DUR527" s="901"/>
      <c r="DUS527" s="901"/>
      <c r="DUT527" s="901"/>
      <c r="DUU527" s="901"/>
      <c r="DUV527" s="901"/>
      <c r="DUW527" s="901"/>
      <c r="DUX527" s="901"/>
      <c r="DUY527" s="901"/>
      <c r="DUZ527" s="901"/>
      <c r="DVA527" s="901"/>
      <c r="DVB527" s="901"/>
      <c r="DVC527" s="901"/>
      <c r="DVD527" s="901"/>
      <c r="DVE527" s="901"/>
      <c r="DVF527" s="901"/>
      <c r="DVG527" s="901"/>
      <c r="DVH527" s="901"/>
      <c r="DVI527" s="901"/>
      <c r="DVJ527" s="901"/>
      <c r="DVK527" s="901"/>
      <c r="DVL527" s="901"/>
      <c r="DVM527" s="901"/>
      <c r="DVN527" s="901"/>
      <c r="DVO527" s="901"/>
      <c r="DVP527" s="901"/>
      <c r="DVQ527" s="901"/>
      <c r="DVR527" s="901"/>
      <c r="DVS527" s="901"/>
      <c r="DVT527" s="901"/>
      <c r="DVU527" s="901"/>
      <c r="DVV527" s="901"/>
      <c r="DVW527" s="901"/>
      <c r="DVX527" s="901"/>
      <c r="DVY527" s="901"/>
      <c r="DVZ527" s="901"/>
      <c r="DWA527" s="901"/>
      <c r="DWB527" s="901"/>
      <c r="DWC527" s="901"/>
      <c r="DWD527" s="901"/>
      <c r="DWE527" s="901"/>
      <c r="DWF527" s="901"/>
      <c r="DWG527" s="901"/>
      <c r="DWH527" s="901"/>
      <c r="DWI527" s="901"/>
      <c r="DWJ527" s="901"/>
      <c r="DWK527" s="901"/>
      <c r="DWL527" s="901"/>
      <c r="DWM527" s="901"/>
      <c r="DWN527" s="901"/>
      <c r="DWO527" s="901"/>
      <c r="DWP527" s="901"/>
      <c r="DWQ527" s="901"/>
      <c r="DWR527" s="901"/>
      <c r="DWS527" s="901"/>
      <c r="DWT527" s="901"/>
      <c r="DWU527" s="901"/>
      <c r="DWV527" s="901"/>
      <c r="DWW527" s="901"/>
      <c r="DWX527" s="901"/>
      <c r="DWY527" s="901"/>
      <c r="DWZ527" s="901"/>
      <c r="DXA527" s="901"/>
      <c r="DXB527" s="901"/>
      <c r="DXC527" s="901"/>
      <c r="DXD527" s="901"/>
      <c r="DXE527" s="901"/>
      <c r="DXF527" s="901"/>
      <c r="DXG527" s="901"/>
      <c r="DXH527" s="901"/>
      <c r="DXI527" s="901"/>
      <c r="DXJ527" s="901"/>
      <c r="DXK527" s="901"/>
      <c r="DXL527" s="901"/>
      <c r="DXM527" s="901"/>
      <c r="DXN527" s="901"/>
      <c r="DXO527" s="901"/>
      <c r="DXP527" s="901"/>
      <c r="DXQ527" s="901"/>
      <c r="DXR527" s="901"/>
      <c r="DXS527" s="901"/>
      <c r="DXT527" s="901"/>
      <c r="DXU527" s="901"/>
      <c r="DXV527" s="901"/>
      <c r="DXW527" s="901"/>
      <c r="DXX527" s="901"/>
      <c r="DXY527" s="901"/>
      <c r="DXZ527" s="901"/>
      <c r="DYA527" s="901"/>
      <c r="DYB527" s="901"/>
      <c r="DYC527" s="901"/>
      <c r="DYD527" s="901"/>
      <c r="DYE527" s="901"/>
      <c r="DYF527" s="901"/>
      <c r="DYG527" s="901"/>
      <c r="DYH527" s="901"/>
      <c r="DYI527" s="901"/>
      <c r="DYJ527" s="901"/>
      <c r="DYK527" s="901"/>
      <c r="DYL527" s="901"/>
      <c r="DYM527" s="901"/>
      <c r="DYN527" s="901"/>
      <c r="DYO527" s="901"/>
      <c r="DYP527" s="901"/>
      <c r="DYQ527" s="901"/>
      <c r="DYR527" s="901"/>
      <c r="DYS527" s="901"/>
      <c r="DYT527" s="901"/>
      <c r="DYU527" s="901"/>
      <c r="DYV527" s="901"/>
      <c r="DYW527" s="901"/>
      <c r="DYX527" s="901"/>
      <c r="DYY527" s="901"/>
      <c r="DYZ527" s="901"/>
      <c r="DZA527" s="901"/>
      <c r="DZB527" s="901"/>
      <c r="DZC527" s="901"/>
      <c r="DZD527" s="901"/>
      <c r="DZE527" s="901"/>
      <c r="DZF527" s="901"/>
      <c r="DZG527" s="901"/>
      <c r="DZH527" s="901"/>
      <c r="DZI527" s="901"/>
      <c r="DZJ527" s="901"/>
      <c r="DZK527" s="901"/>
      <c r="DZL527" s="901"/>
      <c r="DZM527" s="901"/>
      <c r="DZN527" s="901"/>
      <c r="DZO527" s="901"/>
      <c r="DZP527" s="901"/>
      <c r="DZQ527" s="901"/>
      <c r="DZR527" s="901"/>
      <c r="DZS527" s="901"/>
      <c r="DZT527" s="901"/>
      <c r="DZU527" s="901"/>
      <c r="DZV527" s="901"/>
      <c r="DZW527" s="901"/>
      <c r="DZX527" s="901"/>
      <c r="DZY527" s="901"/>
      <c r="DZZ527" s="901"/>
      <c r="EAA527" s="901"/>
      <c r="EAB527" s="901"/>
      <c r="EAC527" s="901"/>
      <c r="EAD527" s="901"/>
      <c r="EAE527" s="901"/>
      <c r="EAF527" s="901"/>
      <c r="EAG527" s="901"/>
      <c r="EAH527" s="901"/>
      <c r="EAI527" s="901"/>
      <c r="EAJ527" s="901"/>
      <c r="EAK527" s="901"/>
      <c r="EAL527" s="901"/>
      <c r="EAM527" s="901"/>
      <c r="EAN527" s="901"/>
      <c r="EAO527" s="901"/>
      <c r="EAP527" s="901"/>
      <c r="EAQ527" s="901"/>
      <c r="EAR527" s="901"/>
      <c r="EAS527" s="901"/>
      <c r="EAT527" s="901"/>
      <c r="EAU527" s="901"/>
      <c r="EAV527" s="901"/>
      <c r="EAW527" s="901"/>
      <c r="EAX527" s="901"/>
      <c r="EAY527" s="901"/>
      <c r="EAZ527" s="901"/>
      <c r="EBA527" s="901"/>
      <c r="EBB527" s="901"/>
      <c r="EBC527" s="901"/>
      <c r="EBD527" s="901"/>
      <c r="EBE527" s="901"/>
      <c r="EBF527" s="901"/>
      <c r="EBG527" s="901"/>
      <c r="EBH527" s="901"/>
      <c r="EBI527" s="901"/>
      <c r="EBJ527" s="901"/>
      <c r="EBK527" s="901"/>
      <c r="EBL527" s="901"/>
      <c r="EBM527" s="901"/>
      <c r="EBN527" s="901"/>
      <c r="EBO527" s="901"/>
      <c r="EBP527" s="901"/>
      <c r="EBQ527" s="901"/>
      <c r="EBR527" s="901"/>
      <c r="EBS527" s="901"/>
      <c r="EBT527" s="901"/>
      <c r="EBU527" s="901"/>
      <c r="EBV527" s="901"/>
      <c r="EBW527" s="901"/>
      <c r="EBX527" s="901"/>
      <c r="EBY527" s="901"/>
      <c r="EBZ527" s="901"/>
      <c r="ECA527" s="901"/>
      <c r="ECB527" s="901"/>
      <c r="ECC527" s="901"/>
      <c r="ECD527" s="901"/>
      <c r="ECE527" s="901"/>
      <c r="ECF527" s="901"/>
      <c r="ECG527" s="901"/>
      <c r="ECH527" s="901"/>
      <c r="ECI527" s="901"/>
      <c r="ECJ527" s="901"/>
      <c r="ECK527" s="901"/>
      <c r="ECL527" s="901"/>
      <c r="ECM527" s="901"/>
      <c r="ECN527" s="901"/>
      <c r="ECO527" s="901"/>
      <c r="ECP527" s="901"/>
      <c r="ECQ527" s="901"/>
      <c r="ECR527" s="901"/>
      <c r="ECS527" s="901"/>
      <c r="ECT527" s="901"/>
      <c r="ECU527" s="901"/>
      <c r="ECV527" s="901"/>
      <c r="ECW527" s="901"/>
      <c r="ECX527" s="901"/>
      <c r="ECY527" s="901"/>
      <c r="ECZ527" s="901"/>
      <c r="EDA527" s="901"/>
      <c r="EDB527" s="901"/>
      <c r="EDC527" s="901"/>
      <c r="EDD527" s="901"/>
      <c r="EDE527" s="901"/>
      <c r="EDF527" s="901"/>
      <c r="EDG527" s="901"/>
      <c r="EDH527" s="901"/>
      <c r="EDI527" s="901"/>
      <c r="EDJ527" s="901"/>
      <c r="EDK527" s="901"/>
      <c r="EDL527" s="901"/>
      <c r="EDM527" s="901"/>
      <c r="EDN527" s="901"/>
      <c r="EDO527" s="901"/>
      <c r="EDP527" s="901"/>
      <c r="EDQ527" s="901"/>
      <c r="EDR527" s="901"/>
      <c r="EDS527" s="901"/>
      <c r="EDT527" s="901"/>
      <c r="EDU527" s="901"/>
      <c r="EDV527" s="901"/>
      <c r="EDW527" s="901"/>
      <c r="EDX527" s="901"/>
      <c r="EDY527" s="901"/>
      <c r="EDZ527" s="901"/>
      <c r="EEA527" s="901"/>
      <c r="EEB527" s="901"/>
      <c r="EEC527" s="901"/>
      <c r="EED527" s="901"/>
      <c r="EEE527" s="901"/>
      <c r="EEF527" s="901"/>
      <c r="EEG527" s="901"/>
      <c r="EEH527" s="901"/>
      <c r="EEI527" s="901"/>
      <c r="EEJ527" s="901"/>
      <c r="EEK527" s="901"/>
      <c r="EEL527" s="901"/>
      <c r="EEM527" s="901"/>
      <c r="EEN527" s="901"/>
      <c r="EEO527" s="901"/>
      <c r="EEP527" s="901"/>
      <c r="EEQ527" s="901"/>
      <c r="EER527" s="901"/>
      <c r="EES527" s="901"/>
      <c r="EET527" s="901"/>
      <c r="EEU527" s="901"/>
      <c r="EEV527" s="901"/>
      <c r="EEW527" s="901"/>
      <c r="EEX527" s="901"/>
      <c r="EEY527" s="901"/>
      <c r="EEZ527" s="901"/>
      <c r="EFA527" s="901"/>
      <c r="EFB527" s="901"/>
      <c r="EFC527" s="901"/>
      <c r="EFD527" s="901"/>
      <c r="EFE527" s="901"/>
      <c r="EFF527" s="901"/>
      <c r="EFG527" s="901"/>
      <c r="EFH527" s="901"/>
      <c r="EFI527" s="901"/>
      <c r="EFJ527" s="901"/>
      <c r="EFK527" s="901"/>
      <c r="EFL527" s="901"/>
      <c r="EFM527" s="901"/>
      <c r="EFN527" s="901"/>
      <c r="EFO527" s="901"/>
      <c r="EFP527" s="901"/>
      <c r="EFQ527" s="901"/>
      <c r="EFR527" s="901"/>
      <c r="EFS527" s="901"/>
      <c r="EFT527" s="901"/>
      <c r="EFU527" s="901"/>
      <c r="EFV527" s="901"/>
      <c r="EFW527" s="901"/>
      <c r="EFX527" s="901"/>
      <c r="EFY527" s="901"/>
      <c r="EFZ527" s="901"/>
      <c r="EGA527" s="901"/>
      <c r="EGB527" s="901"/>
      <c r="EGC527" s="901"/>
      <c r="EGD527" s="901"/>
      <c r="EGE527" s="901"/>
      <c r="EGF527" s="901"/>
      <c r="EGG527" s="901"/>
      <c r="EGH527" s="901"/>
      <c r="EGI527" s="901"/>
      <c r="EGJ527" s="901"/>
      <c r="EGK527" s="901"/>
      <c r="EGL527" s="901"/>
      <c r="EGM527" s="901"/>
      <c r="EGN527" s="901"/>
      <c r="EGO527" s="901"/>
      <c r="EGP527" s="901"/>
      <c r="EGQ527" s="901"/>
      <c r="EGR527" s="901"/>
      <c r="EGS527" s="901"/>
      <c r="EGT527" s="901"/>
      <c r="EGU527" s="901"/>
      <c r="EGV527" s="901"/>
      <c r="EGW527" s="901"/>
      <c r="EGX527" s="901"/>
      <c r="EGY527" s="901"/>
      <c r="EGZ527" s="901"/>
      <c r="EHA527" s="901"/>
      <c r="EHB527" s="901"/>
      <c r="EHC527" s="901"/>
      <c r="EHD527" s="901"/>
      <c r="EHE527" s="901"/>
      <c r="EHF527" s="901"/>
      <c r="EHG527" s="901"/>
      <c r="EHH527" s="901"/>
      <c r="EHI527" s="901"/>
      <c r="EHJ527" s="901"/>
      <c r="EHK527" s="901"/>
      <c r="EHL527" s="901"/>
      <c r="EHM527" s="901"/>
      <c r="EHN527" s="901"/>
      <c r="EHO527" s="901"/>
      <c r="EHP527" s="901"/>
      <c r="EHQ527" s="901"/>
      <c r="EHR527" s="901"/>
      <c r="EHS527" s="901"/>
      <c r="EHT527" s="901"/>
      <c r="EHU527" s="901"/>
      <c r="EHV527" s="901"/>
      <c r="EHW527" s="901"/>
      <c r="EHX527" s="901"/>
      <c r="EHY527" s="901"/>
      <c r="EHZ527" s="901"/>
      <c r="EIA527" s="901"/>
      <c r="EIB527" s="901"/>
      <c r="EIC527" s="901"/>
      <c r="EID527" s="901"/>
      <c r="EIE527" s="901"/>
      <c r="EIF527" s="901"/>
      <c r="EIG527" s="901"/>
      <c r="EIH527" s="901"/>
      <c r="EII527" s="901"/>
      <c r="EIJ527" s="901"/>
      <c r="EIK527" s="901"/>
      <c r="EIL527" s="901"/>
      <c r="EIM527" s="901"/>
      <c r="EIN527" s="901"/>
      <c r="EIO527" s="901"/>
      <c r="EIP527" s="901"/>
      <c r="EIQ527" s="901"/>
      <c r="EIR527" s="901"/>
      <c r="EIS527" s="901"/>
      <c r="EIT527" s="901"/>
      <c r="EIU527" s="901"/>
      <c r="EIV527" s="901"/>
      <c r="EIW527" s="901"/>
      <c r="EIX527" s="901"/>
      <c r="EIY527" s="901"/>
      <c r="EIZ527" s="901"/>
      <c r="EJA527" s="901"/>
      <c r="EJB527" s="901"/>
      <c r="EJC527" s="901"/>
      <c r="EJD527" s="901"/>
      <c r="EJE527" s="901"/>
      <c r="EJF527" s="901"/>
      <c r="EJG527" s="901"/>
      <c r="EJH527" s="901"/>
      <c r="EJI527" s="901"/>
      <c r="EJJ527" s="901"/>
      <c r="EJK527" s="901"/>
      <c r="EJL527" s="901"/>
      <c r="EJM527" s="901"/>
      <c r="EJN527" s="901"/>
      <c r="EJO527" s="901"/>
      <c r="EJP527" s="901"/>
      <c r="EJQ527" s="901"/>
      <c r="EJR527" s="901"/>
      <c r="EJS527" s="901"/>
      <c r="EJT527" s="901"/>
      <c r="EJU527" s="901"/>
      <c r="EJV527" s="901"/>
      <c r="EJW527" s="901"/>
      <c r="EJX527" s="901"/>
      <c r="EJY527" s="901"/>
      <c r="EJZ527" s="901"/>
      <c r="EKA527" s="901"/>
      <c r="EKB527" s="901"/>
      <c r="EKC527" s="901"/>
      <c r="EKD527" s="901"/>
      <c r="EKE527" s="901"/>
      <c r="EKF527" s="901"/>
      <c r="EKG527" s="901"/>
      <c r="EKH527" s="901"/>
      <c r="EKI527" s="901"/>
      <c r="EKJ527" s="901"/>
      <c r="EKK527" s="901"/>
      <c r="EKL527" s="901"/>
      <c r="EKM527" s="901"/>
      <c r="EKN527" s="901"/>
      <c r="EKO527" s="901"/>
      <c r="EKP527" s="901"/>
      <c r="EKQ527" s="901"/>
      <c r="EKR527" s="901"/>
      <c r="EKS527" s="901"/>
      <c r="EKT527" s="901"/>
      <c r="EKU527" s="901"/>
      <c r="EKV527" s="901"/>
      <c r="EKW527" s="901"/>
      <c r="EKX527" s="901"/>
      <c r="EKY527" s="901"/>
      <c r="EKZ527" s="901"/>
      <c r="ELA527" s="901"/>
      <c r="ELB527" s="901"/>
      <c r="ELC527" s="901"/>
      <c r="ELD527" s="901"/>
      <c r="ELE527" s="901"/>
      <c r="ELF527" s="901"/>
      <c r="ELG527" s="901"/>
      <c r="ELH527" s="901"/>
      <c r="ELI527" s="901"/>
      <c r="ELJ527" s="901"/>
      <c r="ELK527" s="901"/>
      <c r="ELL527" s="901"/>
      <c r="ELM527" s="901"/>
      <c r="ELN527" s="901"/>
      <c r="ELO527" s="901"/>
      <c r="ELP527" s="901"/>
      <c r="ELQ527" s="901"/>
      <c r="ELR527" s="901"/>
      <c r="ELS527" s="901"/>
      <c r="ELT527" s="901"/>
      <c r="ELU527" s="901"/>
      <c r="ELV527" s="901"/>
      <c r="ELW527" s="901"/>
      <c r="ELX527" s="901"/>
      <c r="ELY527" s="901"/>
      <c r="ELZ527" s="901"/>
      <c r="EMA527" s="901"/>
      <c r="EMB527" s="901"/>
      <c r="EMC527" s="901"/>
      <c r="EMD527" s="901"/>
      <c r="EME527" s="901"/>
      <c r="EMF527" s="901"/>
      <c r="EMG527" s="901"/>
      <c r="EMH527" s="901"/>
      <c r="EMI527" s="901"/>
      <c r="EMJ527" s="901"/>
      <c r="EMK527" s="901"/>
      <c r="EML527" s="901"/>
      <c r="EMM527" s="901"/>
      <c r="EMN527" s="901"/>
      <c r="EMO527" s="901"/>
      <c r="EMP527" s="901"/>
      <c r="EMQ527" s="901"/>
      <c r="EMR527" s="901"/>
      <c r="EMS527" s="901"/>
      <c r="EMT527" s="901"/>
      <c r="EMU527" s="901"/>
      <c r="EMV527" s="901"/>
      <c r="EMW527" s="901"/>
      <c r="EMX527" s="901"/>
      <c r="EMY527" s="901"/>
      <c r="EMZ527" s="901"/>
      <c r="ENA527" s="901"/>
      <c r="ENB527" s="901"/>
      <c r="ENC527" s="901"/>
      <c r="END527" s="901"/>
      <c r="ENE527" s="901"/>
      <c r="ENF527" s="901"/>
      <c r="ENG527" s="901"/>
      <c r="ENH527" s="901"/>
      <c r="ENI527" s="901"/>
      <c r="ENJ527" s="901"/>
      <c r="ENK527" s="901"/>
      <c r="ENL527" s="901"/>
      <c r="ENM527" s="901"/>
      <c r="ENN527" s="901"/>
      <c r="ENO527" s="901"/>
      <c r="ENP527" s="901"/>
      <c r="ENQ527" s="901"/>
      <c r="ENR527" s="901"/>
      <c r="ENS527" s="901"/>
      <c r="ENT527" s="901"/>
      <c r="ENU527" s="901"/>
      <c r="ENV527" s="901"/>
      <c r="ENW527" s="901"/>
      <c r="ENX527" s="901"/>
      <c r="ENY527" s="901"/>
      <c r="ENZ527" s="901"/>
      <c r="EOA527" s="901"/>
      <c r="EOB527" s="901"/>
      <c r="EOC527" s="901"/>
      <c r="EOD527" s="901"/>
      <c r="EOE527" s="901"/>
      <c r="EOF527" s="901"/>
      <c r="EOG527" s="901"/>
      <c r="EOH527" s="901"/>
      <c r="EOI527" s="901"/>
      <c r="EOJ527" s="901"/>
      <c r="EOK527" s="901"/>
      <c r="EOL527" s="901"/>
      <c r="EOM527" s="901"/>
      <c r="EON527" s="901"/>
      <c r="EOO527" s="901"/>
      <c r="EOP527" s="901"/>
      <c r="EOQ527" s="901"/>
      <c r="EOR527" s="901"/>
      <c r="EOS527" s="901"/>
      <c r="EOT527" s="901"/>
      <c r="EOU527" s="901"/>
      <c r="EOV527" s="901"/>
      <c r="EOW527" s="901"/>
      <c r="EOX527" s="901"/>
      <c r="EOY527" s="901"/>
      <c r="EOZ527" s="901"/>
      <c r="EPA527" s="901"/>
      <c r="EPB527" s="901"/>
      <c r="EPC527" s="901"/>
      <c r="EPD527" s="901"/>
      <c r="EPE527" s="901"/>
      <c r="EPF527" s="901"/>
      <c r="EPG527" s="901"/>
      <c r="EPH527" s="901"/>
      <c r="EPI527" s="901"/>
      <c r="EPJ527" s="901"/>
      <c r="EPK527" s="901"/>
      <c r="EPL527" s="901"/>
      <c r="EPM527" s="901"/>
      <c r="EPN527" s="901"/>
      <c r="EPO527" s="901"/>
      <c r="EPP527" s="901"/>
      <c r="EPQ527" s="901"/>
      <c r="EPR527" s="901"/>
      <c r="EPS527" s="901"/>
      <c r="EPT527" s="901"/>
      <c r="EPU527" s="901"/>
      <c r="EPV527" s="901"/>
      <c r="EPW527" s="901"/>
      <c r="EPX527" s="901"/>
      <c r="EPY527" s="901"/>
      <c r="EPZ527" s="901"/>
      <c r="EQA527" s="901"/>
      <c r="EQB527" s="901"/>
      <c r="EQC527" s="901"/>
      <c r="EQD527" s="901"/>
      <c r="EQE527" s="901"/>
      <c r="EQF527" s="901"/>
      <c r="EQG527" s="901"/>
      <c r="EQH527" s="901"/>
      <c r="EQI527" s="901"/>
      <c r="EQJ527" s="901"/>
      <c r="EQK527" s="901"/>
      <c r="EQL527" s="901"/>
      <c r="EQM527" s="901"/>
      <c r="EQN527" s="901"/>
      <c r="EQO527" s="901"/>
      <c r="EQP527" s="901"/>
      <c r="EQQ527" s="901"/>
      <c r="EQR527" s="901"/>
      <c r="EQS527" s="901"/>
      <c r="EQT527" s="901"/>
      <c r="EQU527" s="901"/>
      <c r="EQV527" s="901"/>
      <c r="EQW527" s="901"/>
      <c r="EQX527" s="901"/>
      <c r="EQY527" s="901"/>
      <c r="EQZ527" s="901"/>
      <c r="ERA527" s="901"/>
      <c r="ERB527" s="901"/>
      <c r="ERC527" s="901"/>
      <c r="ERD527" s="901"/>
      <c r="ERE527" s="901"/>
      <c r="ERF527" s="901"/>
      <c r="ERG527" s="901"/>
      <c r="ERH527" s="901"/>
      <c r="ERI527" s="901"/>
      <c r="ERJ527" s="901"/>
      <c r="ERK527" s="901"/>
      <c r="ERL527" s="901"/>
      <c r="ERM527" s="901"/>
      <c r="ERN527" s="901"/>
      <c r="ERO527" s="901"/>
      <c r="ERP527" s="901"/>
      <c r="ERQ527" s="901"/>
      <c r="ERR527" s="901"/>
      <c r="ERS527" s="901"/>
      <c r="ERT527" s="901"/>
      <c r="ERU527" s="901"/>
      <c r="ERV527" s="901"/>
      <c r="ERW527" s="901"/>
      <c r="ERX527" s="901"/>
      <c r="ERY527" s="901"/>
      <c r="ERZ527" s="901"/>
      <c r="ESA527" s="901"/>
      <c r="ESB527" s="901"/>
      <c r="ESC527" s="901"/>
      <c r="ESD527" s="901"/>
      <c r="ESE527" s="901"/>
      <c r="ESF527" s="901"/>
      <c r="ESG527" s="901"/>
      <c r="ESH527" s="901"/>
      <c r="ESI527" s="901"/>
      <c r="ESJ527" s="901"/>
      <c r="ESK527" s="901"/>
      <c r="ESL527" s="901"/>
      <c r="ESM527" s="901"/>
      <c r="ESN527" s="901"/>
      <c r="ESO527" s="901"/>
      <c r="ESP527" s="901"/>
      <c r="ESQ527" s="901"/>
      <c r="ESR527" s="901"/>
      <c r="ESS527" s="901"/>
      <c r="EST527" s="901"/>
      <c r="ESU527" s="901"/>
      <c r="ESV527" s="901"/>
      <c r="ESW527" s="901"/>
      <c r="ESX527" s="901"/>
      <c r="ESY527" s="901"/>
      <c r="ESZ527" s="901"/>
      <c r="ETA527" s="901"/>
      <c r="ETB527" s="901"/>
      <c r="ETC527" s="901"/>
      <c r="ETD527" s="901"/>
      <c r="ETE527" s="901"/>
      <c r="ETF527" s="901"/>
      <c r="ETG527" s="901"/>
      <c r="ETH527" s="901"/>
      <c r="ETI527" s="901"/>
      <c r="ETJ527" s="901"/>
      <c r="ETK527" s="901"/>
      <c r="ETL527" s="901"/>
      <c r="ETM527" s="901"/>
      <c r="ETN527" s="901"/>
      <c r="ETO527" s="901"/>
      <c r="ETP527" s="901"/>
      <c r="ETQ527" s="901"/>
      <c r="ETR527" s="901"/>
      <c r="ETS527" s="901"/>
      <c r="ETT527" s="901"/>
      <c r="ETU527" s="901"/>
      <c r="ETV527" s="901"/>
      <c r="ETW527" s="901"/>
      <c r="ETX527" s="901"/>
      <c r="ETY527" s="901"/>
      <c r="ETZ527" s="901"/>
      <c r="EUA527" s="901"/>
      <c r="EUB527" s="901"/>
      <c r="EUC527" s="901"/>
      <c r="EUD527" s="901"/>
      <c r="EUE527" s="901"/>
      <c r="EUF527" s="901"/>
      <c r="EUG527" s="901"/>
      <c r="EUH527" s="901"/>
      <c r="EUI527" s="901"/>
      <c r="EUJ527" s="901"/>
      <c r="EUK527" s="901"/>
      <c r="EUL527" s="901"/>
      <c r="EUM527" s="901"/>
      <c r="EUN527" s="901"/>
      <c r="EUO527" s="901"/>
      <c r="EUP527" s="901"/>
      <c r="EUQ527" s="901"/>
      <c r="EUR527" s="901"/>
      <c r="EUS527" s="901"/>
      <c r="EUT527" s="901"/>
      <c r="EUU527" s="901"/>
      <c r="EUV527" s="901"/>
      <c r="EUW527" s="901"/>
      <c r="EUX527" s="901"/>
      <c r="EUY527" s="901"/>
      <c r="EUZ527" s="901"/>
      <c r="EVA527" s="901"/>
      <c r="EVB527" s="901"/>
      <c r="EVC527" s="901"/>
      <c r="EVD527" s="901"/>
      <c r="EVE527" s="901"/>
      <c r="EVF527" s="901"/>
      <c r="EVG527" s="901"/>
      <c r="EVH527" s="901"/>
      <c r="EVI527" s="901"/>
      <c r="EVJ527" s="901"/>
      <c r="EVK527" s="901"/>
      <c r="EVL527" s="901"/>
      <c r="EVM527" s="901"/>
      <c r="EVN527" s="901"/>
      <c r="EVO527" s="901"/>
      <c r="EVP527" s="901"/>
      <c r="EVQ527" s="901"/>
      <c r="EVR527" s="901"/>
      <c r="EVS527" s="901"/>
      <c r="EVT527" s="901"/>
      <c r="EVU527" s="901"/>
      <c r="EVV527" s="901"/>
      <c r="EVW527" s="901"/>
      <c r="EVX527" s="901"/>
      <c r="EVY527" s="901"/>
      <c r="EVZ527" s="901"/>
      <c r="EWA527" s="901"/>
      <c r="EWB527" s="901"/>
      <c r="EWC527" s="901"/>
      <c r="EWD527" s="901"/>
      <c r="EWE527" s="901"/>
      <c r="EWF527" s="901"/>
      <c r="EWG527" s="901"/>
      <c r="EWH527" s="901"/>
      <c r="EWI527" s="901"/>
      <c r="EWJ527" s="901"/>
      <c r="EWK527" s="901"/>
      <c r="EWL527" s="901"/>
      <c r="EWM527" s="901"/>
      <c r="EWN527" s="901"/>
      <c r="EWO527" s="901"/>
      <c r="EWP527" s="901"/>
      <c r="EWQ527" s="901"/>
      <c r="EWR527" s="901"/>
      <c r="EWS527" s="901"/>
      <c r="EWT527" s="901"/>
      <c r="EWU527" s="901"/>
      <c r="EWV527" s="901"/>
      <c r="EWW527" s="901"/>
      <c r="EWX527" s="901"/>
      <c r="EWY527" s="901"/>
      <c r="EWZ527" s="901"/>
      <c r="EXA527" s="901"/>
      <c r="EXB527" s="901"/>
      <c r="EXC527" s="901"/>
      <c r="EXD527" s="901"/>
      <c r="EXE527" s="901"/>
      <c r="EXF527" s="901"/>
      <c r="EXG527" s="901"/>
      <c r="EXH527" s="901"/>
      <c r="EXI527" s="901"/>
      <c r="EXJ527" s="901"/>
      <c r="EXK527" s="901"/>
      <c r="EXL527" s="901"/>
      <c r="EXM527" s="901"/>
      <c r="EXN527" s="901"/>
      <c r="EXO527" s="901"/>
      <c r="EXP527" s="901"/>
      <c r="EXQ527" s="901"/>
      <c r="EXR527" s="901"/>
      <c r="EXS527" s="901"/>
      <c r="EXT527" s="901"/>
      <c r="EXU527" s="901"/>
      <c r="EXV527" s="901"/>
      <c r="EXW527" s="901"/>
      <c r="EXX527" s="901"/>
      <c r="EXY527" s="901"/>
      <c r="EXZ527" s="901"/>
      <c r="EYA527" s="901"/>
      <c r="EYB527" s="901"/>
      <c r="EYC527" s="901"/>
      <c r="EYD527" s="901"/>
      <c r="EYE527" s="901"/>
      <c r="EYF527" s="901"/>
      <c r="EYG527" s="901"/>
      <c r="EYH527" s="901"/>
      <c r="EYI527" s="901"/>
      <c r="EYJ527" s="901"/>
      <c r="EYK527" s="901"/>
      <c r="EYL527" s="901"/>
      <c r="EYM527" s="901"/>
      <c r="EYN527" s="901"/>
      <c r="EYO527" s="901"/>
      <c r="EYP527" s="901"/>
      <c r="EYQ527" s="901"/>
      <c r="EYR527" s="901"/>
      <c r="EYS527" s="901"/>
      <c r="EYT527" s="901"/>
      <c r="EYU527" s="901"/>
      <c r="EYV527" s="901"/>
      <c r="EYW527" s="901"/>
      <c r="EYX527" s="901"/>
      <c r="EYY527" s="901"/>
      <c r="EYZ527" s="901"/>
      <c r="EZA527" s="901"/>
      <c r="EZB527" s="901"/>
      <c r="EZC527" s="901"/>
      <c r="EZD527" s="901"/>
      <c r="EZE527" s="901"/>
      <c r="EZF527" s="901"/>
      <c r="EZG527" s="901"/>
      <c r="EZH527" s="901"/>
      <c r="EZI527" s="901"/>
      <c r="EZJ527" s="901"/>
      <c r="EZK527" s="901"/>
      <c r="EZL527" s="901"/>
      <c r="EZM527" s="901"/>
      <c r="EZN527" s="901"/>
      <c r="EZO527" s="901"/>
      <c r="EZP527" s="901"/>
      <c r="EZQ527" s="901"/>
      <c r="EZR527" s="901"/>
      <c r="EZS527" s="901"/>
      <c r="EZT527" s="901"/>
      <c r="EZU527" s="901"/>
      <c r="EZV527" s="901"/>
      <c r="EZW527" s="901"/>
      <c r="EZX527" s="901"/>
      <c r="EZY527" s="901"/>
      <c r="EZZ527" s="901"/>
      <c r="FAA527" s="901"/>
      <c r="FAB527" s="901"/>
      <c r="FAC527" s="901"/>
      <c r="FAD527" s="901"/>
      <c r="FAE527" s="901"/>
      <c r="FAF527" s="901"/>
      <c r="FAG527" s="901"/>
      <c r="FAH527" s="901"/>
      <c r="FAI527" s="901"/>
      <c r="FAJ527" s="901"/>
      <c r="FAK527" s="901"/>
      <c r="FAL527" s="901"/>
      <c r="FAM527" s="901"/>
      <c r="FAN527" s="901"/>
      <c r="FAO527" s="901"/>
      <c r="FAP527" s="901"/>
      <c r="FAQ527" s="901"/>
      <c r="FAR527" s="901"/>
      <c r="FAS527" s="901"/>
      <c r="FAT527" s="901"/>
      <c r="FAU527" s="901"/>
      <c r="FAV527" s="901"/>
      <c r="FAW527" s="901"/>
      <c r="FAX527" s="901"/>
      <c r="FAY527" s="901"/>
      <c r="FAZ527" s="901"/>
      <c r="FBA527" s="901"/>
      <c r="FBB527" s="901"/>
      <c r="FBC527" s="901"/>
      <c r="FBD527" s="901"/>
      <c r="FBE527" s="901"/>
      <c r="FBF527" s="901"/>
      <c r="FBG527" s="901"/>
      <c r="FBH527" s="901"/>
      <c r="FBI527" s="901"/>
      <c r="FBJ527" s="901"/>
      <c r="FBK527" s="901"/>
      <c r="FBL527" s="901"/>
      <c r="FBM527" s="901"/>
      <c r="FBN527" s="901"/>
      <c r="FBO527" s="901"/>
      <c r="FBP527" s="901"/>
      <c r="FBQ527" s="901"/>
      <c r="FBR527" s="901"/>
      <c r="FBS527" s="901"/>
      <c r="FBT527" s="901"/>
      <c r="FBU527" s="901"/>
      <c r="FBV527" s="901"/>
      <c r="FBW527" s="901"/>
      <c r="FBX527" s="901"/>
      <c r="FBY527" s="901"/>
      <c r="FBZ527" s="901"/>
      <c r="FCA527" s="901"/>
      <c r="FCB527" s="901"/>
      <c r="FCC527" s="901"/>
      <c r="FCD527" s="901"/>
      <c r="FCE527" s="901"/>
      <c r="FCF527" s="901"/>
      <c r="FCG527" s="901"/>
      <c r="FCH527" s="901"/>
      <c r="FCI527" s="901"/>
      <c r="FCJ527" s="901"/>
      <c r="FCK527" s="901"/>
      <c r="FCL527" s="901"/>
      <c r="FCM527" s="901"/>
      <c r="FCN527" s="901"/>
      <c r="FCO527" s="901"/>
      <c r="FCP527" s="901"/>
      <c r="FCQ527" s="901"/>
      <c r="FCR527" s="901"/>
      <c r="FCS527" s="901"/>
      <c r="FCT527" s="901"/>
      <c r="FCU527" s="901"/>
      <c r="FCV527" s="901"/>
      <c r="FCW527" s="901"/>
      <c r="FCX527" s="901"/>
      <c r="FCY527" s="901"/>
      <c r="FCZ527" s="901"/>
      <c r="FDA527" s="901"/>
      <c r="FDB527" s="901"/>
      <c r="FDC527" s="901"/>
      <c r="FDD527" s="901"/>
      <c r="FDE527" s="901"/>
      <c r="FDF527" s="901"/>
      <c r="FDG527" s="901"/>
      <c r="FDH527" s="901"/>
      <c r="FDI527" s="901"/>
      <c r="FDJ527" s="901"/>
      <c r="FDK527" s="901"/>
      <c r="FDL527" s="901"/>
      <c r="FDM527" s="901"/>
      <c r="FDN527" s="901"/>
      <c r="FDO527" s="901"/>
      <c r="FDP527" s="901"/>
      <c r="FDQ527" s="901"/>
      <c r="FDR527" s="901"/>
      <c r="FDS527" s="901"/>
      <c r="FDT527" s="901"/>
      <c r="FDU527" s="901"/>
      <c r="FDV527" s="901"/>
      <c r="FDW527" s="901"/>
      <c r="FDX527" s="901"/>
      <c r="FDY527" s="901"/>
      <c r="FDZ527" s="901"/>
      <c r="FEA527" s="901"/>
      <c r="FEB527" s="901"/>
      <c r="FEC527" s="901"/>
      <c r="FED527" s="901"/>
      <c r="FEE527" s="901"/>
      <c r="FEF527" s="901"/>
      <c r="FEG527" s="901"/>
      <c r="FEH527" s="901"/>
      <c r="FEI527" s="901"/>
      <c r="FEJ527" s="901"/>
      <c r="FEK527" s="901"/>
      <c r="FEL527" s="901"/>
      <c r="FEM527" s="901"/>
      <c r="FEN527" s="901"/>
      <c r="FEO527" s="901"/>
      <c r="FEP527" s="901"/>
      <c r="FEQ527" s="901"/>
      <c r="FER527" s="901"/>
      <c r="FES527" s="901"/>
      <c r="FET527" s="901"/>
      <c r="FEU527" s="901"/>
      <c r="FEV527" s="901"/>
      <c r="FEW527" s="901"/>
      <c r="FEX527" s="901"/>
      <c r="FEY527" s="901"/>
      <c r="FEZ527" s="901"/>
      <c r="FFA527" s="901"/>
      <c r="FFB527" s="901"/>
      <c r="FFC527" s="901"/>
      <c r="FFD527" s="901"/>
      <c r="FFE527" s="901"/>
      <c r="FFF527" s="901"/>
      <c r="FFG527" s="901"/>
      <c r="FFH527" s="901"/>
      <c r="FFI527" s="901"/>
      <c r="FFJ527" s="901"/>
      <c r="FFK527" s="901"/>
      <c r="FFL527" s="901"/>
      <c r="FFM527" s="901"/>
      <c r="FFN527" s="901"/>
      <c r="FFO527" s="901"/>
      <c r="FFP527" s="901"/>
      <c r="FFQ527" s="901"/>
      <c r="FFR527" s="901"/>
      <c r="FFS527" s="901"/>
      <c r="FFT527" s="901"/>
      <c r="FFU527" s="901"/>
      <c r="FFV527" s="901"/>
      <c r="FFW527" s="901"/>
      <c r="FFX527" s="901"/>
      <c r="FFY527" s="901"/>
      <c r="FFZ527" s="901"/>
      <c r="FGA527" s="901"/>
      <c r="FGB527" s="901"/>
      <c r="FGC527" s="901"/>
      <c r="FGD527" s="901"/>
      <c r="FGE527" s="901"/>
      <c r="FGF527" s="901"/>
      <c r="FGG527" s="901"/>
      <c r="FGH527" s="901"/>
      <c r="FGI527" s="901"/>
      <c r="FGJ527" s="901"/>
      <c r="FGK527" s="901"/>
      <c r="FGL527" s="901"/>
      <c r="FGM527" s="901"/>
      <c r="FGN527" s="901"/>
      <c r="FGO527" s="901"/>
      <c r="FGP527" s="901"/>
      <c r="FGQ527" s="901"/>
      <c r="FGR527" s="901"/>
      <c r="FGS527" s="901"/>
      <c r="FGT527" s="901"/>
      <c r="FGU527" s="901"/>
      <c r="FGV527" s="901"/>
      <c r="FGW527" s="901"/>
      <c r="FGX527" s="901"/>
      <c r="FGY527" s="901"/>
      <c r="FGZ527" s="901"/>
      <c r="FHA527" s="901"/>
      <c r="FHB527" s="901"/>
      <c r="FHC527" s="901"/>
      <c r="FHD527" s="901"/>
      <c r="FHE527" s="901"/>
      <c r="FHF527" s="901"/>
      <c r="FHG527" s="901"/>
      <c r="FHH527" s="901"/>
      <c r="FHI527" s="901"/>
      <c r="FHJ527" s="901"/>
      <c r="FHK527" s="901"/>
      <c r="FHL527" s="901"/>
      <c r="FHM527" s="901"/>
      <c r="FHN527" s="901"/>
      <c r="FHO527" s="901"/>
      <c r="FHP527" s="901"/>
      <c r="FHQ527" s="901"/>
      <c r="FHR527" s="901"/>
      <c r="FHS527" s="901"/>
      <c r="FHT527" s="901"/>
      <c r="FHU527" s="901"/>
      <c r="FHV527" s="901"/>
      <c r="FHW527" s="901"/>
      <c r="FHX527" s="901"/>
      <c r="FHY527" s="901"/>
      <c r="FHZ527" s="901"/>
      <c r="FIA527" s="901"/>
      <c r="FIB527" s="901"/>
      <c r="FIC527" s="901"/>
      <c r="FID527" s="901"/>
      <c r="FIE527" s="901"/>
      <c r="FIF527" s="901"/>
      <c r="FIG527" s="901"/>
      <c r="FIH527" s="901"/>
      <c r="FII527" s="901"/>
      <c r="FIJ527" s="901"/>
      <c r="FIK527" s="901"/>
      <c r="FIL527" s="901"/>
      <c r="FIM527" s="901"/>
      <c r="FIN527" s="901"/>
      <c r="FIO527" s="901"/>
      <c r="FIP527" s="901"/>
      <c r="FIQ527" s="901"/>
      <c r="FIR527" s="901"/>
      <c r="FIS527" s="901"/>
      <c r="FIT527" s="901"/>
      <c r="FIU527" s="901"/>
      <c r="FIV527" s="901"/>
      <c r="FIW527" s="901"/>
      <c r="FIX527" s="901"/>
      <c r="FIY527" s="901"/>
      <c r="FIZ527" s="901"/>
      <c r="FJA527" s="901"/>
      <c r="FJB527" s="901"/>
      <c r="FJC527" s="901"/>
      <c r="FJD527" s="901"/>
      <c r="FJE527" s="901"/>
      <c r="FJF527" s="901"/>
      <c r="FJG527" s="901"/>
      <c r="FJH527" s="901"/>
      <c r="FJI527" s="901"/>
      <c r="FJJ527" s="901"/>
      <c r="FJK527" s="901"/>
      <c r="FJL527" s="901"/>
      <c r="FJM527" s="901"/>
      <c r="FJN527" s="901"/>
      <c r="FJO527" s="901"/>
      <c r="FJP527" s="901"/>
      <c r="FJQ527" s="901"/>
      <c r="FJR527" s="901"/>
      <c r="FJS527" s="901"/>
      <c r="FJT527" s="901"/>
      <c r="FJU527" s="901"/>
      <c r="FJV527" s="901"/>
      <c r="FJW527" s="901"/>
      <c r="FJX527" s="901"/>
      <c r="FJY527" s="901"/>
      <c r="FJZ527" s="901"/>
      <c r="FKA527" s="901"/>
      <c r="FKB527" s="901"/>
      <c r="FKC527" s="901"/>
      <c r="FKD527" s="901"/>
      <c r="FKE527" s="901"/>
      <c r="FKF527" s="901"/>
      <c r="FKG527" s="901"/>
      <c r="FKH527" s="901"/>
      <c r="FKI527" s="901"/>
      <c r="FKJ527" s="901"/>
      <c r="FKK527" s="901"/>
      <c r="FKL527" s="901"/>
      <c r="FKM527" s="901"/>
      <c r="FKN527" s="901"/>
      <c r="FKO527" s="901"/>
      <c r="FKP527" s="901"/>
      <c r="FKQ527" s="901"/>
      <c r="FKR527" s="901"/>
      <c r="FKS527" s="901"/>
      <c r="FKT527" s="901"/>
      <c r="FKU527" s="901"/>
      <c r="FKV527" s="901"/>
      <c r="FKW527" s="901"/>
      <c r="FKX527" s="901"/>
      <c r="FKY527" s="901"/>
      <c r="FKZ527" s="901"/>
      <c r="FLA527" s="901"/>
      <c r="FLB527" s="901"/>
      <c r="FLC527" s="901"/>
      <c r="FLD527" s="901"/>
      <c r="FLE527" s="901"/>
      <c r="FLF527" s="901"/>
      <c r="FLG527" s="901"/>
      <c r="FLH527" s="901"/>
      <c r="FLI527" s="901"/>
      <c r="FLJ527" s="901"/>
      <c r="FLK527" s="901"/>
      <c r="FLL527" s="901"/>
      <c r="FLM527" s="901"/>
      <c r="FLN527" s="901"/>
      <c r="FLO527" s="901"/>
      <c r="FLP527" s="901"/>
      <c r="FLQ527" s="901"/>
      <c r="FLR527" s="901"/>
      <c r="FLS527" s="901"/>
      <c r="FLT527" s="901"/>
      <c r="FLU527" s="901"/>
      <c r="FLV527" s="901"/>
      <c r="FLW527" s="901"/>
      <c r="FLX527" s="901"/>
      <c r="FLY527" s="901"/>
      <c r="FLZ527" s="901"/>
      <c r="FMA527" s="901"/>
      <c r="FMB527" s="901"/>
      <c r="FMC527" s="901"/>
      <c r="FMD527" s="901"/>
      <c r="FME527" s="901"/>
      <c r="FMF527" s="901"/>
      <c r="FMG527" s="901"/>
      <c r="FMH527" s="901"/>
      <c r="FMI527" s="901"/>
      <c r="FMJ527" s="901"/>
      <c r="FMK527" s="901"/>
      <c r="FML527" s="901"/>
      <c r="FMM527" s="901"/>
      <c r="FMN527" s="901"/>
      <c r="FMO527" s="901"/>
      <c r="FMP527" s="901"/>
      <c r="FMQ527" s="901"/>
      <c r="FMR527" s="901"/>
      <c r="FMS527" s="901"/>
      <c r="FMT527" s="901"/>
      <c r="FMU527" s="901"/>
      <c r="FMV527" s="901"/>
      <c r="FMW527" s="901"/>
      <c r="FMX527" s="901"/>
      <c r="FMY527" s="901"/>
      <c r="FMZ527" s="901"/>
      <c r="FNA527" s="901"/>
      <c r="FNB527" s="901"/>
      <c r="FNC527" s="901"/>
      <c r="FND527" s="901"/>
      <c r="FNE527" s="901"/>
      <c r="FNF527" s="901"/>
      <c r="FNG527" s="901"/>
      <c r="FNH527" s="901"/>
      <c r="FNI527" s="901"/>
      <c r="FNJ527" s="901"/>
      <c r="FNK527" s="901"/>
      <c r="FNL527" s="901"/>
      <c r="FNM527" s="901"/>
      <c r="FNN527" s="901"/>
      <c r="FNO527" s="901"/>
      <c r="FNP527" s="901"/>
      <c r="FNQ527" s="901"/>
      <c r="FNR527" s="901"/>
      <c r="FNS527" s="901"/>
      <c r="FNT527" s="901"/>
      <c r="FNU527" s="901"/>
      <c r="FNV527" s="901"/>
      <c r="FNW527" s="901"/>
      <c r="FNX527" s="901"/>
      <c r="FNY527" s="901"/>
      <c r="FNZ527" s="901"/>
      <c r="FOA527" s="901"/>
      <c r="FOB527" s="901"/>
      <c r="FOC527" s="901"/>
      <c r="FOD527" s="901"/>
      <c r="FOE527" s="901"/>
      <c r="FOF527" s="901"/>
      <c r="FOG527" s="901"/>
      <c r="FOH527" s="901"/>
      <c r="FOI527" s="901"/>
      <c r="FOJ527" s="901"/>
      <c r="FOK527" s="901"/>
      <c r="FOL527" s="901"/>
      <c r="FOM527" s="901"/>
      <c r="FON527" s="901"/>
      <c r="FOO527" s="901"/>
      <c r="FOP527" s="901"/>
      <c r="FOQ527" s="901"/>
      <c r="FOR527" s="901"/>
      <c r="FOS527" s="901"/>
      <c r="FOT527" s="901"/>
      <c r="FOU527" s="901"/>
      <c r="FOV527" s="901"/>
      <c r="FOW527" s="901"/>
      <c r="FOX527" s="901"/>
      <c r="FOY527" s="901"/>
      <c r="FOZ527" s="901"/>
      <c r="FPA527" s="901"/>
      <c r="FPB527" s="901"/>
      <c r="FPC527" s="901"/>
      <c r="FPD527" s="901"/>
      <c r="FPE527" s="901"/>
      <c r="FPF527" s="901"/>
      <c r="FPG527" s="901"/>
      <c r="FPH527" s="901"/>
      <c r="FPI527" s="901"/>
      <c r="FPJ527" s="901"/>
      <c r="FPK527" s="901"/>
      <c r="FPL527" s="901"/>
      <c r="FPM527" s="901"/>
      <c r="FPN527" s="901"/>
      <c r="FPO527" s="901"/>
      <c r="FPP527" s="901"/>
      <c r="FPQ527" s="901"/>
      <c r="FPR527" s="901"/>
      <c r="FPS527" s="901"/>
      <c r="FPT527" s="901"/>
      <c r="FPU527" s="901"/>
      <c r="FPV527" s="901"/>
      <c r="FPW527" s="901"/>
      <c r="FPX527" s="901"/>
      <c r="FPY527" s="901"/>
      <c r="FPZ527" s="901"/>
      <c r="FQA527" s="901"/>
      <c r="FQB527" s="901"/>
      <c r="FQC527" s="901"/>
      <c r="FQD527" s="901"/>
      <c r="FQE527" s="901"/>
      <c r="FQF527" s="901"/>
      <c r="FQG527" s="901"/>
      <c r="FQH527" s="901"/>
      <c r="FQI527" s="901"/>
      <c r="FQJ527" s="901"/>
      <c r="FQK527" s="901"/>
      <c r="FQL527" s="901"/>
      <c r="FQM527" s="901"/>
      <c r="FQN527" s="901"/>
      <c r="FQO527" s="901"/>
      <c r="FQP527" s="901"/>
      <c r="FQQ527" s="901"/>
      <c r="FQR527" s="901"/>
      <c r="FQS527" s="901"/>
      <c r="FQT527" s="901"/>
      <c r="FQU527" s="901"/>
      <c r="FQV527" s="901"/>
      <c r="FQW527" s="901"/>
      <c r="FQX527" s="901"/>
      <c r="FQY527" s="901"/>
      <c r="FQZ527" s="901"/>
      <c r="FRA527" s="901"/>
      <c r="FRB527" s="901"/>
      <c r="FRC527" s="901"/>
      <c r="FRD527" s="901"/>
      <c r="FRE527" s="901"/>
      <c r="FRF527" s="901"/>
      <c r="FRG527" s="901"/>
      <c r="FRH527" s="901"/>
      <c r="FRI527" s="901"/>
      <c r="FRJ527" s="901"/>
      <c r="FRK527" s="901"/>
      <c r="FRL527" s="901"/>
      <c r="FRM527" s="901"/>
      <c r="FRN527" s="901"/>
      <c r="FRO527" s="901"/>
      <c r="FRP527" s="901"/>
      <c r="FRQ527" s="901"/>
      <c r="FRR527" s="901"/>
      <c r="FRS527" s="901"/>
      <c r="FRT527" s="901"/>
      <c r="FRU527" s="901"/>
      <c r="FRV527" s="901"/>
      <c r="FRW527" s="901"/>
      <c r="FRX527" s="901"/>
      <c r="FRY527" s="901"/>
      <c r="FRZ527" s="901"/>
      <c r="FSA527" s="901"/>
      <c r="FSB527" s="901"/>
      <c r="FSC527" s="901"/>
      <c r="FSD527" s="901"/>
      <c r="FSE527" s="901"/>
      <c r="FSF527" s="901"/>
      <c r="FSG527" s="901"/>
      <c r="FSH527" s="901"/>
      <c r="FSI527" s="901"/>
      <c r="FSJ527" s="901"/>
      <c r="FSK527" s="901"/>
      <c r="FSL527" s="901"/>
      <c r="FSM527" s="901"/>
      <c r="FSN527" s="901"/>
      <c r="FSO527" s="901"/>
      <c r="FSP527" s="901"/>
      <c r="FSQ527" s="901"/>
      <c r="FSR527" s="901"/>
      <c r="FSS527" s="901"/>
      <c r="FST527" s="901"/>
      <c r="FSU527" s="901"/>
      <c r="FSV527" s="901"/>
      <c r="FSW527" s="901"/>
      <c r="FSX527" s="901"/>
      <c r="FSY527" s="901"/>
      <c r="FSZ527" s="901"/>
      <c r="FTA527" s="901"/>
      <c r="FTB527" s="901"/>
      <c r="FTC527" s="901"/>
      <c r="FTD527" s="901"/>
      <c r="FTE527" s="901"/>
      <c r="FTF527" s="901"/>
      <c r="FTG527" s="901"/>
      <c r="FTH527" s="901"/>
      <c r="FTI527" s="901"/>
      <c r="FTJ527" s="901"/>
      <c r="FTK527" s="901"/>
      <c r="FTL527" s="901"/>
      <c r="FTM527" s="901"/>
      <c r="FTN527" s="901"/>
      <c r="FTO527" s="901"/>
      <c r="FTP527" s="901"/>
      <c r="FTQ527" s="901"/>
      <c r="FTR527" s="901"/>
      <c r="FTS527" s="901"/>
      <c r="FTT527" s="901"/>
      <c r="FTU527" s="901"/>
      <c r="FTV527" s="901"/>
      <c r="FTW527" s="901"/>
      <c r="FTX527" s="901"/>
      <c r="FTY527" s="901"/>
      <c r="FTZ527" s="901"/>
      <c r="FUA527" s="901"/>
      <c r="FUB527" s="901"/>
      <c r="FUC527" s="901"/>
      <c r="FUD527" s="901"/>
      <c r="FUE527" s="901"/>
      <c r="FUF527" s="901"/>
      <c r="FUG527" s="901"/>
      <c r="FUH527" s="901"/>
      <c r="FUI527" s="901"/>
      <c r="FUJ527" s="901"/>
      <c r="FUK527" s="901"/>
      <c r="FUL527" s="901"/>
      <c r="FUM527" s="901"/>
      <c r="FUN527" s="901"/>
      <c r="FUO527" s="901"/>
      <c r="FUP527" s="901"/>
      <c r="FUQ527" s="901"/>
      <c r="FUR527" s="901"/>
      <c r="FUS527" s="901"/>
      <c r="FUT527" s="901"/>
      <c r="FUU527" s="901"/>
      <c r="FUV527" s="901"/>
      <c r="FUW527" s="901"/>
      <c r="FUX527" s="901"/>
      <c r="FUY527" s="901"/>
      <c r="FUZ527" s="901"/>
      <c r="FVA527" s="901"/>
      <c r="FVB527" s="901"/>
      <c r="FVC527" s="901"/>
      <c r="FVD527" s="901"/>
      <c r="FVE527" s="901"/>
      <c r="FVF527" s="901"/>
      <c r="FVG527" s="901"/>
      <c r="FVH527" s="901"/>
      <c r="FVI527" s="901"/>
      <c r="FVJ527" s="901"/>
      <c r="FVK527" s="901"/>
      <c r="FVL527" s="901"/>
      <c r="FVM527" s="901"/>
      <c r="FVN527" s="901"/>
      <c r="FVO527" s="901"/>
      <c r="FVP527" s="901"/>
      <c r="FVQ527" s="901"/>
      <c r="FVR527" s="901"/>
      <c r="FVS527" s="901"/>
      <c r="FVT527" s="901"/>
      <c r="FVU527" s="901"/>
      <c r="FVV527" s="901"/>
      <c r="FVW527" s="901"/>
      <c r="FVX527" s="901"/>
      <c r="FVY527" s="901"/>
      <c r="FVZ527" s="901"/>
      <c r="FWA527" s="901"/>
      <c r="FWB527" s="901"/>
      <c r="FWC527" s="901"/>
      <c r="FWD527" s="901"/>
      <c r="FWE527" s="901"/>
      <c r="FWF527" s="901"/>
      <c r="FWG527" s="901"/>
      <c r="FWH527" s="901"/>
      <c r="FWI527" s="901"/>
      <c r="FWJ527" s="901"/>
      <c r="FWK527" s="901"/>
      <c r="FWL527" s="901"/>
      <c r="FWM527" s="901"/>
      <c r="FWN527" s="901"/>
      <c r="FWO527" s="901"/>
      <c r="FWP527" s="901"/>
      <c r="FWQ527" s="901"/>
      <c r="FWR527" s="901"/>
      <c r="FWS527" s="901"/>
      <c r="FWT527" s="901"/>
      <c r="FWU527" s="901"/>
      <c r="FWV527" s="901"/>
      <c r="FWW527" s="901"/>
      <c r="FWX527" s="901"/>
      <c r="FWY527" s="901"/>
      <c r="FWZ527" s="901"/>
      <c r="FXA527" s="901"/>
      <c r="FXB527" s="901"/>
      <c r="FXC527" s="901"/>
      <c r="FXD527" s="901"/>
      <c r="FXE527" s="901"/>
      <c r="FXF527" s="901"/>
      <c r="FXG527" s="901"/>
      <c r="FXH527" s="901"/>
      <c r="FXI527" s="901"/>
      <c r="FXJ527" s="901"/>
      <c r="FXK527" s="901"/>
      <c r="FXL527" s="901"/>
      <c r="FXM527" s="901"/>
      <c r="FXN527" s="901"/>
      <c r="FXO527" s="901"/>
      <c r="FXP527" s="901"/>
      <c r="FXQ527" s="901"/>
      <c r="FXR527" s="901"/>
      <c r="FXS527" s="901"/>
      <c r="FXT527" s="901"/>
      <c r="FXU527" s="901"/>
      <c r="FXV527" s="901"/>
      <c r="FXW527" s="901"/>
      <c r="FXX527" s="901"/>
      <c r="FXY527" s="901"/>
      <c r="FXZ527" s="901"/>
      <c r="FYA527" s="901"/>
      <c r="FYB527" s="901"/>
      <c r="FYC527" s="901"/>
      <c r="FYD527" s="901"/>
      <c r="FYE527" s="901"/>
      <c r="FYF527" s="901"/>
      <c r="FYG527" s="901"/>
      <c r="FYH527" s="901"/>
      <c r="FYI527" s="901"/>
      <c r="FYJ527" s="901"/>
      <c r="FYK527" s="901"/>
      <c r="FYL527" s="901"/>
      <c r="FYM527" s="901"/>
      <c r="FYN527" s="901"/>
      <c r="FYO527" s="901"/>
      <c r="FYP527" s="901"/>
      <c r="FYQ527" s="901"/>
      <c r="FYR527" s="901"/>
      <c r="FYS527" s="901"/>
      <c r="FYT527" s="901"/>
      <c r="FYU527" s="901"/>
      <c r="FYV527" s="901"/>
      <c r="FYW527" s="901"/>
      <c r="FYX527" s="901"/>
      <c r="FYY527" s="901"/>
      <c r="FYZ527" s="901"/>
      <c r="FZA527" s="901"/>
      <c r="FZB527" s="901"/>
      <c r="FZC527" s="901"/>
      <c r="FZD527" s="901"/>
      <c r="FZE527" s="901"/>
      <c r="FZF527" s="901"/>
      <c r="FZG527" s="901"/>
      <c r="FZH527" s="901"/>
      <c r="FZI527" s="901"/>
      <c r="FZJ527" s="901"/>
      <c r="FZK527" s="901"/>
      <c r="FZL527" s="901"/>
      <c r="FZM527" s="901"/>
      <c r="FZN527" s="901"/>
      <c r="FZO527" s="901"/>
      <c r="FZP527" s="901"/>
      <c r="FZQ527" s="901"/>
      <c r="FZR527" s="901"/>
      <c r="FZS527" s="901"/>
      <c r="FZT527" s="901"/>
      <c r="FZU527" s="901"/>
      <c r="FZV527" s="901"/>
      <c r="FZW527" s="901"/>
      <c r="FZX527" s="901"/>
      <c r="FZY527" s="901"/>
      <c r="FZZ527" s="901"/>
      <c r="GAA527" s="901"/>
      <c r="GAB527" s="901"/>
      <c r="GAC527" s="901"/>
      <c r="GAD527" s="901"/>
      <c r="GAE527" s="901"/>
      <c r="GAF527" s="901"/>
      <c r="GAG527" s="901"/>
      <c r="GAH527" s="901"/>
      <c r="GAI527" s="901"/>
      <c r="GAJ527" s="901"/>
      <c r="GAK527" s="901"/>
      <c r="GAL527" s="901"/>
      <c r="GAM527" s="901"/>
      <c r="GAN527" s="901"/>
      <c r="GAO527" s="901"/>
      <c r="GAP527" s="901"/>
      <c r="GAQ527" s="901"/>
      <c r="GAR527" s="901"/>
      <c r="GAS527" s="901"/>
      <c r="GAT527" s="901"/>
      <c r="GAU527" s="901"/>
      <c r="GAV527" s="901"/>
      <c r="GAW527" s="901"/>
      <c r="GAX527" s="901"/>
      <c r="GAY527" s="901"/>
      <c r="GAZ527" s="901"/>
      <c r="GBA527" s="901"/>
      <c r="GBB527" s="901"/>
      <c r="GBC527" s="901"/>
      <c r="GBD527" s="901"/>
      <c r="GBE527" s="901"/>
      <c r="GBF527" s="901"/>
      <c r="GBG527" s="901"/>
      <c r="GBH527" s="901"/>
      <c r="GBI527" s="901"/>
      <c r="GBJ527" s="901"/>
      <c r="GBK527" s="901"/>
      <c r="GBL527" s="901"/>
      <c r="GBM527" s="901"/>
      <c r="GBN527" s="901"/>
      <c r="GBO527" s="901"/>
      <c r="GBP527" s="901"/>
      <c r="GBQ527" s="901"/>
      <c r="GBR527" s="901"/>
      <c r="GBS527" s="901"/>
      <c r="GBT527" s="901"/>
      <c r="GBU527" s="901"/>
      <c r="GBV527" s="901"/>
      <c r="GBW527" s="901"/>
      <c r="GBX527" s="901"/>
      <c r="GBY527" s="901"/>
      <c r="GBZ527" s="901"/>
      <c r="GCA527" s="901"/>
      <c r="GCB527" s="901"/>
      <c r="GCC527" s="901"/>
      <c r="GCD527" s="901"/>
      <c r="GCE527" s="901"/>
      <c r="GCF527" s="901"/>
      <c r="GCG527" s="901"/>
      <c r="GCH527" s="901"/>
      <c r="GCI527" s="901"/>
      <c r="GCJ527" s="901"/>
      <c r="GCK527" s="901"/>
      <c r="GCL527" s="901"/>
      <c r="GCM527" s="901"/>
      <c r="GCN527" s="901"/>
      <c r="GCO527" s="901"/>
      <c r="GCP527" s="901"/>
      <c r="GCQ527" s="901"/>
      <c r="GCR527" s="901"/>
      <c r="GCS527" s="901"/>
      <c r="GCT527" s="901"/>
      <c r="GCU527" s="901"/>
      <c r="GCV527" s="901"/>
      <c r="GCW527" s="901"/>
      <c r="GCX527" s="901"/>
      <c r="GCY527" s="901"/>
      <c r="GCZ527" s="901"/>
      <c r="GDA527" s="901"/>
      <c r="GDB527" s="901"/>
      <c r="GDC527" s="901"/>
      <c r="GDD527" s="901"/>
      <c r="GDE527" s="901"/>
      <c r="GDF527" s="901"/>
      <c r="GDG527" s="901"/>
      <c r="GDH527" s="901"/>
      <c r="GDI527" s="901"/>
      <c r="GDJ527" s="901"/>
      <c r="GDK527" s="901"/>
      <c r="GDL527" s="901"/>
      <c r="GDM527" s="901"/>
      <c r="GDN527" s="901"/>
      <c r="GDO527" s="901"/>
      <c r="GDP527" s="901"/>
      <c r="GDQ527" s="901"/>
      <c r="GDR527" s="901"/>
      <c r="GDS527" s="901"/>
      <c r="GDT527" s="901"/>
      <c r="GDU527" s="901"/>
      <c r="GDV527" s="901"/>
      <c r="GDW527" s="901"/>
      <c r="GDX527" s="901"/>
      <c r="GDY527" s="901"/>
      <c r="GDZ527" s="901"/>
      <c r="GEA527" s="901"/>
      <c r="GEB527" s="901"/>
      <c r="GEC527" s="901"/>
      <c r="GED527" s="901"/>
      <c r="GEE527" s="901"/>
      <c r="GEF527" s="901"/>
      <c r="GEG527" s="901"/>
      <c r="GEH527" s="901"/>
      <c r="GEI527" s="901"/>
      <c r="GEJ527" s="901"/>
      <c r="GEK527" s="901"/>
      <c r="GEL527" s="901"/>
      <c r="GEM527" s="901"/>
      <c r="GEN527" s="901"/>
      <c r="GEO527" s="901"/>
      <c r="GEP527" s="901"/>
      <c r="GEQ527" s="901"/>
      <c r="GER527" s="901"/>
      <c r="GES527" s="901"/>
      <c r="GET527" s="901"/>
      <c r="GEU527" s="901"/>
      <c r="GEV527" s="901"/>
      <c r="GEW527" s="901"/>
      <c r="GEX527" s="901"/>
      <c r="GEY527" s="901"/>
      <c r="GEZ527" s="901"/>
      <c r="GFA527" s="901"/>
      <c r="GFB527" s="901"/>
      <c r="GFC527" s="901"/>
      <c r="GFD527" s="901"/>
      <c r="GFE527" s="901"/>
      <c r="GFF527" s="901"/>
      <c r="GFG527" s="901"/>
      <c r="GFH527" s="901"/>
      <c r="GFI527" s="901"/>
      <c r="GFJ527" s="901"/>
      <c r="GFK527" s="901"/>
      <c r="GFL527" s="901"/>
      <c r="GFM527" s="901"/>
      <c r="GFN527" s="901"/>
      <c r="GFO527" s="901"/>
      <c r="GFP527" s="901"/>
      <c r="GFQ527" s="901"/>
      <c r="GFR527" s="901"/>
      <c r="GFS527" s="901"/>
      <c r="GFT527" s="901"/>
      <c r="GFU527" s="901"/>
      <c r="GFV527" s="901"/>
      <c r="GFW527" s="901"/>
      <c r="GFX527" s="901"/>
      <c r="GFY527" s="901"/>
      <c r="GFZ527" s="901"/>
      <c r="GGA527" s="901"/>
      <c r="GGB527" s="901"/>
      <c r="GGC527" s="901"/>
      <c r="GGD527" s="901"/>
      <c r="GGE527" s="901"/>
      <c r="GGF527" s="901"/>
      <c r="GGG527" s="901"/>
      <c r="GGH527" s="901"/>
      <c r="GGI527" s="901"/>
      <c r="GGJ527" s="901"/>
      <c r="GGK527" s="901"/>
      <c r="GGL527" s="901"/>
      <c r="GGM527" s="901"/>
      <c r="GGN527" s="901"/>
      <c r="GGO527" s="901"/>
      <c r="GGP527" s="901"/>
      <c r="GGQ527" s="901"/>
      <c r="GGR527" s="901"/>
      <c r="GGS527" s="901"/>
      <c r="GGT527" s="901"/>
      <c r="GGU527" s="901"/>
      <c r="GGV527" s="901"/>
      <c r="GGW527" s="901"/>
      <c r="GGX527" s="901"/>
      <c r="GGY527" s="901"/>
      <c r="GGZ527" s="901"/>
      <c r="GHA527" s="901"/>
      <c r="GHB527" s="901"/>
      <c r="GHC527" s="901"/>
      <c r="GHD527" s="901"/>
      <c r="GHE527" s="901"/>
      <c r="GHF527" s="901"/>
      <c r="GHG527" s="901"/>
      <c r="GHH527" s="901"/>
      <c r="GHI527" s="901"/>
      <c r="GHJ527" s="901"/>
      <c r="GHK527" s="901"/>
      <c r="GHL527" s="901"/>
      <c r="GHM527" s="901"/>
      <c r="GHN527" s="901"/>
      <c r="GHO527" s="901"/>
      <c r="GHP527" s="901"/>
      <c r="GHQ527" s="901"/>
      <c r="GHR527" s="901"/>
      <c r="GHS527" s="901"/>
      <c r="GHT527" s="901"/>
      <c r="GHU527" s="901"/>
      <c r="GHV527" s="901"/>
      <c r="GHW527" s="901"/>
      <c r="GHX527" s="901"/>
      <c r="GHY527" s="901"/>
      <c r="GHZ527" s="901"/>
      <c r="GIA527" s="901"/>
      <c r="GIB527" s="901"/>
      <c r="GIC527" s="901"/>
      <c r="GID527" s="901"/>
      <c r="GIE527" s="901"/>
      <c r="GIF527" s="901"/>
      <c r="GIG527" s="901"/>
      <c r="GIH527" s="901"/>
      <c r="GII527" s="901"/>
      <c r="GIJ527" s="901"/>
      <c r="GIK527" s="901"/>
      <c r="GIL527" s="901"/>
      <c r="GIM527" s="901"/>
      <c r="GIN527" s="901"/>
      <c r="GIO527" s="901"/>
      <c r="GIP527" s="901"/>
      <c r="GIQ527" s="901"/>
      <c r="GIR527" s="901"/>
      <c r="GIS527" s="901"/>
      <c r="GIT527" s="901"/>
      <c r="GIU527" s="901"/>
      <c r="GIV527" s="901"/>
      <c r="GIW527" s="901"/>
      <c r="GIX527" s="901"/>
      <c r="GIY527" s="901"/>
      <c r="GIZ527" s="901"/>
      <c r="GJA527" s="901"/>
      <c r="GJB527" s="901"/>
      <c r="GJC527" s="901"/>
      <c r="GJD527" s="901"/>
      <c r="GJE527" s="901"/>
      <c r="GJF527" s="901"/>
      <c r="GJG527" s="901"/>
      <c r="GJH527" s="901"/>
      <c r="GJI527" s="901"/>
      <c r="GJJ527" s="901"/>
      <c r="GJK527" s="901"/>
      <c r="GJL527" s="901"/>
      <c r="GJM527" s="901"/>
      <c r="GJN527" s="901"/>
      <c r="GJO527" s="901"/>
      <c r="GJP527" s="901"/>
      <c r="GJQ527" s="901"/>
      <c r="GJR527" s="901"/>
      <c r="GJS527" s="901"/>
      <c r="GJT527" s="901"/>
      <c r="GJU527" s="901"/>
      <c r="GJV527" s="901"/>
      <c r="GJW527" s="901"/>
      <c r="GJX527" s="901"/>
      <c r="GJY527" s="901"/>
      <c r="GJZ527" s="901"/>
      <c r="GKA527" s="901"/>
      <c r="GKB527" s="901"/>
      <c r="GKC527" s="901"/>
      <c r="GKD527" s="901"/>
      <c r="GKE527" s="901"/>
      <c r="GKF527" s="901"/>
      <c r="GKG527" s="901"/>
      <c r="GKH527" s="901"/>
      <c r="GKI527" s="901"/>
      <c r="GKJ527" s="901"/>
      <c r="GKK527" s="901"/>
      <c r="GKL527" s="901"/>
      <c r="GKM527" s="901"/>
      <c r="GKN527" s="901"/>
      <c r="GKO527" s="901"/>
      <c r="GKP527" s="901"/>
      <c r="GKQ527" s="901"/>
      <c r="GKR527" s="901"/>
      <c r="GKS527" s="901"/>
      <c r="GKT527" s="901"/>
      <c r="GKU527" s="901"/>
      <c r="GKV527" s="901"/>
      <c r="GKW527" s="901"/>
      <c r="GKX527" s="901"/>
      <c r="GKY527" s="901"/>
      <c r="GKZ527" s="901"/>
      <c r="GLA527" s="901"/>
      <c r="GLB527" s="901"/>
      <c r="GLC527" s="901"/>
      <c r="GLD527" s="901"/>
      <c r="GLE527" s="901"/>
      <c r="GLF527" s="901"/>
      <c r="GLG527" s="901"/>
      <c r="GLH527" s="901"/>
      <c r="GLI527" s="901"/>
      <c r="GLJ527" s="901"/>
      <c r="GLK527" s="901"/>
      <c r="GLL527" s="901"/>
      <c r="GLM527" s="901"/>
      <c r="GLN527" s="901"/>
      <c r="GLO527" s="901"/>
      <c r="GLP527" s="901"/>
      <c r="GLQ527" s="901"/>
      <c r="GLR527" s="901"/>
      <c r="GLS527" s="901"/>
      <c r="GLT527" s="901"/>
      <c r="GLU527" s="901"/>
      <c r="GLV527" s="901"/>
      <c r="GLW527" s="901"/>
      <c r="GLX527" s="901"/>
      <c r="GLY527" s="901"/>
      <c r="GLZ527" s="901"/>
      <c r="GMA527" s="901"/>
      <c r="GMB527" s="901"/>
      <c r="GMC527" s="901"/>
      <c r="GMD527" s="901"/>
      <c r="GME527" s="901"/>
      <c r="GMF527" s="901"/>
      <c r="GMG527" s="901"/>
      <c r="GMH527" s="901"/>
      <c r="GMI527" s="901"/>
      <c r="GMJ527" s="901"/>
      <c r="GMK527" s="901"/>
      <c r="GML527" s="901"/>
      <c r="GMM527" s="901"/>
      <c r="GMN527" s="901"/>
      <c r="GMO527" s="901"/>
      <c r="GMP527" s="901"/>
      <c r="GMQ527" s="901"/>
      <c r="GMR527" s="901"/>
      <c r="GMS527" s="901"/>
      <c r="GMT527" s="901"/>
      <c r="GMU527" s="901"/>
      <c r="GMV527" s="901"/>
      <c r="GMW527" s="901"/>
      <c r="GMX527" s="901"/>
      <c r="GMY527" s="901"/>
      <c r="GMZ527" s="901"/>
      <c r="GNA527" s="901"/>
      <c r="GNB527" s="901"/>
      <c r="GNC527" s="901"/>
      <c r="GND527" s="901"/>
      <c r="GNE527" s="901"/>
      <c r="GNF527" s="901"/>
      <c r="GNG527" s="901"/>
      <c r="GNH527" s="901"/>
      <c r="GNI527" s="901"/>
      <c r="GNJ527" s="901"/>
      <c r="GNK527" s="901"/>
      <c r="GNL527" s="901"/>
      <c r="GNM527" s="901"/>
      <c r="GNN527" s="901"/>
      <c r="GNO527" s="901"/>
      <c r="GNP527" s="901"/>
      <c r="GNQ527" s="901"/>
      <c r="GNR527" s="901"/>
      <c r="GNS527" s="901"/>
      <c r="GNT527" s="901"/>
      <c r="GNU527" s="901"/>
      <c r="GNV527" s="901"/>
      <c r="GNW527" s="901"/>
      <c r="GNX527" s="901"/>
      <c r="GNY527" s="901"/>
      <c r="GNZ527" s="901"/>
      <c r="GOA527" s="901"/>
      <c r="GOB527" s="901"/>
      <c r="GOC527" s="901"/>
      <c r="GOD527" s="901"/>
      <c r="GOE527" s="901"/>
      <c r="GOF527" s="901"/>
      <c r="GOG527" s="901"/>
      <c r="GOH527" s="901"/>
      <c r="GOI527" s="901"/>
      <c r="GOJ527" s="901"/>
      <c r="GOK527" s="901"/>
      <c r="GOL527" s="901"/>
      <c r="GOM527" s="901"/>
      <c r="GON527" s="901"/>
      <c r="GOO527" s="901"/>
      <c r="GOP527" s="901"/>
      <c r="GOQ527" s="901"/>
      <c r="GOR527" s="901"/>
      <c r="GOS527" s="901"/>
      <c r="GOT527" s="901"/>
      <c r="GOU527" s="901"/>
      <c r="GOV527" s="901"/>
      <c r="GOW527" s="901"/>
      <c r="GOX527" s="901"/>
      <c r="GOY527" s="901"/>
      <c r="GOZ527" s="901"/>
      <c r="GPA527" s="901"/>
      <c r="GPB527" s="901"/>
      <c r="GPC527" s="901"/>
      <c r="GPD527" s="901"/>
      <c r="GPE527" s="901"/>
      <c r="GPF527" s="901"/>
      <c r="GPG527" s="901"/>
      <c r="GPH527" s="901"/>
      <c r="GPI527" s="901"/>
      <c r="GPJ527" s="901"/>
      <c r="GPK527" s="901"/>
      <c r="GPL527" s="901"/>
      <c r="GPM527" s="901"/>
      <c r="GPN527" s="901"/>
      <c r="GPO527" s="901"/>
      <c r="GPP527" s="901"/>
      <c r="GPQ527" s="901"/>
      <c r="GPR527" s="901"/>
      <c r="GPS527" s="901"/>
      <c r="GPT527" s="901"/>
      <c r="GPU527" s="901"/>
      <c r="GPV527" s="901"/>
      <c r="GPW527" s="901"/>
      <c r="GPX527" s="901"/>
      <c r="GPY527" s="901"/>
      <c r="GPZ527" s="901"/>
      <c r="GQA527" s="901"/>
      <c r="GQB527" s="901"/>
      <c r="GQC527" s="901"/>
      <c r="GQD527" s="901"/>
      <c r="GQE527" s="901"/>
      <c r="GQF527" s="901"/>
      <c r="GQG527" s="901"/>
      <c r="GQH527" s="901"/>
      <c r="GQI527" s="901"/>
      <c r="GQJ527" s="901"/>
      <c r="GQK527" s="901"/>
      <c r="GQL527" s="901"/>
      <c r="GQM527" s="901"/>
      <c r="GQN527" s="901"/>
      <c r="GQO527" s="901"/>
      <c r="GQP527" s="901"/>
      <c r="GQQ527" s="901"/>
      <c r="GQR527" s="901"/>
      <c r="GQS527" s="901"/>
      <c r="GQT527" s="901"/>
      <c r="GQU527" s="901"/>
      <c r="GQV527" s="901"/>
      <c r="GQW527" s="901"/>
      <c r="GQX527" s="901"/>
      <c r="GQY527" s="901"/>
      <c r="GQZ527" s="901"/>
      <c r="GRA527" s="901"/>
      <c r="GRB527" s="901"/>
      <c r="GRC527" s="901"/>
      <c r="GRD527" s="901"/>
      <c r="GRE527" s="901"/>
      <c r="GRF527" s="901"/>
      <c r="GRG527" s="901"/>
      <c r="GRH527" s="901"/>
      <c r="GRI527" s="901"/>
      <c r="GRJ527" s="901"/>
      <c r="GRK527" s="901"/>
      <c r="GRL527" s="901"/>
      <c r="GRM527" s="901"/>
      <c r="GRN527" s="901"/>
      <c r="GRO527" s="901"/>
      <c r="GRP527" s="901"/>
      <c r="GRQ527" s="901"/>
      <c r="GRR527" s="901"/>
      <c r="GRS527" s="901"/>
      <c r="GRT527" s="901"/>
      <c r="GRU527" s="901"/>
      <c r="GRV527" s="901"/>
      <c r="GRW527" s="901"/>
      <c r="GRX527" s="901"/>
      <c r="GRY527" s="901"/>
      <c r="GRZ527" s="901"/>
      <c r="GSA527" s="901"/>
      <c r="GSB527" s="901"/>
      <c r="GSC527" s="901"/>
      <c r="GSD527" s="901"/>
      <c r="GSE527" s="901"/>
      <c r="GSF527" s="901"/>
      <c r="GSG527" s="901"/>
      <c r="GSH527" s="901"/>
      <c r="GSI527" s="901"/>
      <c r="GSJ527" s="901"/>
      <c r="GSK527" s="901"/>
      <c r="GSL527" s="901"/>
      <c r="GSM527" s="901"/>
      <c r="GSN527" s="901"/>
      <c r="GSO527" s="901"/>
      <c r="GSP527" s="901"/>
      <c r="GSQ527" s="901"/>
      <c r="GSR527" s="901"/>
      <c r="GSS527" s="901"/>
      <c r="GST527" s="901"/>
      <c r="GSU527" s="901"/>
      <c r="GSV527" s="901"/>
      <c r="GSW527" s="901"/>
      <c r="GSX527" s="901"/>
      <c r="GSY527" s="901"/>
      <c r="GSZ527" s="901"/>
      <c r="GTA527" s="901"/>
      <c r="GTB527" s="901"/>
      <c r="GTC527" s="901"/>
      <c r="GTD527" s="901"/>
      <c r="GTE527" s="901"/>
      <c r="GTF527" s="901"/>
      <c r="GTG527" s="901"/>
      <c r="GTH527" s="901"/>
      <c r="GTI527" s="901"/>
      <c r="GTJ527" s="901"/>
      <c r="GTK527" s="901"/>
      <c r="GTL527" s="901"/>
      <c r="GTM527" s="901"/>
      <c r="GTN527" s="901"/>
      <c r="GTO527" s="901"/>
      <c r="GTP527" s="901"/>
      <c r="GTQ527" s="901"/>
      <c r="GTR527" s="901"/>
      <c r="GTS527" s="901"/>
      <c r="GTT527" s="901"/>
      <c r="GTU527" s="901"/>
      <c r="GTV527" s="901"/>
      <c r="GTW527" s="901"/>
      <c r="GTX527" s="901"/>
      <c r="GTY527" s="901"/>
      <c r="GTZ527" s="901"/>
      <c r="GUA527" s="901"/>
      <c r="GUB527" s="901"/>
      <c r="GUC527" s="901"/>
      <c r="GUD527" s="901"/>
      <c r="GUE527" s="901"/>
      <c r="GUF527" s="901"/>
      <c r="GUG527" s="901"/>
      <c r="GUH527" s="901"/>
      <c r="GUI527" s="901"/>
      <c r="GUJ527" s="901"/>
      <c r="GUK527" s="901"/>
      <c r="GUL527" s="901"/>
      <c r="GUM527" s="901"/>
      <c r="GUN527" s="901"/>
      <c r="GUO527" s="901"/>
      <c r="GUP527" s="901"/>
      <c r="GUQ527" s="901"/>
      <c r="GUR527" s="901"/>
      <c r="GUS527" s="901"/>
      <c r="GUT527" s="901"/>
      <c r="GUU527" s="901"/>
      <c r="GUV527" s="901"/>
      <c r="GUW527" s="901"/>
      <c r="GUX527" s="901"/>
      <c r="GUY527" s="901"/>
      <c r="GUZ527" s="901"/>
      <c r="GVA527" s="901"/>
      <c r="GVB527" s="901"/>
      <c r="GVC527" s="901"/>
      <c r="GVD527" s="901"/>
      <c r="GVE527" s="901"/>
      <c r="GVF527" s="901"/>
      <c r="GVG527" s="901"/>
      <c r="GVH527" s="901"/>
      <c r="GVI527" s="901"/>
      <c r="GVJ527" s="901"/>
      <c r="GVK527" s="901"/>
      <c r="GVL527" s="901"/>
      <c r="GVM527" s="901"/>
      <c r="GVN527" s="901"/>
      <c r="GVO527" s="901"/>
      <c r="GVP527" s="901"/>
      <c r="GVQ527" s="901"/>
      <c r="GVR527" s="901"/>
      <c r="GVS527" s="901"/>
      <c r="GVT527" s="901"/>
      <c r="GVU527" s="901"/>
      <c r="GVV527" s="901"/>
      <c r="GVW527" s="901"/>
      <c r="GVX527" s="901"/>
      <c r="GVY527" s="901"/>
      <c r="GVZ527" s="901"/>
      <c r="GWA527" s="901"/>
      <c r="GWB527" s="901"/>
      <c r="GWC527" s="901"/>
      <c r="GWD527" s="901"/>
      <c r="GWE527" s="901"/>
      <c r="GWF527" s="901"/>
      <c r="GWG527" s="901"/>
      <c r="GWH527" s="901"/>
      <c r="GWI527" s="901"/>
      <c r="GWJ527" s="901"/>
      <c r="GWK527" s="901"/>
      <c r="GWL527" s="901"/>
      <c r="GWM527" s="901"/>
      <c r="GWN527" s="901"/>
      <c r="GWO527" s="901"/>
      <c r="GWP527" s="901"/>
      <c r="GWQ527" s="901"/>
      <c r="GWR527" s="901"/>
      <c r="GWS527" s="901"/>
      <c r="GWT527" s="901"/>
      <c r="GWU527" s="901"/>
      <c r="GWV527" s="901"/>
      <c r="GWW527" s="901"/>
      <c r="GWX527" s="901"/>
      <c r="GWY527" s="901"/>
      <c r="GWZ527" s="901"/>
      <c r="GXA527" s="901"/>
      <c r="GXB527" s="901"/>
      <c r="GXC527" s="901"/>
      <c r="GXD527" s="901"/>
      <c r="GXE527" s="901"/>
      <c r="GXF527" s="901"/>
      <c r="GXG527" s="901"/>
      <c r="GXH527" s="901"/>
      <c r="GXI527" s="901"/>
      <c r="GXJ527" s="901"/>
      <c r="GXK527" s="901"/>
      <c r="GXL527" s="901"/>
      <c r="GXM527" s="901"/>
      <c r="GXN527" s="901"/>
      <c r="GXO527" s="901"/>
      <c r="GXP527" s="901"/>
      <c r="GXQ527" s="901"/>
      <c r="GXR527" s="901"/>
      <c r="GXS527" s="901"/>
      <c r="GXT527" s="901"/>
      <c r="GXU527" s="901"/>
      <c r="GXV527" s="901"/>
      <c r="GXW527" s="901"/>
      <c r="GXX527" s="901"/>
      <c r="GXY527" s="901"/>
      <c r="GXZ527" s="901"/>
      <c r="GYA527" s="901"/>
      <c r="GYB527" s="901"/>
      <c r="GYC527" s="901"/>
      <c r="GYD527" s="901"/>
      <c r="GYE527" s="901"/>
      <c r="GYF527" s="901"/>
      <c r="GYG527" s="901"/>
      <c r="GYH527" s="901"/>
      <c r="GYI527" s="901"/>
      <c r="GYJ527" s="901"/>
      <c r="GYK527" s="901"/>
      <c r="GYL527" s="901"/>
      <c r="GYM527" s="901"/>
      <c r="GYN527" s="901"/>
      <c r="GYO527" s="901"/>
      <c r="GYP527" s="901"/>
      <c r="GYQ527" s="901"/>
      <c r="GYR527" s="901"/>
      <c r="GYS527" s="901"/>
      <c r="GYT527" s="901"/>
      <c r="GYU527" s="901"/>
      <c r="GYV527" s="901"/>
      <c r="GYW527" s="901"/>
      <c r="GYX527" s="901"/>
      <c r="GYY527" s="901"/>
      <c r="GYZ527" s="901"/>
      <c r="GZA527" s="901"/>
      <c r="GZB527" s="901"/>
      <c r="GZC527" s="901"/>
      <c r="GZD527" s="901"/>
      <c r="GZE527" s="901"/>
      <c r="GZF527" s="901"/>
      <c r="GZG527" s="901"/>
      <c r="GZH527" s="901"/>
      <c r="GZI527" s="901"/>
      <c r="GZJ527" s="901"/>
      <c r="GZK527" s="901"/>
      <c r="GZL527" s="901"/>
      <c r="GZM527" s="901"/>
      <c r="GZN527" s="901"/>
      <c r="GZO527" s="901"/>
      <c r="GZP527" s="901"/>
      <c r="GZQ527" s="901"/>
      <c r="GZR527" s="901"/>
      <c r="GZS527" s="901"/>
      <c r="GZT527" s="901"/>
      <c r="GZU527" s="901"/>
      <c r="GZV527" s="901"/>
      <c r="GZW527" s="901"/>
      <c r="GZX527" s="901"/>
      <c r="GZY527" s="901"/>
      <c r="GZZ527" s="901"/>
      <c r="HAA527" s="901"/>
      <c r="HAB527" s="901"/>
      <c r="HAC527" s="901"/>
      <c r="HAD527" s="901"/>
      <c r="HAE527" s="901"/>
      <c r="HAF527" s="901"/>
      <c r="HAG527" s="901"/>
      <c r="HAH527" s="901"/>
      <c r="HAI527" s="901"/>
      <c r="HAJ527" s="901"/>
      <c r="HAK527" s="901"/>
      <c r="HAL527" s="901"/>
      <c r="HAM527" s="901"/>
      <c r="HAN527" s="901"/>
      <c r="HAO527" s="901"/>
      <c r="HAP527" s="901"/>
      <c r="HAQ527" s="901"/>
      <c r="HAR527" s="901"/>
      <c r="HAS527" s="901"/>
      <c r="HAT527" s="901"/>
      <c r="HAU527" s="901"/>
      <c r="HAV527" s="901"/>
      <c r="HAW527" s="901"/>
      <c r="HAX527" s="901"/>
      <c r="HAY527" s="901"/>
      <c r="HAZ527" s="901"/>
      <c r="HBA527" s="901"/>
      <c r="HBB527" s="901"/>
      <c r="HBC527" s="901"/>
      <c r="HBD527" s="901"/>
      <c r="HBE527" s="901"/>
      <c r="HBF527" s="901"/>
      <c r="HBG527" s="901"/>
      <c r="HBH527" s="901"/>
      <c r="HBI527" s="901"/>
      <c r="HBJ527" s="901"/>
      <c r="HBK527" s="901"/>
      <c r="HBL527" s="901"/>
      <c r="HBM527" s="901"/>
      <c r="HBN527" s="901"/>
      <c r="HBO527" s="901"/>
      <c r="HBP527" s="901"/>
      <c r="HBQ527" s="901"/>
      <c r="HBR527" s="901"/>
      <c r="HBS527" s="901"/>
      <c r="HBT527" s="901"/>
      <c r="HBU527" s="901"/>
      <c r="HBV527" s="901"/>
      <c r="HBW527" s="901"/>
      <c r="HBX527" s="901"/>
      <c r="HBY527" s="901"/>
      <c r="HBZ527" s="901"/>
      <c r="HCA527" s="901"/>
      <c r="HCB527" s="901"/>
      <c r="HCC527" s="901"/>
      <c r="HCD527" s="901"/>
      <c r="HCE527" s="901"/>
      <c r="HCF527" s="901"/>
      <c r="HCG527" s="901"/>
      <c r="HCH527" s="901"/>
      <c r="HCI527" s="901"/>
      <c r="HCJ527" s="901"/>
      <c r="HCK527" s="901"/>
      <c r="HCL527" s="901"/>
      <c r="HCM527" s="901"/>
      <c r="HCN527" s="901"/>
      <c r="HCO527" s="901"/>
      <c r="HCP527" s="901"/>
      <c r="HCQ527" s="901"/>
      <c r="HCR527" s="901"/>
      <c r="HCS527" s="901"/>
      <c r="HCT527" s="901"/>
      <c r="HCU527" s="901"/>
      <c r="HCV527" s="901"/>
      <c r="HCW527" s="901"/>
      <c r="HCX527" s="901"/>
      <c r="HCY527" s="901"/>
      <c r="HCZ527" s="901"/>
      <c r="HDA527" s="901"/>
      <c r="HDB527" s="901"/>
      <c r="HDC527" s="901"/>
      <c r="HDD527" s="901"/>
      <c r="HDE527" s="901"/>
      <c r="HDF527" s="901"/>
      <c r="HDG527" s="901"/>
      <c r="HDH527" s="901"/>
      <c r="HDI527" s="901"/>
      <c r="HDJ527" s="901"/>
      <c r="HDK527" s="901"/>
      <c r="HDL527" s="901"/>
      <c r="HDM527" s="901"/>
      <c r="HDN527" s="901"/>
      <c r="HDO527" s="901"/>
      <c r="HDP527" s="901"/>
      <c r="HDQ527" s="901"/>
      <c r="HDR527" s="901"/>
      <c r="HDS527" s="901"/>
      <c r="HDT527" s="901"/>
      <c r="HDU527" s="901"/>
      <c r="HDV527" s="901"/>
      <c r="HDW527" s="901"/>
      <c r="HDX527" s="901"/>
      <c r="HDY527" s="901"/>
      <c r="HDZ527" s="901"/>
      <c r="HEA527" s="901"/>
      <c r="HEB527" s="901"/>
      <c r="HEC527" s="901"/>
      <c r="HED527" s="901"/>
      <c r="HEE527" s="901"/>
      <c r="HEF527" s="901"/>
      <c r="HEG527" s="901"/>
      <c r="HEH527" s="901"/>
      <c r="HEI527" s="901"/>
      <c r="HEJ527" s="901"/>
      <c r="HEK527" s="901"/>
      <c r="HEL527" s="901"/>
      <c r="HEM527" s="901"/>
      <c r="HEN527" s="901"/>
      <c r="HEO527" s="901"/>
      <c r="HEP527" s="901"/>
      <c r="HEQ527" s="901"/>
      <c r="HER527" s="901"/>
      <c r="HES527" s="901"/>
      <c r="HET527" s="901"/>
      <c r="HEU527" s="901"/>
      <c r="HEV527" s="901"/>
      <c r="HEW527" s="901"/>
      <c r="HEX527" s="901"/>
      <c r="HEY527" s="901"/>
      <c r="HEZ527" s="901"/>
      <c r="HFA527" s="901"/>
      <c r="HFB527" s="901"/>
      <c r="HFC527" s="901"/>
      <c r="HFD527" s="901"/>
      <c r="HFE527" s="901"/>
      <c r="HFF527" s="901"/>
      <c r="HFG527" s="901"/>
      <c r="HFH527" s="901"/>
      <c r="HFI527" s="901"/>
      <c r="HFJ527" s="901"/>
      <c r="HFK527" s="901"/>
      <c r="HFL527" s="901"/>
      <c r="HFM527" s="901"/>
      <c r="HFN527" s="901"/>
      <c r="HFO527" s="901"/>
      <c r="HFP527" s="901"/>
      <c r="HFQ527" s="901"/>
      <c r="HFR527" s="901"/>
      <c r="HFS527" s="901"/>
      <c r="HFT527" s="901"/>
      <c r="HFU527" s="901"/>
      <c r="HFV527" s="901"/>
      <c r="HFW527" s="901"/>
      <c r="HFX527" s="901"/>
      <c r="HFY527" s="901"/>
      <c r="HFZ527" s="901"/>
      <c r="HGA527" s="901"/>
      <c r="HGB527" s="901"/>
      <c r="HGC527" s="901"/>
      <c r="HGD527" s="901"/>
      <c r="HGE527" s="901"/>
      <c r="HGF527" s="901"/>
      <c r="HGG527" s="901"/>
      <c r="HGH527" s="901"/>
      <c r="HGI527" s="901"/>
      <c r="HGJ527" s="901"/>
      <c r="HGK527" s="901"/>
      <c r="HGL527" s="901"/>
      <c r="HGM527" s="901"/>
      <c r="HGN527" s="901"/>
      <c r="HGO527" s="901"/>
      <c r="HGP527" s="901"/>
      <c r="HGQ527" s="901"/>
      <c r="HGR527" s="901"/>
      <c r="HGS527" s="901"/>
      <c r="HGT527" s="901"/>
      <c r="HGU527" s="901"/>
      <c r="HGV527" s="901"/>
      <c r="HGW527" s="901"/>
      <c r="HGX527" s="901"/>
      <c r="HGY527" s="901"/>
      <c r="HGZ527" s="901"/>
      <c r="HHA527" s="901"/>
      <c r="HHB527" s="901"/>
      <c r="HHC527" s="901"/>
      <c r="HHD527" s="901"/>
      <c r="HHE527" s="901"/>
      <c r="HHF527" s="901"/>
      <c r="HHG527" s="901"/>
      <c r="HHH527" s="901"/>
      <c r="HHI527" s="901"/>
      <c r="HHJ527" s="901"/>
      <c r="HHK527" s="901"/>
      <c r="HHL527" s="901"/>
      <c r="HHM527" s="901"/>
      <c r="HHN527" s="901"/>
      <c r="HHO527" s="901"/>
      <c r="HHP527" s="901"/>
      <c r="HHQ527" s="901"/>
      <c r="HHR527" s="901"/>
      <c r="HHS527" s="901"/>
      <c r="HHT527" s="901"/>
      <c r="HHU527" s="901"/>
      <c r="HHV527" s="901"/>
      <c r="HHW527" s="901"/>
      <c r="HHX527" s="901"/>
      <c r="HHY527" s="901"/>
      <c r="HHZ527" s="901"/>
      <c r="HIA527" s="901"/>
      <c r="HIB527" s="901"/>
      <c r="HIC527" s="901"/>
      <c r="HID527" s="901"/>
      <c r="HIE527" s="901"/>
      <c r="HIF527" s="901"/>
      <c r="HIG527" s="901"/>
      <c r="HIH527" s="901"/>
      <c r="HII527" s="901"/>
      <c r="HIJ527" s="901"/>
      <c r="HIK527" s="901"/>
      <c r="HIL527" s="901"/>
      <c r="HIM527" s="901"/>
      <c r="HIN527" s="901"/>
      <c r="HIO527" s="901"/>
      <c r="HIP527" s="901"/>
      <c r="HIQ527" s="901"/>
      <c r="HIR527" s="901"/>
      <c r="HIS527" s="901"/>
      <c r="HIT527" s="901"/>
      <c r="HIU527" s="901"/>
      <c r="HIV527" s="901"/>
      <c r="HIW527" s="901"/>
      <c r="HIX527" s="901"/>
      <c r="HIY527" s="901"/>
      <c r="HIZ527" s="901"/>
      <c r="HJA527" s="901"/>
      <c r="HJB527" s="901"/>
      <c r="HJC527" s="901"/>
      <c r="HJD527" s="901"/>
      <c r="HJE527" s="901"/>
      <c r="HJF527" s="901"/>
      <c r="HJG527" s="901"/>
      <c r="HJH527" s="901"/>
      <c r="HJI527" s="901"/>
      <c r="HJJ527" s="901"/>
      <c r="HJK527" s="901"/>
      <c r="HJL527" s="901"/>
      <c r="HJM527" s="901"/>
      <c r="HJN527" s="901"/>
      <c r="HJO527" s="901"/>
      <c r="HJP527" s="901"/>
      <c r="HJQ527" s="901"/>
      <c r="HJR527" s="901"/>
      <c r="HJS527" s="901"/>
      <c r="HJT527" s="901"/>
      <c r="HJU527" s="901"/>
      <c r="HJV527" s="901"/>
      <c r="HJW527" s="901"/>
      <c r="HJX527" s="901"/>
      <c r="HJY527" s="901"/>
      <c r="HJZ527" s="901"/>
      <c r="HKA527" s="901"/>
      <c r="HKB527" s="901"/>
      <c r="HKC527" s="901"/>
      <c r="HKD527" s="901"/>
      <c r="HKE527" s="901"/>
      <c r="HKF527" s="901"/>
      <c r="HKG527" s="901"/>
      <c r="HKH527" s="901"/>
      <c r="HKI527" s="901"/>
      <c r="HKJ527" s="901"/>
      <c r="HKK527" s="901"/>
      <c r="HKL527" s="901"/>
      <c r="HKM527" s="901"/>
      <c r="HKN527" s="901"/>
      <c r="HKO527" s="901"/>
      <c r="HKP527" s="901"/>
      <c r="HKQ527" s="901"/>
      <c r="HKR527" s="901"/>
      <c r="HKS527" s="901"/>
      <c r="HKT527" s="901"/>
      <c r="HKU527" s="901"/>
      <c r="HKV527" s="901"/>
      <c r="HKW527" s="901"/>
      <c r="HKX527" s="901"/>
      <c r="HKY527" s="901"/>
      <c r="HKZ527" s="901"/>
      <c r="HLA527" s="901"/>
      <c r="HLB527" s="901"/>
      <c r="HLC527" s="901"/>
      <c r="HLD527" s="901"/>
      <c r="HLE527" s="901"/>
      <c r="HLF527" s="901"/>
      <c r="HLG527" s="901"/>
      <c r="HLH527" s="901"/>
      <c r="HLI527" s="901"/>
      <c r="HLJ527" s="901"/>
      <c r="HLK527" s="901"/>
      <c r="HLL527" s="901"/>
      <c r="HLM527" s="901"/>
      <c r="HLN527" s="901"/>
      <c r="HLO527" s="901"/>
      <c r="HLP527" s="901"/>
      <c r="HLQ527" s="901"/>
      <c r="HLR527" s="901"/>
      <c r="HLS527" s="901"/>
      <c r="HLT527" s="901"/>
      <c r="HLU527" s="901"/>
      <c r="HLV527" s="901"/>
      <c r="HLW527" s="901"/>
      <c r="HLX527" s="901"/>
      <c r="HLY527" s="901"/>
      <c r="HLZ527" s="901"/>
      <c r="HMA527" s="901"/>
      <c r="HMB527" s="901"/>
      <c r="HMC527" s="901"/>
      <c r="HMD527" s="901"/>
      <c r="HME527" s="901"/>
      <c r="HMF527" s="901"/>
      <c r="HMG527" s="901"/>
      <c r="HMH527" s="901"/>
      <c r="HMI527" s="901"/>
      <c r="HMJ527" s="901"/>
      <c r="HMK527" s="901"/>
      <c r="HML527" s="901"/>
      <c r="HMM527" s="901"/>
      <c r="HMN527" s="901"/>
      <c r="HMO527" s="901"/>
      <c r="HMP527" s="901"/>
      <c r="HMQ527" s="901"/>
      <c r="HMR527" s="901"/>
      <c r="HMS527" s="901"/>
      <c r="HMT527" s="901"/>
      <c r="HMU527" s="901"/>
      <c r="HMV527" s="901"/>
      <c r="HMW527" s="901"/>
      <c r="HMX527" s="901"/>
      <c r="HMY527" s="901"/>
      <c r="HMZ527" s="901"/>
      <c r="HNA527" s="901"/>
      <c r="HNB527" s="901"/>
      <c r="HNC527" s="901"/>
      <c r="HND527" s="901"/>
      <c r="HNE527" s="901"/>
      <c r="HNF527" s="901"/>
      <c r="HNG527" s="901"/>
      <c r="HNH527" s="901"/>
      <c r="HNI527" s="901"/>
      <c r="HNJ527" s="901"/>
      <c r="HNK527" s="901"/>
      <c r="HNL527" s="901"/>
      <c r="HNM527" s="901"/>
      <c r="HNN527" s="901"/>
      <c r="HNO527" s="901"/>
      <c r="HNP527" s="901"/>
      <c r="HNQ527" s="901"/>
      <c r="HNR527" s="901"/>
      <c r="HNS527" s="901"/>
      <c r="HNT527" s="901"/>
      <c r="HNU527" s="901"/>
      <c r="HNV527" s="901"/>
      <c r="HNW527" s="901"/>
      <c r="HNX527" s="901"/>
      <c r="HNY527" s="901"/>
      <c r="HNZ527" s="901"/>
      <c r="HOA527" s="901"/>
      <c r="HOB527" s="901"/>
      <c r="HOC527" s="901"/>
      <c r="HOD527" s="901"/>
      <c r="HOE527" s="901"/>
      <c r="HOF527" s="901"/>
      <c r="HOG527" s="901"/>
      <c r="HOH527" s="901"/>
      <c r="HOI527" s="901"/>
      <c r="HOJ527" s="901"/>
      <c r="HOK527" s="901"/>
      <c r="HOL527" s="901"/>
      <c r="HOM527" s="901"/>
      <c r="HON527" s="901"/>
      <c r="HOO527" s="901"/>
      <c r="HOP527" s="901"/>
      <c r="HOQ527" s="901"/>
      <c r="HOR527" s="901"/>
      <c r="HOS527" s="901"/>
      <c r="HOT527" s="901"/>
      <c r="HOU527" s="901"/>
      <c r="HOV527" s="901"/>
      <c r="HOW527" s="901"/>
      <c r="HOX527" s="901"/>
      <c r="HOY527" s="901"/>
      <c r="HOZ527" s="901"/>
      <c r="HPA527" s="901"/>
      <c r="HPB527" s="901"/>
      <c r="HPC527" s="901"/>
      <c r="HPD527" s="901"/>
      <c r="HPE527" s="901"/>
      <c r="HPF527" s="901"/>
      <c r="HPG527" s="901"/>
      <c r="HPH527" s="901"/>
      <c r="HPI527" s="901"/>
      <c r="HPJ527" s="901"/>
      <c r="HPK527" s="901"/>
      <c r="HPL527" s="901"/>
      <c r="HPM527" s="901"/>
      <c r="HPN527" s="901"/>
      <c r="HPO527" s="901"/>
      <c r="HPP527" s="901"/>
      <c r="HPQ527" s="901"/>
      <c r="HPR527" s="901"/>
      <c r="HPS527" s="901"/>
      <c r="HPT527" s="901"/>
      <c r="HPU527" s="901"/>
      <c r="HPV527" s="901"/>
      <c r="HPW527" s="901"/>
      <c r="HPX527" s="901"/>
      <c r="HPY527" s="901"/>
      <c r="HPZ527" s="901"/>
      <c r="HQA527" s="901"/>
      <c r="HQB527" s="901"/>
      <c r="HQC527" s="901"/>
      <c r="HQD527" s="901"/>
      <c r="HQE527" s="901"/>
      <c r="HQF527" s="901"/>
      <c r="HQG527" s="901"/>
      <c r="HQH527" s="901"/>
      <c r="HQI527" s="901"/>
      <c r="HQJ527" s="901"/>
      <c r="HQK527" s="901"/>
      <c r="HQL527" s="901"/>
      <c r="HQM527" s="901"/>
      <c r="HQN527" s="901"/>
      <c r="HQO527" s="901"/>
      <c r="HQP527" s="901"/>
      <c r="HQQ527" s="901"/>
      <c r="HQR527" s="901"/>
      <c r="HQS527" s="901"/>
      <c r="HQT527" s="901"/>
      <c r="HQU527" s="901"/>
      <c r="HQV527" s="901"/>
      <c r="HQW527" s="901"/>
      <c r="HQX527" s="901"/>
      <c r="HQY527" s="901"/>
      <c r="HQZ527" s="901"/>
      <c r="HRA527" s="901"/>
      <c r="HRB527" s="901"/>
      <c r="HRC527" s="901"/>
      <c r="HRD527" s="901"/>
      <c r="HRE527" s="901"/>
      <c r="HRF527" s="901"/>
      <c r="HRG527" s="901"/>
      <c r="HRH527" s="901"/>
      <c r="HRI527" s="901"/>
      <c r="HRJ527" s="901"/>
      <c r="HRK527" s="901"/>
      <c r="HRL527" s="901"/>
      <c r="HRM527" s="901"/>
      <c r="HRN527" s="901"/>
      <c r="HRO527" s="901"/>
      <c r="HRP527" s="901"/>
      <c r="HRQ527" s="901"/>
      <c r="HRR527" s="901"/>
      <c r="HRS527" s="901"/>
      <c r="HRT527" s="901"/>
      <c r="HRU527" s="901"/>
      <c r="HRV527" s="901"/>
      <c r="HRW527" s="901"/>
      <c r="HRX527" s="901"/>
      <c r="HRY527" s="901"/>
      <c r="HRZ527" s="901"/>
      <c r="HSA527" s="901"/>
      <c r="HSB527" s="901"/>
      <c r="HSC527" s="901"/>
      <c r="HSD527" s="901"/>
      <c r="HSE527" s="901"/>
      <c r="HSF527" s="901"/>
      <c r="HSG527" s="901"/>
      <c r="HSH527" s="901"/>
      <c r="HSI527" s="901"/>
      <c r="HSJ527" s="901"/>
      <c r="HSK527" s="901"/>
      <c r="HSL527" s="901"/>
      <c r="HSM527" s="901"/>
      <c r="HSN527" s="901"/>
      <c r="HSO527" s="901"/>
      <c r="HSP527" s="901"/>
      <c r="HSQ527" s="901"/>
      <c r="HSR527" s="901"/>
      <c r="HSS527" s="901"/>
      <c r="HST527" s="901"/>
      <c r="HSU527" s="901"/>
      <c r="HSV527" s="901"/>
      <c r="HSW527" s="901"/>
      <c r="HSX527" s="901"/>
      <c r="HSY527" s="901"/>
      <c r="HSZ527" s="901"/>
      <c r="HTA527" s="901"/>
      <c r="HTB527" s="901"/>
      <c r="HTC527" s="901"/>
      <c r="HTD527" s="901"/>
      <c r="HTE527" s="901"/>
      <c r="HTF527" s="901"/>
      <c r="HTG527" s="901"/>
      <c r="HTH527" s="901"/>
      <c r="HTI527" s="901"/>
      <c r="HTJ527" s="901"/>
      <c r="HTK527" s="901"/>
      <c r="HTL527" s="901"/>
      <c r="HTM527" s="901"/>
      <c r="HTN527" s="901"/>
      <c r="HTO527" s="901"/>
      <c r="HTP527" s="901"/>
      <c r="HTQ527" s="901"/>
      <c r="HTR527" s="901"/>
      <c r="HTS527" s="901"/>
      <c r="HTT527" s="901"/>
      <c r="HTU527" s="901"/>
      <c r="HTV527" s="901"/>
      <c r="HTW527" s="901"/>
      <c r="HTX527" s="901"/>
      <c r="HTY527" s="901"/>
      <c r="HTZ527" s="901"/>
      <c r="HUA527" s="901"/>
      <c r="HUB527" s="901"/>
      <c r="HUC527" s="901"/>
      <c r="HUD527" s="901"/>
      <c r="HUE527" s="901"/>
      <c r="HUF527" s="901"/>
      <c r="HUG527" s="901"/>
      <c r="HUH527" s="901"/>
      <c r="HUI527" s="901"/>
      <c r="HUJ527" s="901"/>
      <c r="HUK527" s="901"/>
      <c r="HUL527" s="901"/>
      <c r="HUM527" s="901"/>
      <c r="HUN527" s="901"/>
      <c r="HUO527" s="901"/>
      <c r="HUP527" s="901"/>
      <c r="HUQ527" s="901"/>
      <c r="HUR527" s="901"/>
      <c r="HUS527" s="901"/>
      <c r="HUT527" s="901"/>
      <c r="HUU527" s="901"/>
      <c r="HUV527" s="901"/>
      <c r="HUW527" s="901"/>
      <c r="HUX527" s="901"/>
      <c r="HUY527" s="901"/>
      <c r="HUZ527" s="901"/>
      <c r="HVA527" s="901"/>
      <c r="HVB527" s="901"/>
      <c r="HVC527" s="901"/>
      <c r="HVD527" s="901"/>
      <c r="HVE527" s="901"/>
      <c r="HVF527" s="901"/>
      <c r="HVG527" s="901"/>
      <c r="HVH527" s="901"/>
      <c r="HVI527" s="901"/>
      <c r="HVJ527" s="901"/>
      <c r="HVK527" s="901"/>
      <c r="HVL527" s="901"/>
      <c r="HVM527" s="901"/>
      <c r="HVN527" s="901"/>
      <c r="HVO527" s="901"/>
      <c r="HVP527" s="901"/>
      <c r="HVQ527" s="901"/>
      <c r="HVR527" s="901"/>
      <c r="HVS527" s="901"/>
      <c r="HVT527" s="901"/>
      <c r="HVU527" s="901"/>
      <c r="HVV527" s="901"/>
      <c r="HVW527" s="901"/>
      <c r="HVX527" s="901"/>
      <c r="HVY527" s="901"/>
      <c r="HVZ527" s="901"/>
      <c r="HWA527" s="901"/>
      <c r="HWB527" s="901"/>
      <c r="HWC527" s="901"/>
      <c r="HWD527" s="901"/>
      <c r="HWE527" s="901"/>
      <c r="HWF527" s="901"/>
      <c r="HWG527" s="901"/>
      <c r="HWH527" s="901"/>
      <c r="HWI527" s="901"/>
      <c r="HWJ527" s="901"/>
      <c r="HWK527" s="901"/>
      <c r="HWL527" s="901"/>
      <c r="HWM527" s="901"/>
      <c r="HWN527" s="901"/>
      <c r="HWO527" s="901"/>
      <c r="HWP527" s="901"/>
      <c r="HWQ527" s="901"/>
      <c r="HWR527" s="901"/>
      <c r="HWS527" s="901"/>
      <c r="HWT527" s="901"/>
      <c r="HWU527" s="901"/>
      <c r="HWV527" s="901"/>
      <c r="HWW527" s="901"/>
      <c r="HWX527" s="901"/>
      <c r="HWY527" s="901"/>
      <c r="HWZ527" s="901"/>
      <c r="HXA527" s="901"/>
      <c r="HXB527" s="901"/>
      <c r="HXC527" s="901"/>
      <c r="HXD527" s="901"/>
      <c r="HXE527" s="901"/>
      <c r="HXF527" s="901"/>
      <c r="HXG527" s="901"/>
      <c r="HXH527" s="901"/>
      <c r="HXI527" s="901"/>
      <c r="HXJ527" s="901"/>
      <c r="HXK527" s="901"/>
      <c r="HXL527" s="901"/>
      <c r="HXM527" s="901"/>
      <c r="HXN527" s="901"/>
      <c r="HXO527" s="901"/>
      <c r="HXP527" s="901"/>
      <c r="HXQ527" s="901"/>
      <c r="HXR527" s="901"/>
      <c r="HXS527" s="901"/>
      <c r="HXT527" s="901"/>
      <c r="HXU527" s="901"/>
      <c r="HXV527" s="901"/>
      <c r="HXW527" s="901"/>
      <c r="HXX527" s="901"/>
      <c r="HXY527" s="901"/>
      <c r="HXZ527" s="901"/>
      <c r="HYA527" s="901"/>
      <c r="HYB527" s="901"/>
      <c r="HYC527" s="901"/>
      <c r="HYD527" s="901"/>
      <c r="HYE527" s="901"/>
      <c r="HYF527" s="901"/>
      <c r="HYG527" s="901"/>
      <c r="HYH527" s="901"/>
      <c r="HYI527" s="901"/>
      <c r="HYJ527" s="901"/>
      <c r="HYK527" s="901"/>
      <c r="HYL527" s="901"/>
      <c r="HYM527" s="901"/>
      <c r="HYN527" s="901"/>
      <c r="HYO527" s="901"/>
      <c r="HYP527" s="901"/>
      <c r="HYQ527" s="901"/>
      <c r="HYR527" s="901"/>
      <c r="HYS527" s="901"/>
      <c r="HYT527" s="901"/>
      <c r="HYU527" s="901"/>
      <c r="HYV527" s="901"/>
      <c r="HYW527" s="901"/>
      <c r="HYX527" s="901"/>
      <c r="HYY527" s="901"/>
      <c r="HYZ527" s="901"/>
      <c r="HZA527" s="901"/>
      <c r="HZB527" s="901"/>
      <c r="HZC527" s="901"/>
      <c r="HZD527" s="901"/>
      <c r="HZE527" s="901"/>
      <c r="HZF527" s="901"/>
      <c r="HZG527" s="901"/>
      <c r="HZH527" s="901"/>
      <c r="HZI527" s="901"/>
      <c r="HZJ527" s="901"/>
      <c r="HZK527" s="901"/>
      <c r="HZL527" s="901"/>
      <c r="HZM527" s="901"/>
      <c r="HZN527" s="901"/>
      <c r="HZO527" s="901"/>
      <c r="HZP527" s="901"/>
      <c r="HZQ527" s="901"/>
      <c r="HZR527" s="901"/>
      <c r="HZS527" s="901"/>
      <c r="HZT527" s="901"/>
      <c r="HZU527" s="901"/>
      <c r="HZV527" s="901"/>
      <c r="HZW527" s="901"/>
      <c r="HZX527" s="901"/>
      <c r="HZY527" s="901"/>
      <c r="HZZ527" s="901"/>
      <c r="IAA527" s="901"/>
      <c r="IAB527" s="901"/>
      <c r="IAC527" s="901"/>
      <c r="IAD527" s="901"/>
      <c r="IAE527" s="901"/>
      <c r="IAF527" s="901"/>
      <c r="IAG527" s="901"/>
      <c r="IAH527" s="901"/>
      <c r="IAI527" s="901"/>
      <c r="IAJ527" s="901"/>
      <c r="IAK527" s="901"/>
      <c r="IAL527" s="901"/>
      <c r="IAM527" s="901"/>
      <c r="IAN527" s="901"/>
      <c r="IAO527" s="901"/>
      <c r="IAP527" s="901"/>
      <c r="IAQ527" s="901"/>
      <c r="IAR527" s="901"/>
      <c r="IAS527" s="901"/>
      <c r="IAT527" s="901"/>
      <c r="IAU527" s="901"/>
      <c r="IAV527" s="901"/>
      <c r="IAW527" s="901"/>
      <c r="IAX527" s="901"/>
      <c r="IAY527" s="901"/>
      <c r="IAZ527" s="901"/>
      <c r="IBA527" s="901"/>
      <c r="IBB527" s="901"/>
      <c r="IBC527" s="901"/>
      <c r="IBD527" s="901"/>
      <c r="IBE527" s="901"/>
      <c r="IBF527" s="901"/>
      <c r="IBG527" s="901"/>
      <c r="IBH527" s="901"/>
      <c r="IBI527" s="901"/>
      <c r="IBJ527" s="901"/>
      <c r="IBK527" s="901"/>
      <c r="IBL527" s="901"/>
      <c r="IBM527" s="901"/>
      <c r="IBN527" s="901"/>
      <c r="IBO527" s="901"/>
      <c r="IBP527" s="901"/>
      <c r="IBQ527" s="901"/>
      <c r="IBR527" s="901"/>
      <c r="IBS527" s="901"/>
      <c r="IBT527" s="901"/>
      <c r="IBU527" s="901"/>
      <c r="IBV527" s="901"/>
      <c r="IBW527" s="901"/>
      <c r="IBX527" s="901"/>
      <c r="IBY527" s="901"/>
      <c r="IBZ527" s="901"/>
      <c r="ICA527" s="901"/>
      <c r="ICB527" s="901"/>
      <c r="ICC527" s="901"/>
      <c r="ICD527" s="901"/>
      <c r="ICE527" s="901"/>
      <c r="ICF527" s="901"/>
      <c r="ICG527" s="901"/>
      <c r="ICH527" s="901"/>
      <c r="ICI527" s="901"/>
      <c r="ICJ527" s="901"/>
      <c r="ICK527" s="901"/>
      <c r="ICL527" s="901"/>
      <c r="ICM527" s="901"/>
      <c r="ICN527" s="901"/>
      <c r="ICO527" s="901"/>
      <c r="ICP527" s="901"/>
      <c r="ICQ527" s="901"/>
      <c r="ICR527" s="901"/>
      <c r="ICS527" s="901"/>
      <c r="ICT527" s="901"/>
      <c r="ICU527" s="901"/>
      <c r="ICV527" s="901"/>
      <c r="ICW527" s="901"/>
      <c r="ICX527" s="901"/>
      <c r="ICY527" s="901"/>
      <c r="ICZ527" s="901"/>
      <c r="IDA527" s="901"/>
      <c r="IDB527" s="901"/>
      <c r="IDC527" s="901"/>
      <c r="IDD527" s="901"/>
      <c r="IDE527" s="901"/>
      <c r="IDF527" s="901"/>
      <c r="IDG527" s="901"/>
      <c r="IDH527" s="901"/>
      <c r="IDI527" s="901"/>
      <c r="IDJ527" s="901"/>
      <c r="IDK527" s="901"/>
      <c r="IDL527" s="901"/>
      <c r="IDM527" s="901"/>
      <c r="IDN527" s="901"/>
      <c r="IDO527" s="901"/>
      <c r="IDP527" s="901"/>
      <c r="IDQ527" s="901"/>
      <c r="IDR527" s="901"/>
      <c r="IDS527" s="901"/>
      <c r="IDT527" s="901"/>
      <c r="IDU527" s="901"/>
      <c r="IDV527" s="901"/>
      <c r="IDW527" s="901"/>
      <c r="IDX527" s="901"/>
      <c r="IDY527" s="901"/>
      <c r="IDZ527" s="901"/>
      <c r="IEA527" s="901"/>
      <c r="IEB527" s="901"/>
      <c r="IEC527" s="901"/>
      <c r="IED527" s="901"/>
      <c r="IEE527" s="901"/>
      <c r="IEF527" s="901"/>
      <c r="IEG527" s="901"/>
      <c r="IEH527" s="901"/>
      <c r="IEI527" s="901"/>
      <c r="IEJ527" s="901"/>
      <c r="IEK527" s="901"/>
      <c r="IEL527" s="901"/>
      <c r="IEM527" s="901"/>
      <c r="IEN527" s="901"/>
      <c r="IEO527" s="901"/>
      <c r="IEP527" s="901"/>
      <c r="IEQ527" s="901"/>
      <c r="IER527" s="901"/>
      <c r="IES527" s="901"/>
      <c r="IET527" s="901"/>
      <c r="IEU527" s="901"/>
      <c r="IEV527" s="901"/>
      <c r="IEW527" s="901"/>
      <c r="IEX527" s="901"/>
      <c r="IEY527" s="901"/>
      <c r="IEZ527" s="901"/>
      <c r="IFA527" s="901"/>
      <c r="IFB527" s="901"/>
      <c r="IFC527" s="901"/>
      <c r="IFD527" s="901"/>
      <c r="IFE527" s="901"/>
      <c r="IFF527" s="901"/>
      <c r="IFG527" s="901"/>
      <c r="IFH527" s="901"/>
      <c r="IFI527" s="901"/>
      <c r="IFJ527" s="901"/>
      <c r="IFK527" s="901"/>
      <c r="IFL527" s="901"/>
      <c r="IFM527" s="901"/>
      <c r="IFN527" s="901"/>
      <c r="IFO527" s="901"/>
      <c r="IFP527" s="901"/>
      <c r="IFQ527" s="901"/>
      <c r="IFR527" s="901"/>
      <c r="IFS527" s="901"/>
      <c r="IFT527" s="901"/>
      <c r="IFU527" s="901"/>
      <c r="IFV527" s="901"/>
      <c r="IFW527" s="901"/>
      <c r="IFX527" s="901"/>
      <c r="IFY527" s="901"/>
      <c r="IFZ527" s="901"/>
      <c r="IGA527" s="901"/>
      <c r="IGB527" s="901"/>
      <c r="IGC527" s="901"/>
      <c r="IGD527" s="901"/>
      <c r="IGE527" s="901"/>
      <c r="IGF527" s="901"/>
      <c r="IGG527" s="901"/>
      <c r="IGH527" s="901"/>
      <c r="IGI527" s="901"/>
      <c r="IGJ527" s="901"/>
      <c r="IGK527" s="901"/>
      <c r="IGL527" s="901"/>
      <c r="IGM527" s="901"/>
      <c r="IGN527" s="901"/>
      <c r="IGO527" s="901"/>
      <c r="IGP527" s="901"/>
      <c r="IGQ527" s="901"/>
      <c r="IGR527" s="901"/>
      <c r="IGS527" s="901"/>
      <c r="IGT527" s="901"/>
      <c r="IGU527" s="901"/>
      <c r="IGV527" s="901"/>
      <c r="IGW527" s="901"/>
      <c r="IGX527" s="901"/>
      <c r="IGY527" s="901"/>
      <c r="IGZ527" s="901"/>
      <c r="IHA527" s="901"/>
      <c r="IHB527" s="901"/>
      <c r="IHC527" s="901"/>
      <c r="IHD527" s="901"/>
      <c r="IHE527" s="901"/>
      <c r="IHF527" s="901"/>
      <c r="IHG527" s="901"/>
      <c r="IHH527" s="901"/>
      <c r="IHI527" s="901"/>
      <c r="IHJ527" s="901"/>
      <c r="IHK527" s="901"/>
      <c r="IHL527" s="901"/>
      <c r="IHM527" s="901"/>
      <c r="IHN527" s="901"/>
      <c r="IHO527" s="901"/>
      <c r="IHP527" s="901"/>
      <c r="IHQ527" s="901"/>
      <c r="IHR527" s="901"/>
      <c r="IHS527" s="901"/>
      <c r="IHT527" s="901"/>
      <c r="IHU527" s="901"/>
      <c r="IHV527" s="901"/>
      <c r="IHW527" s="901"/>
      <c r="IHX527" s="901"/>
      <c r="IHY527" s="901"/>
      <c r="IHZ527" s="901"/>
      <c r="IIA527" s="901"/>
      <c r="IIB527" s="901"/>
      <c r="IIC527" s="901"/>
      <c r="IID527" s="901"/>
      <c r="IIE527" s="901"/>
      <c r="IIF527" s="901"/>
      <c r="IIG527" s="901"/>
      <c r="IIH527" s="901"/>
      <c r="III527" s="901"/>
      <c r="IIJ527" s="901"/>
      <c r="IIK527" s="901"/>
      <c r="IIL527" s="901"/>
      <c r="IIM527" s="901"/>
      <c r="IIN527" s="901"/>
      <c r="IIO527" s="901"/>
      <c r="IIP527" s="901"/>
      <c r="IIQ527" s="901"/>
      <c r="IIR527" s="901"/>
      <c r="IIS527" s="901"/>
      <c r="IIT527" s="901"/>
      <c r="IIU527" s="901"/>
      <c r="IIV527" s="901"/>
      <c r="IIW527" s="901"/>
      <c r="IIX527" s="901"/>
      <c r="IIY527" s="901"/>
      <c r="IIZ527" s="901"/>
      <c r="IJA527" s="901"/>
      <c r="IJB527" s="901"/>
      <c r="IJC527" s="901"/>
      <c r="IJD527" s="901"/>
      <c r="IJE527" s="901"/>
      <c r="IJF527" s="901"/>
      <c r="IJG527" s="901"/>
      <c r="IJH527" s="901"/>
      <c r="IJI527" s="901"/>
      <c r="IJJ527" s="901"/>
      <c r="IJK527" s="901"/>
      <c r="IJL527" s="901"/>
      <c r="IJM527" s="901"/>
      <c r="IJN527" s="901"/>
      <c r="IJO527" s="901"/>
      <c r="IJP527" s="901"/>
      <c r="IJQ527" s="901"/>
      <c r="IJR527" s="901"/>
      <c r="IJS527" s="901"/>
      <c r="IJT527" s="901"/>
      <c r="IJU527" s="901"/>
      <c r="IJV527" s="901"/>
      <c r="IJW527" s="901"/>
      <c r="IJX527" s="901"/>
      <c r="IJY527" s="901"/>
      <c r="IJZ527" s="901"/>
      <c r="IKA527" s="901"/>
      <c r="IKB527" s="901"/>
      <c r="IKC527" s="901"/>
      <c r="IKD527" s="901"/>
      <c r="IKE527" s="901"/>
      <c r="IKF527" s="901"/>
      <c r="IKG527" s="901"/>
      <c r="IKH527" s="901"/>
      <c r="IKI527" s="901"/>
      <c r="IKJ527" s="901"/>
      <c r="IKK527" s="901"/>
      <c r="IKL527" s="901"/>
      <c r="IKM527" s="901"/>
      <c r="IKN527" s="901"/>
      <c r="IKO527" s="901"/>
      <c r="IKP527" s="901"/>
      <c r="IKQ527" s="901"/>
      <c r="IKR527" s="901"/>
      <c r="IKS527" s="901"/>
      <c r="IKT527" s="901"/>
      <c r="IKU527" s="901"/>
      <c r="IKV527" s="901"/>
      <c r="IKW527" s="901"/>
      <c r="IKX527" s="901"/>
      <c r="IKY527" s="901"/>
      <c r="IKZ527" s="901"/>
      <c r="ILA527" s="901"/>
      <c r="ILB527" s="901"/>
      <c r="ILC527" s="901"/>
      <c r="ILD527" s="901"/>
      <c r="ILE527" s="901"/>
      <c r="ILF527" s="901"/>
      <c r="ILG527" s="901"/>
      <c r="ILH527" s="901"/>
      <c r="ILI527" s="901"/>
      <c r="ILJ527" s="901"/>
      <c r="ILK527" s="901"/>
      <c r="ILL527" s="901"/>
      <c r="ILM527" s="901"/>
      <c r="ILN527" s="901"/>
      <c r="ILO527" s="901"/>
      <c r="ILP527" s="901"/>
      <c r="ILQ527" s="901"/>
      <c r="ILR527" s="901"/>
      <c r="ILS527" s="901"/>
      <c r="ILT527" s="901"/>
      <c r="ILU527" s="901"/>
      <c r="ILV527" s="901"/>
      <c r="ILW527" s="901"/>
      <c r="ILX527" s="901"/>
      <c r="ILY527" s="901"/>
      <c r="ILZ527" s="901"/>
      <c r="IMA527" s="901"/>
      <c r="IMB527" s="901"/>
      <c r="IMC527" s="901"/>
      <c r="IMD527" s="901"/>
      <c r="IME527" s="901"/>
      <c r="IMF527" s="901"/>
      <c r="IMG527" s="901"/>
      <c r="IMH527" s="901"/>
      <c r="IMI527" s="901"/>
      <c r="IMJ527" s="901"/>
      <c r="IMK527" s="901"/>
      <c r="IML527" s="901"/>
      <c r="IMM527" s="901"/>
      <c r="IMN527" s="901"/>
      <c r="IMO527" s="901"/>
      <c r="IMP527" s="901"/>
      <c r="IMQ527" s="901"/>
      <c r="IMR527" s="901"/>
      <c r="IMS527" s="901"/>
      <c r="IMT527" s="901"/>
      <c r="IMU527" s="901"/>
      <c r="IMV527" s="901"/>
      <c r="IMW527" s="901"/>
      <c r="IMX527" s="901"/>
      <c r="IMY527" s="901"/>
      <c r="IMZ527" s="901"/>
      <c r="INA527" s="901"/>
      <c r="INB527" s="901"/>
      <c r="INC527" s="901"/>
      <c r="IND527" s="901"/>
      <c r="INE527" s="901"/>
      <c r="INF527" s="901"/>
      <c r="ING527" s="901"/>
      <c r="INH527" s="901"/>
      <c r="INI527" s="901"/>
      <c r="INJ527" s="901"/>
      <c r="INK527" s="901"/>
      <c r="INL527" s="901"/>
      <c r="INM527" s="901"/>
      <c r="INN527" s="901"/>
      <c r="INO527" s="901"/>
      <c r="INP527" s="901"/>
      <c r="INQ527" s="901"/>
      <c r="INR527" s="901"/>
      <c r="INS527" s="901"/>
      <c r="INT527" s="901"/>
      <c r="INU527" s="901"/>
      <c r="INV527" s="901"/>
      <c r="INW527" s="901"/>
      <c r="INX527" s="901"/>
      <c r="INY527" s="901"/>
      <c r="INZ527" s="901"/>
      <c r="IOA527" s="901"/>
      <c r="IOB527" s="901"/>
      <c r="IOC527" s="901"/>
      <c r="IOD527" s="901"/>
      <c r="IOE527" s="901"/>
      <c r="IOF527" s="901"/>
      <c r="IOG527" s="901"/>
      <c r="IOH527" s="901"/>
      <c r="IOI527" s="901"/>
      <c r="IOJ527" s="901"/>
      <c r="IOK527" s="901"/>
      <c r="IOL527" s="901"/>
      <c r="IOM527" s="901"/>
      <c r="ION527" s="901"/>
      <c r="IOO527" s="901"/>
      <c r="IOP527" s="901"/>
      <c r="IOQ527" s="901"/>
      <c r="IOR527" s="901"/>
      <c r="IOS527" s="901"/>
      <c r="IOT527" s="901"/>
      <c r="IOU527" s="901"/>
      <c r="IOV527" s="901"/>
      <c r="IOW527" s="901"/>
      <c r="IOX527" s="901"/>
      <c r="IOY527" s="901"/>
      <c r="IOZ527" s="901"/>
      <c r="IPA527" s="901"/>
      <c r="IPB527" s="901"/>
      <c r="IPC527" s="901"/>
      <c r="IPD527" s="901"/>
      <c r="IPE527" s="901"/>
      <c r="IPF527" s="901"/>
      <c r="IPG527" s="901"/>
      <c r="IPH527" s="901"/>
      <c r="IPI527" s="901"/>
      <c r="IPJ527" s="901"/>
      <c r="IPK527" s="901"/>
      <c r="IPL527" s="901"/>
      <c r="IPM527" s="901"/>
      <c r="IPN527" s="901"/>
      <c r="IPO527" s="901"/>
      <c r="IPP527" s="901"/>
      <c r="IPQ527" s="901"/>
      <c r="IPR527" s="901"/>
      <c r="IPS527" s="901"/>
      <c r="IPT527" s="901"/>
      <c r="IPU527" s="901"/>
      <c r="IPV527" s="901"/>
      <c r="IPW527" s="901"/>
      <c r="IPX527" s="901"/>
      <c r="IPY527" s="901"/>
      <c r="IPZ527" s="901"/>
      <c r="IQA527" s="901"/>
      <c r="IQB527" s="901"/>
      <c r="IQC527" s="901"/>
      <c r="IQD527" s="901"/>
      <c r="IQE527" s="901"/>
      <c r="IQF527" s="901"/>
      <c r="IQG527" s="901"/>
      <c r="IQH527" s="901"/>
      <c r="IQI527" s="901"/>
      <c r="IQJ527" s="901"/>
      <c r="IQK527" s="901"/>
      <c r="IQL527" s="901"/>
      <c r="IQM527" s="901"/>
      <c r="IQN527" s="901"/>
      <c r="IQO527" s="901"/>
      <c r="IQP527" s="901"/>
      <c r="IQQ527" s="901"/>
      <c r="IQR527" s="901"/>
      <c r="IQS527" s="901"/>
      <c r="IQT527" s="901"/>
      <c r="IQU527" s="901"/>
      <c r="IQV527" s="901"/>
      <c r="IQW527" s="901"/>
      <c r="IQX527" s="901"/>
      <c r="IQY527" s="901"/>
      <c r="IQZ527" s="901"/>
      <c r="IRA527" s="901"/>
      <c r="IRB527" s="901"/>
      <c r="IRC527" s="901"/>
      <c r="IRD527" s="901"/>
      <c r="IRE527" s="901"/>
      <c r="IRF527" s="901"/>
      <c r="IRG527" s="901"/>
      <c r="IRH527" s="901"/>
      <c r="IRI527" s="901"/>
      <c r="IRJ527" s="901"/>
      <c r="IRK527" s="901"/>
      <c r="IRL527" s="901"/>
      <c r="IRM527" s="901"/>
      <c r="IRN527" s="901"/>
      <c r="IRO527" s="901"/>
      <c r="IRP527" s="901"/>
      <c r="IRQ527" s="901"/>
      <c r="IRR527" s="901"/>
      <c r="IRS527" s="901"/>
      <c r="IRT527" s="901"/>
      <c r="IRU527" s="901"/>
      <c r="IRV527" s="901"/>
      <c r="IRW527" s="901"/>
      <c r="IRX527" s="901"/>
      <c r="IRY527" s="901"/>
      <c r="IRZ527" s="901"/>
      <c r="ISA527" s="901"/>
      <c r="ISB527" s="901"/>
      <c r="ISC527" s="901"/>
      <c r="ISD527" s="901"/>
      <c r="ISE527" s="901"/>
      <c r="ISF527" s="901"/>
      <c r="ISG527" s="901"/>
      <c r="ISH527" s="901"/>
      <c r="ISI527" s="901"/>
      <c r="ISJ527" s="901"/>
      <c r="ISK527" s="901"/>
      <c r="ISL527" s="901"/>
      <c r="ISM527" s="901"/>
      <c r="ISN527" s="901"/>
      <c r="ISO527" s="901"/>
      <c r="ISP527" s="901"/>
      <c r="ISQ527" s="901"/>
      <c r="ISR527" s="901"/>
      <c r="ISS527" s="901"/>
      <c r="IST527" s="901"/>
      <c r="ISU527" s="901"/>
      <c r="ISV527" s="901"/>
      <c r="ISW527" s="901"/>
      <c r="ISX527" s="901"/>
      <c r="ISY527" s="901"/>
      <c r="ISZ527" s="901"/>
      <c r="ITA527" s="901"/>
      <c r="ITB527" s="901"/>
      <c r="ITC527" s="901"/>
      <c r="ITD527" s="901"/>
      <c r="ITE527" s="901"/>
      <c r="ITF527" s="901"/>
      <c r="ITG527" s="901"/>
      <c r="ITH527" s="901"/>
      <c r="ITI527" s="901"/>
      <c r="ITJ527" s="901"/>
      <c r="ITK527" s="901"/>
      <c r="ITL527" s="901"/>
      <c r="ITM527" s="901"/>
      <c r="ITN527" s="901"/>
      <c r="ITO527" s="901"/>
      <c r="ITP527" s="901"/>
      <c r="ITQ527" s="901"/>
      <c r="ITR527" s="901"/>
      <c r="ITS527" s="901"/>
      <c r="ITT527" s="901"/>
      <c r="ITU527" s="901"/>
      <c r="ITV527" s="901"/>
      <c r="ITW527" s="901"/>
      <c r="ITX527" s="901"/>
      <c r="ITY527" s="901"/>
      <c r="ITZ527" s="901"/>
      <c r="IUA527" s="901"/>
      <c r="IUB527" s="901"/>
      <c r="IUC527" s="901"/>
      <c r="IUD527" s="901"/>
      <c r="IUE527" s="901"/>
      <c r="IUF527" s="901"/>
      <c r="IUG527" s="901"/>
      <c r="IUH527" s="901"/>
      <c r="IUI527" s="901"/>
      <c r="IUJ527" s="901"/>
      <c r="IUK527" s="901"/>
      <c r="IUL527" s="901"/>
      <c r="IUM527" s="901"/>
      <c r="IUN527" s="901"/>
      <c r="IUO527" s="901"/>
      <c r="IUP527" s="901"/>
      <c r="IUQ527" s="901"/>
      <c r="IUR527" s="901"/>
      <c r="IUS527" s="901"/>
      <c r="IUT527" s="901"/>
      <c r="IUU527" s="901"/>
      <c r="IUV527" s="901"/>
      <c r="IUW527" s="901"/>
      <c r="IUX527" s="901"/>
      <c r="IUY527" s="901"/>
      <c r="IUZ527" s="901"/>
      <c r="IVA527" s="901"/>
      <c r="IVB527" s="901"/>
      <c r="IVC527" s="901"/>
      <c r="IVD527" s="901"/>
      <c r="IVE527" s="901"/>
      <c r="IVF527" s="901"/>
      <c r="IVG527" s="901"/>
      <c r="IVH527" s="901"/>
      <c r="IVI527" s="901"/>
      <c r="IVJ527" s="901"/>
      <c r="IVK527" s="901"/>
      <c r="IVL527" s="901"/>
      <c r="IVM527" s="901"/>
      <c r="IVN527" s="901"/>
      <c r="IVO527" s="901"/>
      <c r="IVP527" s="901"/>
      <c r="IVQ527" s="901"/>
      <c r="IVR527" s="901"/>
      <c r="IVS527" s="901"/>
      <c r="IVT527" s="901"/>
      <c r="IVU527" s="901"/>
      <c r="IVV527" s="901"/>
      <c r="IVW527" s="901"/>
      <c r="IVX527" s="901"/>
      <c r="IVY527" s="901"/>
      <c r="IVZ527" s="901"/>
      <c r="IWA527" s="901"/>
      <c r="IWB527" s="901"/>
      <c r="IWC527" s="901"/>
      <c r="IWD527" s="901"/>
      <c r="IWE527" s="901"/>
      <c r="IWF527" s="901"/>
      <c r="IWG527" s="901"/>
      <c r="IWH527" s="901"/>
      <c r="IWI527" s="901"/>
      <c r="IWJ527" s="901"/>
      <c r="IWK527" s="901"/>
      <c r="IWL527" s="901"/>
      <c r="IWM527" s="901"/>
      <c r="IWN527" s="901"/>
      <c r="IWO527" s="901"/>
      <c r="IWP527" s="901"/>
      <c r="IWQ527" s="901"/>
      <c r="IWR527" s="901"/>
      <c r="IWS527" s="901"/>
      <c r="IWT527" s="901"/>
      <c r="IWU527" s="901"/>
      <c r="IWV527" s="901"/>
      <c r="IWW527" s="901"/>
      <c r="IWX527" s="901"/>
      <c r="IWY527" s="901"/>
      <c r="IWZ527" s="901"/>
      <c r="IXA527" s="901"/>
      <c r="IXB527" s="901"/>
      <c r="IXC527" s="901"/>
      <c r="IXD527" s="901"/>
      <c r="IXE527" s="901"/>
      <c r="IXF527" s="901"/>
      <c r="IXG527" s="901"/>
      <c r="IXH527" s="901"/>
      <c r="IXI527" s="901"/>
      <c r="IXJ527" s="901"/>
      <c r="IXK527" s="901"/>
      <c r="IXL527" s="901"/>
      <c r="IXM527" s="901"/>
      <c r="IXN527" s="901"/>
      <c r="IXO527" s="901"/>
      <c r="IXP527" s="901"/>
      <c r="IXQ527" s="901"/>
      <c r="IXR527" s="901"/>
      <c r="IXS527" s="901"/>
      <c r="IXT527" s="901"/>
      <c r="IXU527" s="901"/>
      <c r="IXV527" s="901"/>
      <c r="IXW527" s="901"/>
      <c r="IXX527" s="901"/>
      <c r="IXY527" s="901"/>
      <c r="IXZ527" s="901"/>
      <c r="IYA527" s="901"/>
      <c r="IYB527" s="901"/>
      <c r="IYC527" s="901"/>
      <c r="IYD527" s="901"/>
      <c r="IYE527" s="901"/>
      <c r="IYF527" s="901"/>
      <c r="IYG527" s="901"/>
      <c r="IYH527" s="901"/>
      <c r="IYI527" s="901"/>
      <c r="IYJ527" s="901"/>
      <c r="IYK527" s="901"/>
      <c r="IYL527" s="901"/>
      <c r="IYM527" s="901"/>
      <c r="IYN527" s="901"/>
      <c r="IYO527" s="901"/>
      <c r="IYP527" s="901"/>
      <c r="IYQ527" s="901"/>
      <c r="IYR527" s="901"/>
      <c r="IYS527" s="901"/>
      <c r="IYT527" s="901"/>
      <c r="IYU527" s="901"/>
      <c r="IYV527" s="901"/>
      <c r="IYW527" s="901"/>
      <c r="IYX527" s="901"/>
      <c r="IYY527" s="901"/>
      <c r="IYZ527" s="901"/>
      <c r="IZA527" s="901"/>
      <c r="IZB527" s="901"/>
      <c r="IZC527" s="901"/>
      <c r="IZD527" s="901"/>
      <c r="IZE527" s="901"/>
      <c r="IZF527" s="901"/>
      <c r="IZG527" s="901"/>
      <c r="IZH527" s="901"/>
      <c r="IZI527" s="901"/>
      <c r="IZJ527" s="901"/>
      <c r="IZK527" s="901"/>
      <c r="IZL527" s="901"/>
      <c r="IZM527" s="901"/>
      <c r="IZN527" s="901"/>
      <c r="IZO527" s="901"/>
      <c r="IZP527" s="901"/>
      <c r="IZQ527" s="901"/>
      <c r="IZR527" s="901"/>
      <c r="IZS527" s="901"/>
      <c r="IZT527" s="901"/>
      <c r="IZU527" s="901"/>
      <c r="IZV527" s="901"/>
      <c r="IZW527" s="901"/>
      <c r="IZX527" s="901"/>
      <c r="IZY527" s="901"/>
      <c r="IZZ527" s="901"/>
      <c r="JAA527" s="901"/>
      <c r="JAB527" s="901"/>
      <c r="JAC527" s="901"/>
      <c r="JAD527" s="901"/>
      <c r="JAE527" s="901"/>
      <c r="JAF527" s="901"/>
      <c r="JAG527" s="901"/>
      <c r="JAH527" s="901"/>
      <c r="JAI527" s="901"/>
      <c r="JAJ527" s="901"/>
      <c r="JAK527" s="901"/>
      <c r="JAL527" s="901"/>
      <c r="JAM527" s="901"/>
      <c r="JAN527" s="901"/>
      <c r="JAO527" s="901"/>
      <c r="JAP527" s="901"/>
      <c r="JAQ527" s="901"/>
      <c r="JAR527" s="901"/>
      <c r="JAS527" s="901"/>
      <c r="JAT527" s="901"/>
      <c r="JAU527" s="901"/>
      <c r="JAV527" s="901"/>
      <c r="JAW527" s="901"/>
      <c r="JAX527" s="901"/>
      <c r="JAY527" s="901"/>
      <c r="JAZ527" s="901"/>
      <c r="JBA527" s="901"/>
      <c r="JBB527" s="901"/>
      <c r="JBC527" s="901"/>
      <c r="JBD527" s="901"/>
      <c r="JBE527" s="901"/>
      <c r="JBF527" s="901"/>
      <c r="JBG527" s="901"/>
      <c r="JBH527" s="901"/>
      <c r="JBI527" s="901"/>
      <c r="JBJ527" s="901"/>
      <c r="JBK527" s="901"/>
      <c r="JBL527" s="901"/>
      <c r="JBM527" s="901"/>
      <c r="JBN527" s="901"/>
      <c r="JBO527" s="901"/>
      <c r="JBP527" s="901"/>
      <c r="JBQ527" s="901"/>
      <c r="JBR527" s="901"/>
      <c r="JBS527" s="901"/>
      <c r="JBT527" s="901"/>
      <c r="JBU527" s="901"/>
      <c r="JBV527" s="901"/>
      <c r="JBW527" s="901"/>
      <c r="JBX527" s="901"/>
      <c r="JBY527" s="901"/>
      <c r="JBZ527" s="901"/>
      <c r="JCA527" s="901"/>
      <c r="JCB527" s="901"/>
      <c r="JCC527" s="901"/>
      <c r="JCD527" s="901"/>
      <c r="JCE527" s="901"/>
      <c r="JCF527" s="901"/>
      <c r="JCG527" s="901"/>
      <c r="JCH527" s="901"/>
      <c r="JCI527" s="901"/>
      <c r="JCJ527" s="901"/>
      <c r="JCK527" s="901"/>
      <c r="JCL527" s="901"/>
      <c r="JCM527" s="901"/>
      <c r="JCN527" s="901"/>
      <c r="JCO527" s="901"/>
      <c r="JCP527" s="901"/>
      <c r="JCQ527" s="901"/>
      <c r="JCR527" s="901"/>
      <c r="JCS527" s="901"/>
      <c r="JCT527" s="901"/>
      <c r="JCU527" s="901"/>
      <c r="JCV527" s="901"/>
      <c r="JCW527" s="901"/>
      <c r="JCX527" s="901"/>
      <c r="JCY527" s="901"/>
      <c r="JCZ527" s="901"/>
      <c r="JDA527" s="901"/>
      <c r="JDB527" s="901"/>
      <c r="JDC527" s="901"/>
      <c r="JDD527" s="901"/>
      <c r="JDE527" s="901"/>
      <c r="JDF527" s="901"/>
      <c r="JDG527" s="901"/>
      <c r="JDH527" s="901"/>
      <c r="JDI527" s="901"/>
      <c r="JDJ527" s="901"/>
      <c r="JDK527" s="901"/>
      <c r="JDL527" s="901"/>
      <c r="JDM527" s="901"/>
      <c r="JDN527" s="901"/>
      <c r="JDO527" s="901"/>
      <c r="JDP527" s="901"/>
      <c r="JDQ527" s="901"/>
      <c r="JDR527" s="901"/>
      <c r="JDS527" s="901"/>
      <c r="JDT527" s="901"/>
      <c r="JDU527" s="901"/>
      <c r="JDV527" s="901"/>
      <c r="JDW527" s="901"/>
      <c r="JDX527" s="901"/>
      <c r="JDY527" s="901"/>
      <c r="JDZ527" s="901"/>
      <c r="JEA527" s="901"/>
      <c r="JEB527" s="901"/>
      <c r="JEC527" s="901"/>
      <c r="JED527" s="901"/>
      <c r="JEE527" s="901"/>
      <c r="JEF527" s="901"/>
      <c r="JEG527" s="901"/>
      <c r="JEH527" s="901"/>
      <c r="JEI527" s="901"/>
      <c r="JEJ527" s="901"/>
      <c r="JEK527" s="901"/>
      <c r="JEL527" s="901"/>
      <c r="JEM527" s="901"/>
      <c r="JEN527" s="901"/>
      <c r="JEO527" s="901"/>
      <c r="JEP527" s="901"/>
      <c r="JEQ527" s="901"/>
      <c r="JER527" s="901"/>
      <c r="JES527" s="901"/>
      <c r="JET527" s="901"/>
      <c r="JEU527" s="901"/>
      <c r="JEV527" s="901"/>
      <c r="JEW527" s="901"/>
      <c r="JEX527" s="901"/>
      <c r="JEY527" s="901"/>
      <c r="JEZ527" s="901"/>
      <c r="JFA527" s="901"/>
      <c r="JFB527" s="901"/>
      <c r="JFC527" s="901"/>
      <c r="JFD527" s="901"/>
      <c r="JFE527" s="901"/>
      <c r="JFF527" s="901"/>
      <c r="JFG527" s="901"/>
      <c r="JFH527" s="901"/>
      <c r="JFI527" s="901"/>
      <c r="JFJ527" s="901"/>
      <c r="JFK527" s="901"/>
      <c r="JFL527" s="901"/>
      <c r="JFM527" s="901"/>
      <c r="JFN527" s="901"/>
      <c r="JFO527" s="901"/>
      <c r="JFP527" s="901"/>
      <c r="JFQ527" s="901"/>
      <c r="JFR527" s="901"/>
      <c r="JFS527" s="901"/>
      <c r="JFT527" s="901"/>
      <c r="JFU527" s="901"/>
      <c r="JFV527" s="901"/>
      <c r="JFW527" s="901"/>
      <c r="JFX527" s="901"/>
      <c r="JFY527" s="901"/>
      <c r="JFZ527" s="901"/>
      <c r="JGA527" s="901"/>
      <c r="JGB527" s="901"/>
      <c r="JGC527" s="901"/>
      <c r="JGD527" s="901"/>
      <c r="JGE527" s="901"/>
      <c r="JGF527" s="901"/>
      <c r="JGG527" s="901"/>
      <c r="JGH527" s="901"/>
      <c r="JGI527" s="901"/>
      <c r="JGJ527" s="901"/>
      <c r="JGK527" s="901"/>
      <c r="JGL527" s="901"/>
      <c r="JGM527" s="901"/>
      <c r="JGN527" s="901"/>
      <c r="JGO527" s="901"/>
      <c r="JGP527" s="901"/>
      <c r="JGQ527" s="901"/>
      <c r="JGR527" s="901"/>
      <c r="JGS527" s="901"/>
      <c r="JGT527" s="901"/>
      <c r="JGU527" s="901"/>
      <c r="JGV527" s="901"/>
      <c r="JGW527" s="901"/>
      <c r="JGX527" s="901"/>
      <c r="JGY527" s="901"/>
      <c r="JGZ527" s="901"/>
      <c r="JHA527" s="901"/>
      <c r="JHB527" s="901"/>
      <c r="JHC527" s="901"/>
      <c r="JHD527" s="901"/>
      <c r="JHE527" s="901"/>
      <c r="JHF527" s="901"/>
      <c r="JHG527" s="901"/>
      <c r="JHH527" s="901"/>
      <c r="JHI527" s="901"/>
      <c r="JHJ527" s="901"/>
      <c r="JHK527" s="901"/>
      <c r="JHL527" s="901"/>
      <c r="JHM527" s="901"/>
      <c r="JHN527" s="901"/>
      <c r="JHO527" s="901"/>
      <c r="JHP527" s="901"/>
      <c r="JHQ527" s="901"/>
      <c r="JHR527" s="901"/>
      <c r="JHS527" s="901"/>
      <c r="JHT527" s="901"/>
      <c r="JHU527" s="901"/>
      <c r="JHV527" s="901"/>
      <c r="JHW527" s="901"/>
      <c r="JHX527" s="901"/>
      <c r="JHY527" s="901"/>
      <c r="JHZ527" s="901"/>
      <c r="JIA527" s="901"/>
      <c r="JIB527" s="901"/>
      <c r="JIC527" s="901"/>
      <c r="JID527" s="901"/>
      <c r="JIE527" s="901"/>
      <c r="JIF527" s="901"/>
      <c r="JIG527" s="901"/>
      <c r="JIH527" s="901"/>
      <c r="JII527" s="901"/>
      <c r="JIJ527" s="901"/>
      <c r="JIK527" s="901"/>
      <c r="JIL527" s="901"/>
      <c r="JIM527" s="901"/>
      <c r="JIN527" s="901"/>
      <c r="JIO527" s="901"/>
      <c r="JIP527" s="901"/>
      <c r="JIQ527" s="901"/>
      <c r="JIR527" s="901"/>
      <c r="JIS527" s="901"/>
      <c r="JIT527" s="901"/>
      <c r="JIU527" s="901"/>
      <c r="JIV527" s="901"/>
      <c r="JIW527" s="901"/>
      <c r="JIX527" s="901"/>
      <c r="JIY527" s="901"/>
      <c r="JIZ527" s="901"/>
      <c r="JJA527" s="901"/>
      <c r="JJB527" s="901"/>
      <c r="JJC527" s="901"/>
      <c r="JJD527" s="901"/>
      <c r="JJE527" s="901"/>
      <c r="JJF527" s="901"/>
      <c r="JJG527" s="901"/>
      <c r="JJH527" s="901"/>
      <c r="JJI527" s="901"/>
      <c r="JJJ527" s="901"/>
      <c r="JJK527" s="901"/>
      <c r="JJL527" s="901"/>
      <c r="JJM527" s="901"/>
      <c r="JJN527" s="901"/>
      <c r="JJO527" s="901"/>
      <c r="JJP527" s="901"/>
      <c r="JJQ527" s="901"/>
      <c r="JJR527" s="901"/>
      <c r="JJS527" s="901"/>
      <c r="JJT527" s="901"/>
      <c r="JJU527" s="901"/>
      <c r="JJV527" s="901"/>
      <c r="JJW527" s="901"/>
      <c r="JJX527" s="901"/>
      <c r="JJY527" s="901"/>
      <c r="JJZ527" s="901"/>
      <c r="JKA527" s="901"/>
      <c r="JKB527" s="901"/>
      <c r="JKC527" s="901"/>
      <c r="JKD527" s="901"/>
      <c r="JKE527" s="901"/>
      <c r="JKF527" s="901"/>
      <c r="JKG527" s="901"/>
      <c r="JKH527" s="901"/>
      <c r="JKI527" s="901"/>
      <c r="JKJ527" s="901"/>
      <c r="JKK527" s="901"/>
      <c r="JKL527" s="901"/>
      <c r="JKM527" s="901"/>
      <c r="JKN527" s="901"/>
      <c r="JKO527" s="901"/>
      <c r="JKP527" s="901"/>
      <c r="JKQ527" s="901"/>
      <c r="JKR527" s="901"/>
      <c r="JKS527" s="901"/>
      <c r="JKT527" s="901"/>
      <c r="JKU527" s="901"/>
      <c r="JKV527" s="901"/>
      <c r="JKW527" s="901"/>
      <c r="JKX527" s="901"/>
      <c r="JKY527" s="901"/>
      <c r="JKZ527" s="901"/>
      <c r="JLA527" s="901"/>
      <c r="JLB527" s="901"/>
      <c r="JLC527" s="901"/>
      <c r="JLD527" s="901"/>
      <c r="JLE527" s="901"/>
      <c r="JLF527" s="901"/>
      <c r="JLG527" s="901"/>
      <c r="JLH527" s="901"/>
      <c r="JLI527" s="901"/>
      <c r="JLJ527" s="901"/>
      <c r="JLK527" s="901"/>
      <c r="JLL527" s="901"/>
      <c r="JLM527" s="901"/>
      <c r="JLN527" s="901"/>
      <c r="JLO527" s="901"/>
      <c r="JLP527" s="901"/>
      <c r="JLQ527" s="901"/>
      <c r="JLR527" s="901"/>
      <c r="JLS527" s="901"/>
      <c r="JLT527" s="901"/>
      <c r="JLU527" s="901"/>
      <c r="JLV527" s="901"/>
      <c r="JLW527" s="901"/>
      <c r="JLX527" s="901"/>
      <c r="JLY527" s="901"/>
      <c r="JLZ527" s="901"/>
      <c r="JMA527" s="901"/>
      <c r="JMB527" s="901"/>
      <c r="JMC527" s="901"/>
      <c r="JMD527" s="901"/>
      <c r="JME527" s="901"/>
      <c r="JMF527" s="901"/>
      <c r="JMG527" s="901"/>
      <c r="JMH527" s="901"/>
      <c r="JMI527" s="901"/>
      <c r="JMJ527" s="901"/>
      <c r="JMK527" s="901"/>
      <c r="JML527" s="901"/>
      <c r="JMM527" s="901"/>
      <c r="JMN527" s="901"/>
      <c r="JMO527" s="901"/>
      <c r="JMP527" s="901"/>
      <c r="JMQ527" s="901"/>
      <c r="JMR527" s="901"/>
      <c r="JMS527" s="901"/>
      <c r="JMT527" s="901"/>
      <c r="JMU527" s="901"/>
      <c r="JMV527" s="901"/>
      <c r="JMW527" s="901"/>
      <c r="JMX527" s="901"/>
      <c r="JMY527" s="901"/>
      <c r="JMZ527" s="901"/>
      <c r="JNA527" s="901"/>
      <c r="JNB527" s="901"/>
      <c r="JNC527" s="901"/>
      <c r="JND527" s="901"/>
      <c r="JNE527" s="901"/>
      <c r="JNF527" s="901"/>
      <c r="JNG527" s="901"/>
      <c r="JNH527" s="901"/>
      <c r="JNI527" s="901"/>
      <c r="JNJ527" s="901"/>
      <c r="JNK527" s="901"/>
      <c r="JNL527" s="901"/>
      <c r="JNM527" s="901"/>
      <c r="JNN527" s="901"/>
      <c r="JNO527" s="901"/>
      <c r="JNP527" s="901"/>
      <c r="JNQ527" s="901"/>
      <c r="JNR527" s="901"/>
      <c r="JNS527" s="901"/>
      <c r="JNT527" s="901"/>
      <c r="JNU527" s="901"/>
      <c r="JNV527" s="901"/>
      <c r="JNW527" s="901"/>
      <c r="JNX527" s="901"/>
      <c r="JNY527" s="901"/>
      <c r="JNZ527" s="901"/>
      <c r="JOA527" s="901"/>
      <c r="JOB527" s="901"/>
      <c r="JOC527" s="901"/>
      <c r="JOD527" s="901"/>
      <c r="JOE527" s="901"/>
      <c r="JOF527" s="901"/>
      <c r="JOG527" s="901"/>
      <c r="JOH527" s="901"/>
      <c r="JOI527" s="901"/>
      <c r="JOJ527" s="901"/>
      <c r="JOK527" s="901"/>
      <c r="JOL527" s="901"/>
      <c r="JOM527" s="901"/>
      <c r="JON527" s="901"/>
      <c r="JOO527" s="901"/>
      <c r="JOP527" s="901"/>
      <c r="JOQ527" s="901"/>
      <c r="JOR527" s="901"/>
      <c r="JOS527" s="901"/>
      <c r="JOT527" s="901"/>
      <c r="JOU527" s="901"/>
      <c r="JOV527" s="901"/>
      <c r="JOW527" s="901"/>
      <c r="JOX527" s="901"/>
      <c r="JOY527" s="901"/>
      <c r="JOZ527" s="901"/>
      <c r="JPA527" s="901"/>
      <c r="JPB527" s="901"/>
      <c r="JPC527" s="901"/>
      <c r="JPD527" s="901"/>
      <c r="JPE527" s="901"/>
      <c r="JPF527" s="901"/>
      <c r="JPG527" s="901"/>
      <c r="JPH527" s="901"/>
      <c r="JPI527" s="901"/>
      <c r="JPJ527" s="901"/>
      <c r="JPK527" s="901"/>
      <c r="JPL527" s="901"/>
      <c r="JPM527" s="901"/>
      <c r="JPN527" s="901"/>
      <c r="JPO527" s="901"/>
      <c r="JPP527" s="901"/>
      <c r="JPQ527" s="901"/>
      <c r="JPR527" s="901"/>
      <c r="JPS527" s="901"/>
      <c r="JPT527" s="901"/>
      <c r="JPU527" s="901"/>
      <c r="JPV527" s="901"/>
      <c r="JPW527" s="901"/>
      <c r="JPX527" s="901"/>
      <c r="JPY527" s="901"/>
      <c r="JPZ527" s="901"/>
      <c r="JQA527" s="901"/>
      <c r="JQB527" s="901"/>
      <c r="JQC527" s="901"/>
      <c r="JQD527" s="901"/>
      <c r="JQE527" s="901"/>
      <c r="JQF527" s="901"/>
      <c r="JQG527" s="901"/>
      <c r="JQH527" s="901"/>
      <c r="JQI527" s="901"/>
      <c r="JQJ527" s="901"/>
      <c r="JQK527" s="901"/>
      <c r="JQL527" s="901"/>
      <c r="JQM527" s="901"/>
      <c r="JQN527" s="901"/>
      <c r="JQO527" s="901"/>
      <c r="JQP527" s="901"/>
      <c r="JQQ527" s="901"/>
      <c r="JQR527" s="901"/>
      <c r="JQS527" s="901"/>
      <c r="JQT527" s="901"/>
      <c r="JQU527" s="901"/>
      <c r="JQV527" s="901"/>
      <c r="JQW527" s="901"/>
      <c r="JQX527" s="901"/>
      <c r="JQY527" s="901"/>
      <c r="JQZ527" s="901"/>
      <c r="JRA527" s="901"/>
      <c r="JRB527" s="901"/>
      <c r="JRC527" s="901"/>
      <c r="JRD527" s="901"/>
      <c r="JRE527" s="901"/>
      <c r="JRF527" s="901"/>
      <c r="JRG527" s="901"/>
      <c r="JRH527" s="901"/>
      <c r="JRI527" s="901"/>
      <c r="JRJ527" s="901"/>
      <c r="JRK527" s="901"/>
      <c r="JRL527" s="901"/>
      <c r="JRM527" s="901"/>
      <c r="JRN527" s="901"/>
      <c r="JRO527" s="901"/>
      <c r="JRP527" s="901"/>
      <c r="JRQ527" s="901"/>
      <c r="JRR527" s="901"/>
      <c r="JRS527" s="901"/>
      <c r="JRT527" s="901"/>
      <c r="JRU527" s="901"/>
      <c r="JRV527" s="901"/>
      <c r="JRW527" s="901"/>
      <c r="JRX527" s="901"/>
      <c r="JRY527" s="901"/>
      <c r="JRZ527" s="901"/>
      <c r="JSA527" s="901"/>
      <c r="JSB527" s="901"/>
      <c r="JSC527" s="901"/>
      <c r="JSD527" s="901"/>
      <c r="JSE527" s="901"/>
      <c r="JSF527" s="901"/>
      <c r="JSG527" s="901"/>
      <c r="JSH527" s="901"/>
      <c r="JSI527" s="901"/>
      <c r="JSJ527" s="901"/>
      <c r="JSK527" s="901"/>
      <c r="JSL527" s="901"/>
      <c r="JSM527" s="901"/>
      <c r="JSN527" s="901"/>
      <c r="JSO527" s="901"/>
      <c r="JSP527" s="901"/>
      <c r="JSQ527" s="901"/>
      <c r="JSR527" s="901"/>
      <c r="JSS527" s="901"/>
      <c r="JST527" s="901"/>
      <c r="JSU527" s="901"/>
      <c r="JSV527" s="901"/>
      <c r="JSW527" s="901"/>
      <c r="JSX527" s="901"/>
      <c r="JSY527" s="901"/>
      <c r="JSZ527" s="901"/>
      <c r="JTA527" s="901"/>
      <c r="JTB527" s="901"/>
      <c r="JTC527" s="901"/>
      <c r="JTD527" s="901"/>
      <c r="JTE527" s="901"/>
      <c r="JTF527" s="901"/>
      <c r="JTG527" s="901"/>
      <c r="JTH527" s="901"/>
      <c r="JTI527" s="901"/>
      <c r="JTJ527" s="901"/>
      <c r="JTK527" s="901"/>
      <c r="JTL527" s="901"/>
      <c r="JTM527" s="901"/>
      <c r="JTN527" s="901"/>
      <c r="JTO527" s="901"/>
      <c r="JTP527" s="901"/>
      <c r="JTQ527" s="901"/>
      <c r="JTR527" s="901"/>
      <c r="JTS527" s="901"/>
      <c r="JTT527" s="901"/>
      <c r="JTU527" s="901"/>
      <c r="JTV527" s="901"/>
      <c r="JTW527" s="901"/>
      <c r="JTX527" s="901"/>
      <c r="JTY527" s="901"/>
      <c r="JTZ527" s="901"/>
      <c r="JUA527" s="901"/>
      <c r="JUB527" s="901"/>
      <c r="JUC527" s="901"/>
      <c r="JUD527" s="901"/>
      <c r="JUE527" s="901"/>
      <c r="JUF527" s="901"/>
      <c r="JUG527" s="901"/>
      <c r="JUH527" s="901"/>
      <c r="JUI527" s="901"/>
      <c r="JUJ527" s="901"/>
      <c r="JUK527" s="901"/>
      <c r="JUL527" s="901"/>
      <c r="JUM527" s="901"/>
      <c r="JUN527" s="901"/>
      <c r="JUO527" s="901"/>
      <c r="JUP527" s="901"/>
      <c r="JUQ527" s="901"/>
      <c r="JUR527" s="901"/>
      <c r="JUS527" s="901"/>
      <c r="JUT527" s="901"/>
      <c r="JUU527" s="901"/>
      <c r="JUV527" s="901"/>
      <c r="JUW527" s="901"/>
      <c r="JUX527" s="901"/>
      <c r="JUY527" s="901"/>
      <c r="JUZ527" s="901"/>
      <c r="JVA527" s="901"/>
      <c r="JVB527" s="901"/>
      <c r="JVC527" s="901"/>
      <c r="JVD527" s="901"/>
      <c r="JVE527" s="901"/>
      <c r="JVF527" s="901"/>
      <c r="JVG527" s="901"/>
      <c r="JVH527" s="901"/>
      <c r="JVI527" s="901"/>
      <c r="JVJ527" s="901"/>
      <c r="JVK527" s="901"/>
      <c r="JVL527" s="901"/>
      <c r="JVM527" s="901"/>
      <c r="JVN527" s="901"/>
      <c r="JVO527" s="901"/>
      <c r="JVP527" s="901"/>
      <c r="JVQ527" s="901"/>
      <c r="JVR527" s="901"/>
      <c r="JVS527" s="901"/>
      <c r="JVT527" s="901"/>
      <c r="JVU527" s="901"/>
      <c r="JVV527" s="901"/>
      <c r="JVW527" s="901"/>
      <c r="JVX527" s="901"/>
      <c r="JVY527" s="901"/>
      <c r="JVZ527" s="901"/>
      <c r="JWA527" s="901"/>
      <c r="JWB527" s="901"/>
      <c r="JWC527" s="901"/>
      <c r="JWD527" s="901"/>
      <c r="JWE527" s="901"/>
      <c r="JWF527" s="901"/>
      <c r="JWG527" s="901"/>
      <c r="JWH527" s="901"/>
      <c r="JWI527" s="901"/>
      <c r="JWJ527" s="901"/>
      <c r="JWK527" s="901"/>
      <c r="JWL527" s="901"/>
      <c r="JWM527" s="901"/>
      <c r="JWN527" s="901"/>
      <c r="JWO527" s="901"/>
      <c r="JWP527" s="901"/>
      <c r="JWQ527" s="901"/>
      <c r="JWR527" s="901"/>
      <c r="JWS527" s="901"/>
      <c r="JWT527" s="901"/>
      <c r="JWU527" s="901"/>
      <c r="JWV527" s="901"/>
      <c r="JWW527" s="901"/>
      <c r="JWX527" s="901"/>
      <c r="JWY527" s="901"/>
      <c r="JWZ527" s="901"/>
      <c r="JXA527" s="901"/>
      <c r="JXB527" s="901"/>
      <c r="JXC527" s="901"/>
      <c r="JXD527" s="901"/>
      <c r="JXE527" s="901"/>
      <c r="JXF527" s="901"/>
      <c r="JXG527" s="901"/>
      <c r="JXH527" s="901"/>
      <c r="JXI527" s="901"/>
      <c r="JXJ527" s="901"/>
      <c r="JXK527" s="901"/>
      <c r="JXL527" s="901"/>
      <c r="JXM527" s="901"/>
      <c r="JXN527" s="901"/>
      <c r="JXO527" s="901"/>
      <c r="JXP527" s="901"/>
      <c r="JXQ527" s="901"/>
      <c r="JXR527" s="901"/>
      <c r="JXS527" s="901"/>
      <c r="JXT527" s="901"/>
      <c r="JXU527" s="901"/>
      <c r="JXV527" s="901"/>
      <c r="JXW527" s="901"/>
      <c r="JXX527" s="901"/>
      <c r="JXY527" s="901"/>
      <c r="JXZ527" s="901"/>
      <c r="JYA527" s="901"/>
      <c r="JYB527" s="901"/>
      <c r="JYC527" s="901"/>
      <c r="JYD527" s="901"/>
      <c r="JYE527" s="901"/>
      <c r="JYF527" s="901"/>
      <c r="JYG527" s="901"/>
      <c r="JYH527" s="901"/>
      <c r="JYI527" s="901"/>
      <c r="JYJ527" s="901"/>
      <c r="JYK527" s="901"/>
      <c r="JYL527" s="901"/>
      <c r="JYM527" s="901"/>
      <c r="JYN527" s="901"/>
      <c r="JYO527" s="901"/>
      <c r="JYP527" s="901"/>
      <c r="JYQ527" s="901"/>
      <c r="JYR527" s="901"/>
      <c r="JYS527" s="901"/>
      <c r="JYT527" s="901"/>
      <c r="JYU527" s="901"/>
      <c r="JYV527" s="901"/>
      <c r="JYW527" s="901"/>
      <c r="JYX527" s="901"/>
      <c r="JYY527" s="901"/>
      <c r="JYZ527" s="901"/>
      <c r="JZA527" s="901"/>
      <c r="JZB527" s="901"/>
      <c r="JZC527" s="901"/>
      <c r="JZD527" s="901"/>
      <c r="JZE527" s="901"/>
      <c r="JZF527" s="901"/>
      <c r="JZG527" s="901"/>
      <c r="JZH527" s="901"/>
      <c r="JZI527" s="901"/>
      <c r="JZJ527" s="901"/>
      <c r="JZK527" s="901"/>
      <c r="JZL527" s="901"/>
      <c r="JZM527" s="901"/>
      <c r="JZN527" s="901"/>
      <c r="JZO527" s="901"/>
      <c r="JZP527" s="901"/>
      <c r="JZQ527" s="901"/>
      <c r="JZR527" s="901"/>
      <c r="JZS527" s="901"/>
      <c r="JZT527" s="901"/>
      <c r="JZU527" s="901"/>
      <c r="JZV527" s="901"/>
      <c r="JZW527" s="901"/>
      <c r="JZX527" s="901"/>
      <c r="JZY527" s="901"/>
      <c r="JZZ527" s="901"/>
      <c r="KAA527" s="901"/>
      <c r="KAB527" s="901"/>
      <c r="KAC527" s="901"/>
      <c r="KAD527" s="901"/>
      <c r="KAE527" s="901"/>
      <c r="KAF527" s="901"/>
      <c r="KAG527" s="901"/>
      <c r="KAH527" s="901"/>
      <c r="KAI527" s="901"/>
      <c r="KAJ527" s="901"/>
      <c r="KAK527" s="901"/>
      <c r="KAL527" s="901"/>
      <c r="KAM527" s="901"/>
      <c r="KAN527" s="901"/>
      <c r="KAO527" s="901"/>
      <c r="KAP527" s="901"/>
      <c r="KAQ527" s="901"/>
      <c r="KAR527" s="901"/>
      <c r="KAS527" s="901"/>
      <c r="KAT527" s="901"/>
      <c r="KAU527" s="901"/>
      <c r="KAV527" s="901"/>
      <c r="KAW527" s="901"/>
      <c r="KAX527" s="901"/>
      <c r="KAY527" s="901"/>
      <c r="KAZ527" s="901"/>
      <c r="KBA527" s="901"/>
      <c r="KBB527" s="901"/>
      <c r="KBC527" s="901"/>
      <c r="KBD527" s="901"/>
      <c r="KBE527" s="901"/>
      <c r="KBF527" s="901"/>
      <c r="KBG527" s="901"/>
      <c r="KBH527" s="901"/>
      <c r="KBI527" s="901"/>
      <c r="KBJ527" s="901"/>
      <c r="KBK527" s="901"/>
      <c r="KBL527" s="901"/>
      <c r="KBM527" s="901"/>
      <c r="KBN527" s="901"/>
      <c r="KBO527" s="901"/>
      <c r="KBP527" s="901"/>
      <c r="KBQ527" s="901"/>
      <c r="KBR527" s="901"/>
      <c r="KBS527" s="901"/>
      <c r="KBT527" s="901"/>
      <c r="KBU527" s="901"/>
      <c r="KBV527" s="901"/>
      <c r="KBW527" s="901"/>
      <c r="KBX527" s="901"/>
      <c r="KBY527" s="901"/>
      <c r="KBZ527" s="901"/>
      <c r="KCA527" s="901"/>
      <c r="KCB527" s="901"/>
      <c r="KCC527" s="901"/>
      <c r="KCD527" s="901"/>
      <c r="KCE527" s="901"/>
      <c r="KCF527" s="901"/>
      <c r="KCG527" s="901"/>
      <c r="KCH527" s="901"/>
      <c r="KCI527" s="901"/>
      <c r="KCJ527" s="901"/>
      <c r="KCK527" s="901"/>
      <c r="KCL527" s="901"/>
      <c r="KCM527" s="901"/>
      <c r="KCN527" s="901"/>
      <c r="KCO527" s="901"/>
      <c r="KCP527" s="901"/>
      <c r="KCQ527" s="901"/>
      <c r="KCR527" s="901"/>
      <c r="KCS527" s="901"/>
      <c r="KCT527" s="901"/>
      <c r="KCU527" s="901"/>
      <c r="KCV527" s="901"/>
      <c r="KCW527" s="901"/>
      <c r="KCX527" s="901"/>
      <c r="KCY527" s="901"/>
      <c r="KCZ527" s="901"/>
      <c r="KDA527" s="901"/>
      <c r="KDB527" s="901"/>
      <c r="KDC527" s="901"/>
      <c r="KDD527" s="901"/>
      <c r="KDE527" s="901"/>
      <c r="KDF527" s="901"/>
      <c r="KDG527" s="901"/>
      <c r="KDH527" s="901"/>
      <c r="KDI527" s="901"/>
      <c r="KDJ527" s="901"/>
      <c r="KDK527" s="901"/>
      <c r="KDL527" s="901"/>
      <c r="KDM527" s="901"/>
      <c r="KDN527" s="901"/>
      <c r="KDO527" s="901"/>
      <c r="KDP527" s="901"/>
      <c r="KDQ527" s="901"/>
      <c r="KDR527" s="901"/>
      <c r="KDS527" s="901"/>
      <c r="KDT527" s="901"/>
      <c r="KDU527" s="901"/>
      <c r="KDV527" s="901"/>
      <c r="KDW527" s="901"/>
      <c r="KDX527" s="901"/>
      <c r="KDY527" s="901"/>
      <c r="KDZ527" s="901"/>
      <c r="KEA527" s="901"/>
      <c r="KEB527" s="901"/>
      <c r="KEC527" s="901"/>
      <c r="KED527" s="901"/>
      <c r="KEE527" s="901"/>
      <c r="KEF527" s="901"/>
      <c r="KEG527" s="901"/>
      <c r="KEH527" s="901"/>
      <c r="KEI527" s="901"/>
      <c r="KEJ527" s="901"/>
      <c r="KEK527" s="901"/>
      <c r="KEL527" s="901"/>
      <c r="KEM527" s="901"/>
      <c r="KEN527" s="901"/>
      <c r="KEO527" s="901"/>
      <c r="KEP527" s="901"/>
      <c r="KEQ527" s="901"/>
      <c r="KER527" s="901"/>
      <c r="KES527" s="901"/>
      <c r="KET527" s="901"/>
      <c r="KEU527" s="901"/>
      <c r="KEV527" s="901"/>
      <c r="KEW527" s="901"/>
      <c r="KEX527" s="901"/>
      <c r="KEY527" s="901"/>
      <c r="KEZ527" s="901"/>
      <c r="KFA527" s="901"/>
      <c r="KFB527" s="901"/>
      <c r="KFC527" s="901"/>
      <c r="KFD527" s="901"/>
      <c r="KFE527" s="901"/>
      <c r="KFF527" s="901"/>
      <c r="KFG527" s="901"/>
      <c r="KFH527" s="901"/>
      <c r="KFI527" s="901"/>
      <c r="KFJ527" s="901"/>
      <c r="KFK527" s="901"/>
      <c r="KFL527" s="901"/>
      <c r="KFM527" s="901"/>
      <c r="KFN527" s="901"/>
      <c r="KFO527" s="901"/>
      <c r="KFP527" s="901"/>
      <c r="KFQ527" s="901"/>
      <c r="KFR527" s="901"/>
      <c r="KFS527" s="901"/>
      <c r="KFT527" s="901"/>
      <c r="KFU527" s="901"/>
      <c r="KFV527" s="901"/>
      <c r="KFW527" s="901"/>
      <c r="KFX527" s="901"/>
      <c r="KFY527" s="901"/>
      <c r="KFZ527" s="901"/>
      <c r="KGA527" s="901"/>
      <c r="KGB527" s="901"/>
      <c r="KGC527" s="901"/>
      <c r="KGD527" s="901"/>
      <c r="KGE527" s="901"/>
      <c r="KGF527" s="901"/>
      <c r="KGG527" s="901"/>
      <c r="KGH527" s="901"/>
      <c r="KGI527" s="901"/>
      <c r="KGJ527" s="901"/>
      <c r="KGK527" s="901"/>
      <c r="KGL527" s="901"/>
      <c r="KGM527" s="901"/>
      <c r="KGN527" s="901"/>
      <c r="KGO527" s="901"/>
      <c r="KGP527" s="901"/>
      <c r="KGQ527" s="901"/>
      <c r="KGR527" s="901"/>
      <c r="KGS527" s="901"/>
      <c r="KGT527" s="901"/>
      <c r="KGU527" s="901"/>
      <c r="KGV527" s="901"/>
      <c r="KGW527" s="901"/>
      <c r="KGX527" s="901"/>
      <c r="KGY527" s="901"/>
      <c r="KGZ527" s="901"/>
      <c r="KHA527" s="901"/>
      <c r="KHB527" s="901"/>
      <c r="KHC527" s="901"/>
      <c r="KHD527" s="901"/>
      <c r="KHE527" s="901"/>
      <c r="KHF527" s="901"/>
      <c r="KHG527" s="901"/>
      <c r="KHH527" s="901"/>
      <c r="KHI527" s="901"/>
      <c r="KHJ527" s="901"/>
      <c r="KHK527" s="901"/>
      <c r="KHL527" s="901"/>
      <c r="KHM527" s="901"/>
      <c r="KHN527" s="901"/>
      <c r="KHO527" s="901"/>
      <c r="KHP527" s="901"/>
      <c r="KHQ527" s="901"/>
      <c r="KHR527" s="901"/>
      <c r="KHS527" s="901"/>
      <c r="KHT527" s="901"/>
      <c r="KHU527" s="901"/>
      <c r="KHV527" s="901"/>
      <c r="KHW527" s="901"/>
      <c r="KHX527" s="901"/>
      <c r="KHY527" s="901"/>
      <c r="KHZ527" s="901"/>
      <c r="KIA527" s="901"/>
      <c r="KIB527" s="901"/>
      <c r="KIC527" s="901"/>
      <c r="KID527" s="901"/>
      <c r="KIE527" s="901"/>
      <c r="KIF527" s="901"/>
      <c r="KIG527" s="901"/>
      <c r="KIH527" s="901"/>
      <c r="KII527" s="901"/>
      <c r="KIJ527" s="901"/>
      <c r="KIK527" s="901"/>
      <c r="KIL527" s="901"/>
      <c r="KIM527" s="901"/>
      <c r="KIN527" s="901"/>
      <c r="KIO527" s="901"/>
      <c r="KIP527" s="901"/>
      <c r="KIQ527" s="901"/>
      <c r="KIR527" s="901"/>
      <c r="KIS527" s="901"/>
      <c r="KIT527" s="901"/>
      <c r="KIU527" s="901"/>
      <c r="KIV527" s="901"/>
      <c r="KIW527" s="901"/>
      <c r="KIX527" s="901"/>
      <c r="KIY527" s="901"/>
      <c r="KIZ527" s="901"/>
      <c r="KJA527" s="901"/>
      <c r="KJB527" s="901"/>
      <c r="KJC527" s="901"/>
      <c r="KJD527" s="901"/>
      <c r="KJE527" s="901"/>
      <c r="KJF527" s="901"/>
      <c r="KJG527" s="901"/>
      <c r="KJH527" s="901"/>
      <c r="KJI527" s="901"/>
      <c r="KJJ527" s="901"/>
      <c r="KJK527" s="901"/>
      <c r="KJL527" s="901"/>
      <c r="KJM527" s="901"/>
      <c r="KJN527" s="901"/>
      <c r="KJO527" s="901"/>
      <c r="KJP527" s="901"/>
      <c r="KJQ527" s="901"/>
      <c r="KJR527" s="901"/>
      <c r="KJS527" s="901"/>
      <c r="KJT527" s="901"/>
      <c r="KJU527" s="901"/>
      <c r="KJV527" s="901"/>
      <c r="KJW527" s="901"/>
      <c r="KJX527" s="901"/>
      <c r="KJY527" s="901"/>
      <c r="KJZ527" s="901"/>
      <c r="KKA527" s="901"/>
      <c r="KKB527" s="901"/>
      <c r="KKC527" s="901"/>
      <c r="KKD527" s="901"/>
      <c r="KKE527" s="901"/>
      <c r="KKF527" s="901"/>
      <c r="KKG527" s="901"/>
      <c r="KKH527" s="901"/>
      <c r="KKI527" s="901"/>
      <c r="KKJ527" s="901"/>
      <c r="KKK527" s="901"/>
      <c r="KKL527" s="901"/>
      <c r="KKM527" s="901"/>
      <c r="KKN527" s="901"/>
      <c r="KKO527" s="901"/>
      <c r="KKP527" s="901"/>
      <c r="KKQ527" s="901"/>
      <c r="KKR527" s="901"/>
      <c r="KKS527" s="901"/>
      <c r="KKT527" s="901"/>
      <c r="KKU527" s="901"/>
      <c r="KKV527" s="901"/>
      <c r="KKW527" s="901"/>
      <c r="KKX527" s="901"/>
      <c r="KKY527" s="901"/>
      <c r="KKZ527" s="901"/>
      <c r="KLA527" s="901"/>
      <c r="KLB527" s="901"/>
      <c r="KLC527" s="901"/>
      <c r="KLD527" s="901"/>
      <c r="KLE527" s="901"/>
      <c r="KLF527" s="901"/>
      <c r="KLG527" s="901"/>
      <c r="KLH527" s="901"/>
      <c r="KLI527" s="901"/>
      <c r="KLJ527" s="901"/>
      <c r="KLK527" s="901"/>
      <c r="KLL527" s="901"/>
      <c r="KLM527" s="901"/>
      <c r="KLN527" s="901"/>
      <c r="KLO527" s="901"/>
      <c r="KLP527" s="901"/>
      <c r="KLQ527" s="901"/>
      <c r="KLR527" s="901"/>
      <c r="KLS527" s="901"/>
      <c r="KLT527" s="901"/>
      <c r="KLU527" s="901"/>
      <c r="KLV527" s="901"/>
      <c r="KLW527" s="901"/>
      <c r="KLX527" s="901"/>
      <c r="KLY527" s="901"/>
      <c r="KLZ527" s="901"/>
      <c r="KMA527" s="901"/>
      <c r="KMB527" s="901"/>
      <c r="KMC527" s="901"/>
      <c r="KMD527" s="901"/>
      <c r="KME527" s="901"/>
      <c r="KMF527" s="901"/>
      <c r="KMG527" s="901"/>
      <c r="KMH527" s="901"/>
      <c r="KMI527" s="901"/>
      <c r="KMJ527" s="901"/>
      <c r="KMK527" s="901"/>
      <c r="KML527" s="901"/>
      <c r="KMM527" s="901"/>
      <c r="KMN527" s="901"/>
      <c r="KMO527" s="901"/>
      <c r="KMP527" s="901"/>
      <c r="KMQ527" s="901"/>
      <c r="KMR527" s="901"/>
      <c r="KMS527" s="901"/>
      <c r="KMT527" s="901"/>
      <c r="KMU527" s="901"/>
      <c r="KMV527" s="901"/>
      <c r="KMW527" s="901"/>
      <c r="KMX527" s="901"/>
      <c r="KMY527" s="901"/>
      <c r="KMZ527" s="901"/>
      <c r="KNA527" s="901"/>
      <c r="KNB527" s="901"/>
      <c r="KNC527" s="901"/>
      <c r="KND527" s="901"/>
      <c r="KNE527" s="901"/>
      <c r="KNF527" s="901"/>
      <c r="KNG527" s="901"/>
      <c r="KNH527" s="901"/>
      <c r="KNI527" s="901"/>
      <c r="KNJ527" s="901"/>
      <c r="KNK527" s="901"/>
      <c r="KNL527" s="901"/>
      <c r="KNM527" s="901"/>
      <c r="KNN527" s="901"/>
      <c r="KNO527" s="901"/>
      <c r="KNP527" s="901"/>
      <c r="KNQ527" s="901"/>
      <c r="KNR527" s="901"/>
      <c r="KNS527" s="901"/>
      <c r="KNT527" s="901"/>
      <c r="KNU527" s="901"/>
      <c r="KNV527" s="901"/>
      <c r="KNW527" s="901"/>
      <c r="KNX527" s="901"/>
      <c r="KNY527" s="901"/>
      <c r="KNZ527" s="901"/>
      <c r="KOA527" s="901"/>
      <c r="KOB527" s="901"/>
      <c r="KOC527" s="901"/>
      <c r="KOD527" s="901"/>
      <c r="KOE527" s="901"/>
      <c r="KOF527" s="901"/>
      <c r="KOG527" s="901"/>
      <c r="KOH527" s="901"/>
      <c r="KOI527" s="901"/>
      <c r="KOJ527" s="901"/>
      <c r="KOK527" s="901"/>
      <c r="KOL527" s="901"/>
      <c r="KOM527" s="901"/>
      <c r="KON527" s="901"/>
      <c r="KOO527" s="901"/>
      <c r="KOP527" s="901"/>
      <c r="KOQ527" s="901"/>
      <c r="KOR527" s="901"/>
      <c r="KOS527" s="901"/>
      <c r="KOT527" s="901"/>
      <c r="KOU527" s="901"/>
      <c r="KOV527" s="901"/>
      <c r="KOW527" s="901"/>
      <c r="KOX527" s="901"/>
      <c r="KOY527" s="901"/>
      <c r="KOZ527" s="901"/>
      <c r="KPA527" s="901"/>
      <c r="KPB527" s="901"/>
      <c r="KPC527" s="901"/>
      <c r="KPD527" s="901"/>
      <c r="KPE527" s="901"/>
      <c r="KPF527" s="901"/>
      <c r="KPG527" s="901"/>
      <c r="KPH527" s="901"/>
      <c r="KPI527" s="901"/>
      <c r="KPJ527" s="901"/>
      <c r="KPK527" s="901"/>
      <c r="KPL527" s="901"/>
      <c r="KPM527" s="901"/>
      <c r="KPN527" s="901"/>
      <c r="KPO527" s="901"/>
      <c r="KPP527" s="901"/>
      <c r="KPQ527" s="901"/>
      <c r="KPR527" s="901"/>
      <c r="KPS527" s="901"/>
      <c r="KPT527" s="901"/>
      <c r="KPU527" s="901"/>
      <c r="KPV527" s="901"/>
      <c r="KPW527" s="901"/>
      <c r="KPX527" s="901"/>
      <c r="KPY527" s="901"/>
      <c r="KPZ527" s="901"/>
      <c r="KQA527" s="901"/>
      <c r="KQB527" s="901"/>
      <c r="KQC527" s="901"/>
      <c r="KQD527" s="901"/>
      <c r="KQE527" s="901"/>
      <c r="KQF527" s="901"/>
      <c r="KQG527" s="901"/>
      <c r="KQH527" s="901"/>
      <c r="KQI527" s="901"/>
      <c r="KQJ527" s="901"/>
      <c r="KQK527" s="901"/>
      <c r="KQL527" s="901"/>
      <c r="KQM527" s="901"/>
      <c r="KQN527" s="901"/>
      <c r="KQO527" s="901"/>
      <c r="KQP527" s="901"/>
      <c r="KQQ527" s="901"/>
      <c r="KQR527" s="901"/>
      <c r="KQS527" s="901"/>
      <c r="KQT527" s="901"/>
      <c r="KQU527" s="901"/>
      <c r="KQV527" s="901"/>
      <c r="KQW527" s="901"/>
      <c r="KQX527" s="901"/>
      <c r="KQY527" s="901"/>
      <c r="KQZ527" s="901"/>
      <c r="KRA527" s="901"/>
      <c r="KRB527" s="901"/>
      <c r="KRC527" s="901"/>
      <c r="KRD527" s="901"/>
      <c r="KRE527" s="901"/>
      <c r="KRF527" s="901"/>
      <c r="KRG527" s="901"/>
      <c r="KRH527" s="901"/>
      <c r="KRI527" s="901"/>
      <c r="KRJ527" s="901"/>
      <c r="KRK527" s="901"/>
      <c r="KRL527" s="901"/>
      <c r="KRM527" s="901"/>
      <c r="KRN527" s="901"/>
      <c r="KRO527" s="901"/>
      <c r="KRP527" s="901"/>
      <c r="KRQ527" s="901"/>
      <c r="KRR527" s="901"/>
      <c r="KRS527" s="901"/>
      <c r="KRT527" s="901"/>
      <c r="KRU527" s="901"/>
      <c r="KRV527" s="901"/>
      <c r="KRW527" s="901"/>
      <c r="KRX527" s="901"/>
      <c r="KRY527" s="901"/>
      <c r="KRZ527" s="901"/>
      <c r="KSA527" s="901"/>
      <c r="KSB527" s="901"/>
      <c r="KSC527" s="901"/>
      <c r="KSD527" s="901"/>
      <c r="KSE527" s="901"/>
      <c r="KSF527" s="901"/>
      <c r="KSG527" s="901"/>
      <c r="KSH527" s="901"/>
      <c r="KSI527" s="901"/>
      <c r="KSJ527" s="901"/>
      <c r="KSK527" s="901"/>
      <c r="KSL527" s="901"/>
      <c r="KSM527" s="901"/>
      <c r="KSN527" s="901"/>
      <c r="KSO527" s="901"/>
      <c r="KSP527" s="901"/>
      <c r="KSQ527" s="901"/>
      <c r="KSR527" s="901"/>
      <c r="KSS527" s="901"/>
      <c r="KST527" s="901"/>
      <c r="KSU527" s="901"/>
      <c r="KSV527" s="901"/>
      <c r="KSW527" s="901"/>
      <c r="KSX527" s="901"/>
      <c r="KSY527" s="901"/>
      <c r="KSZ527" s="901"/>
      <c r="KTA527" s="901"/>
      <c r="KTB527" s="901"/>
      <c r="KTC527" s="901"/>
      <c r="KTD527" s="901"/>
      <c r="KTE527" s="901"/>
      <c r="KTF527" s="901"/>
      <c r="KTG527" s="901"/>
      <c r="KTH527" s="901"/>
      <c r="KTI527" s="901"/>
      <c r="KTJ527" s="901"/>
      <c r="KTK527" s="901"/>
      <c r="KTL527" s="901"/>
      <c r="KTM527" s="901"/>
      <c r="KTN527" s="901"/>
      <c r="KTO527" s="901"/>
      <c r="KTP527" s="901"/>
      <c r="KTQ527" s="901"/>
      <c r="KTR527" s="901"/>
      <c r="KTS527" s="901"/>
      <c r="KTT527" s="901"/>
      <c r="KTU527" s="901"/>
      <c r="KTV527" s="901"/>
      <c r="KTW527" s="901"/>
      <c r="KTX527" s="901"/>
      <c r="KTY527" s="901"/>
      <c r="KTZ527" s="901"/>
      <c r="KUA527" s="901"/>
      <c r="KUB527" s="901"/>
      <c r="KUC527" s="901"/>
      <c r="KUD527" s="901"/>
      <c r="KUE527" s="901"/>
      <c r="KUF527" s="901"/>
      <c r="KUG527" s="901"/>
      <c r="KUH527" s="901"/>
      <c r="KUI527" s="901"/>
      <c r="KUJ527" s="901"/>
      <c r="KUK527" s="901"/>
      <c r="KUL527" s="901"/>
      <c r="KUM527" s="901"/>
      <c r="KUN527" s="901"/>
      <c r="KUO527" s="901"/>
      <c r="KUP527" s="901"/>
      <c r="KUQ527" s="901"/>
      <c r="KUR527" s="901"/>
      <c r="KUS527" s="901"/>
      <c r="KUT527" s="901"/>
      <c r="KUU527" s="901"/>
      <c r="KUV527" s="901"/>
      <c r="KUW527" s="901"/>
      <c r="KUX527" s="901"/>
      <c r="KUY527" s="901"/>
      <c r="KUZ527" s="901"/>
      <c r="KVA527" s="901"/>
      <c r="KVB527" s="901"/>
      <c r="KVC527" s="901"/>
      <c r="KVD527" s="901"/>
      <c r="KVE527" s="901"/>
      <c r="KVF527" s="901"/>
      <c r="KVG527" s="901"/>
      <c r="KVH527" s="901"/>
      <c r="KVI527" s="901"/>
      <c r="KVJ527" s="901"/>
      <c r="KVK527" s="901"/>
      <c r="KVL527" s="901"/>
      <c r="KVM527" s="901"/>
      <c r="KVN527" s="901"/>
      <c r="KVO527" s="901"/>
      <c r="KVP527" s="901"/>
      <c r="KVQ527" s="901"/>
      <c r="KVR527" s="901"/>
      <c r="KVS527" s="901"/>
      <c r="KVT527" s="901"/>
      <c r="KVU527" s="901"/>
      <c r="KVV527" s="901"/>
      <c r="KVW527" s="901"/>
      <c r="KVX527" s="901"/>
      <c r="KVY527" s="901"/>
      <c r="KVZ527" s="901"/>
      <c r="KWA527" s="901"/>
      <c r="KWB527" s="901"/>
      <c r="KWC527" s="901"/>
      <c r="KWD527" s="901"/>
      <c r="KWE527" s="901"/>
      <c r="KWF527" s="901"/>
      <c r="KWG527" s="901"/>
      <c r="KWH527" s="901"/>
      <c r="KWI527" s="901"/>
      <c r="KWJ527" s="901"/>
      <c r="KWK527" s="901"/>
      <c r="KWL527" s="901"/>
      <c r="KWM527" s="901"/>
      <c r="KWN527" s="901"/>
      <c r="KWO527" s="901"/>
      <c r="KWP527" s="901"/>
      <c r="KWQ527" s="901"/>
      <c r="KWR527" s="901"/>
      <c r="KWS527" s="901"/>
      <c r="KWT527" s="901"/>
      <c r="KWU527" s="901"/>
      <c r="KWV527" s="901"/>
      <c r="KWW527" s="901"/>
      <c r="KWX527" s="901"/>
      <c r="KWY527" s="901"/>
      <c r="KWZ527" s="901"/>
      <c r="KXA527" s="901"/>
      <c r="KXB527" s="901"/>
      <c r="KXC527" s="901"/>
      <c r="KXD527" s="901"/>
      <c r="KXE527" s="901"/>
      <c r="KXF527" s="901"/>
      <c r="KXG527" s="901"/>
      <c r="KXH527" s="901"/>
      <c r="KXI527" s="901"/>
      <c r="KXJ527" s="901"/>
      <c r="KXK527" s="901"/>
      <c r="KXL527" s="901"/>
      <c r="KXM527" s="901"/>
      <c r="KXN527" s="901"/>
      <c r="KXO527" s="901"/>
      <c r="KXP527" s="901"/>
      <c r="KXQ527" s="901"/>
      <c r="KXR527" s="901"/>
      <c r="KXS527" s="901"/>
      <c r="KXT527" s="901"/>
      <c r="KXU527" s="901"/>
      <c r="KXV527" s="901"/>
      <c r="KXW527" s="901"/>
      <c r="KXX527" s="901"/>
      <c r="KXY527" s="901"/>
      <c r="KXZ527" s="901"/>
      <c r="KYA527" s="901"/>
      <c r="KYB527" s="901"/>
      <c r="KYC527" s="901"/>
      <c r="KYD527" s="901"/>
      <c r="KYE527" s="901"/>
      <c r="KYF527" s="901"/>
      <c r="KYG527" s="901"/>
      <c r="KYH527" s="901"/>
      <c r="KYI527" s="901"/>
      <c r="KYJ527" s="901"/>
      <c r="KYK527" s="901"/>
      <c r="KYL527" s="901"/>
      <c r="KYM527" s="901"/>
      <c r="KYN527" s="901"/>
      <c r="KYO527" s="901"/>
      <c r="KYP527" s="901"/>
      <c r="KYQ527" s="901"/>
      <c r="KYR527" s="901"/>
      <c r="KYS527" s="901"/>
      <c r="KYT527" s="901"/>
      <c r="KYU527" s="901"/>
      <c r="KYV527" s="901"/>
      <c r="KYW527" s="901"/>
      <c r="KYX527" s="901"/>
      <c r="KYY527" s="901"/>
      <c r="KYZ527" s="901"/>
      <c r="KZA527" s="901"/>
      <c r="KZB527" s="901"/>
      <c r="KZC527" s="901"/>
      <c r="KZD527" s="901"/>
      <c r="KZE527" s="901"/>
      <c r="KZF527" s="901"/>
      <c r="KZG527" s="901"/>
      <c r="KZH527" s="901"/>
      <c r="KZI527" s="901"/>
      <c r="KZJ527" s="901"/>
      <c r="KZK527" s="901"/>
      <c r="KZL527" s="901"/>
      <c r="KZM527" s="901"/>
      <c r="KZN527" s="901"/>
      <c r="KZO527" s="901"/>
      <c r="KZP527" s="901"/>
      <c r="KZQ527" s="901"/>
      <c r="KZR527" s="901"/>
      <c r="KZS527" s="901"/>
      <c r="KZT527" s="901"/>
      <c r="KZU527" s="901"/>
      <c r="KZV527" s="901"/>
      <c r="KZW527" s="901"/>
      <c r="KZX527" s="901"/>
      <c r="KZY527" s="901"/>
      <c r="KZZ527" s="901"/>
      <c r="LAA527" s="901"/>
      <c r="LAB527" s="901"/>
      <c r="LAC527" s="901"/>
      <c r="LAD527" s="901"/>
      <c r="LAE527" s="901"/>
      <c r="LAF527" s="901"/>
      <c r="LAG527" s="901"/>
      <c r="LAH527" s="901"/>
      <c r="LAI527" s="901"/>
      <c r="LAJ527" s="901"/>
      <c r="LAK527" s="901"/>
      <c r="LAL527" s="901"/>
      <c r="LAM527" s="901"/>
      <c r="LAN527" s="901"/>
      <c r="LAO527" s="901"/>
      <c r="LAP527" s="901"/>
      <c r="LAQ527" s="901"/>
      <c r="LAR527" s="901"/>
      <c r="LAS527" s="901"/>
      <c r="LAT527" s="901"/>
      <c r="LAU527" s="901"/>
      <c r="LAV527" s="901"/>
      <c r="LAW527" s="901"/>
      <c r="LAX527" s="901"/>
      <c r="LAY527" s="901"/>
      <c r="LAZ527" s="901"/>
      <c r="LBA527" s="901"/>
      <c r="LBB527" s="901"/>
      <c r="LBC527" s="901"/>
      <c r="LBD527" s="901"/>
      <c r="LBE527" s="901"/>
      <c r="LBF527" s="901"/>
      <c r="LBG527" s="901"/>
      <c r="LBH527" s="901"/>
      <c r="LBI527" s="901"/>
      <c r="LBJ527" s="901"/>
      <c r="LBK527" s="901"/>
      <c r="LBL527" s="901"/>
      <c r="LBM527" s="901"/>
      <c r="LBN527" s="901"/>
      <c r="LBO527" s="901"/>
      <c r="LBP527" s="901"/>
      <c r="LBQ527" s="901"/>
      <c r="LBR527" s="901"/>
      <c r="LBS527" s="901"/>
      <c r="LBT527" s="901"/>
      <c r="LBU527" s="901"/>
      <c r="LBV527" s="901"/>
      <c r="LBW527" s="901"/>
      <c r="LBX527" s="901"/>
      <c r="LBY527" s="901"/>
      <c r="LBZ527" s="901"/>
      <c r="LCA527" s="901"/>
      <c r="LCB527" s="901"/>
      <c r="LCC527" s="901"/>
      <c r="LCD527" s="901"/>
      <c r="LCE527" s="901"/>
      <c r="LCF527" s="901"/>
      <c r="LCG527" s="901"/>
      <c r="LCH527" s="901"/>
      <c r="LCI527" s="901"/>
      <c r="LCJ527" s="901"/>
      <c r="LCK527" s="901"/>
      <c r="LCL527" s="901"/>
      <c r="LCM527" s="901"/>
      <c r="LCN527" s="901"/>
      <c r="LCO527" s="901"/>
      <c r="LCP527" s="901"/>
      <c r="LCQ527" s="901"/>
      <c r="LCR527" s="901"/>
      <c r="LCS527" s="901"/>
      <c r="LCT527" s="901"/>
      <c r="LCU527" s="901"/>
      <c r="LCV527" s="901"/>
      <c r="LCW527" s="901"/>
      <c r="LCX527" s="901"/>
      <c r="LCY527" s="901"/>
      <c r="LCZ527" s="901"/>
      <c r="LDA527" s="901"/>
      <c r="LDB527" s="901"/>
      <c r="LDC527" s="901"/>
      <c r="LDD527" s="901"/>
      <c r="LDE527" s="901"/>
      <c r="LDF527" s="901"/>
      <c r="LDG527" s="901"/>
      <c r="LDH527" s="901"/>
      <c r="LDI527" s="901"/>
      <c r="LDJ527" s="901"/>
      <c r="LDK527" s="901"/>
      <c r="LDL527" s="901"/>
      <c r="LDM527" s="901"/>
      <c r="LDN527" s="901"/>
      <c r="LDO527" s="901"/>
      <c r="LDP527" s="901"/>
      <c r="LDQ527" s="901"/>
      <c r="LDR527" s="901"/>
      <c r="LDS527" s="901"/>
      <c r="LDT527" s="901"/>
      <c r="LDU527" s="901"/>
      <c r="LDV527" s="901"/>
      <c r="LDW527" s="901"/>
      <c r="LDX527" s="901"/>
      <c r="LDY527" s="901"/>
      <c r="LDZ527" s="901"/>
      <c r="LEA527" s="901"/>
      <c r="LEB527" s="901"/>
      <c r="LEC527" s="901"/>
      <c r="LED527" s="901"/>
      <c r="LEE527" s="901"/>
      <c r="LEF527" s="901"/>
      <c r="LEG527" s="901"/>
      <c r="LEH527" s="901"/>
      <c r="LEI527" s="901"/>
      <c r="LEJ527" s="901"/>
      <c r="LEK527" s="901"/>
      <c r="LEL527" s="901"/>
      <c r="LEM527" s="901"/>
      <c r="LEN527" s="901"/>
      <c r="LEO527" s="901"/>
      <c r="LEP527" s="901"/>
      <c r="LEQ527" s="901"/>
      <c r="LER527" s="901"/>
      <c r="LES527" s="901"/>
      <c r="LET527" s="901"/>
      <c r="LEU527" s="901"/>
      <c r="LEV527" s="901"/>
      <c r="LEW527" s="901"/>
      <c r="LEX527" s="901"/>
      <c r="LEY527" s="901"/>
      <c r="LEZ527" s="901"/>
      <c r="LFA527" s="901"/>
      <c r="LFB527" s="901"/>
      <c r="LFC527" s="901"/>
      <c r="LFD527" s="901"/>
      <c r="LFE527" s="901"/>
      <c r="LFF527" s="901"/>
      <c r="LFG527" s="901"/>
      <c r="LFH527" s="901"/>
      <c r="LFI527" s="901"/>
      <c r="LFJ527" s="901"/>
      <c r="LFK527" s="901"/>
      <c r="LFL527" s="901"/>
      <c r="LFM527" s="901"/>
      <c r="LFN527" s="901"/>
      <c r="LFO527" s="901"/>
      <c r="LFP527" s="901"/>
      <c r="LFQ527" s="901"/>
      <c r="LFR527" s="901"/>
      <c r="LFS527" s="901"/>
      <c r="LFT527" s="901"/>
      <c r="LFU527" s="901"/>
      <c r="LFV527" s="901"/>
      <c r="LFW527" s="901"/>
      <c r="LFX527" s="901"/>
      <c r="LFY527" s="901"/>
      <c r="LFZ527" s="901"/>
      <c r="LGA527" s="901"/>
      <c r="LGB527" s="901"/>
      <c r="LGC527" s="901"/>
      <c r="LGD527" s="901"/>
      <c r="LGE527" s="901"/>
      <c r="LGF527" s="901"/>
      <c r="LGG527" s="901"/>
      <c r="LGH527" s="901"/>
      <c r="LGI527" s="901"/>
      <c r="LGJ527" s="901"/>
      <c r="LGK527" s="901"/>
      <c r="LGL527" s="901"/>
      <c r="LGM527" s="901"/>
      <c r="LGN527" s="901"/>
      <c r="LGO527" s="901"/>
      <c r="LGP527" s="901"/>
      <c r="LGQ527" s="901"/>
      <c r="LGR527" s="901"/>
      <c r="LGS527" s="901"/>
      <c r="LGT527" s="901"/>
      <c r="LGU527" s="901"/>
      <c r="LGV527" s="901"/>
      <c r="LGW527" s="901"/>
      <c r="LGX527" s="901"/>
      <c r="LGY527" s="901"/>
      <c r="LGZ527" s="901"/>
      <c r="LHA527" s="901"/>
      <c r="LHB527" s="901"/>
      <c r="LHC527" s="901"/>
      <c r="LHD527" s="901"/>
      <c r="LHE527" s="901"/>
      <c r="LHF527" s="901"/>
      <c r="LHG527" s="901"/>
      <c r="LHH527" s="901"/>
      <c r="LHI527" s="901"/>
      <c r="LHJ527" s="901"/>
      <c r="LHK527" s="901"/>
      <c r="LHL527" s="901"/>
      <c r="LHM527" s="901"/>
      <c r="LHN527" s="901"/>
      <c r="LHO527" s="901"/>
      <c r="LHP527" s="901"/>
      <c r="LHQ527" s="901"/>
      <c r="LHR527" s="901"/>
      <c r="LHS527" s="901"/>
      <c r="LHT527" s="901"/>
      <c r="LHU527" s="901"/>
      <c r="LHV527" s="901"/>
      <c r="LHW527" s="901"/>
      <c r="LHX527" s="901"/>
      <c r="LHY527" s="901"/>
      <c r="LHZ527" s="901"/>
      <c r="LIA527" s="901"/>
      <c r="LIB527" s="901"/>
      <c r="LIC527" s="901"/>
      <c r="LID527" s="901"/>
      <c r="LIE527" s="901"/>
      <c r="LIF527" s="901"/>
      <c r="LIG527" s="901"/>
      <c r="LIH527" s="901"/>
      <c r="LII527" s="901"/>
      <c r="LIJ527" s="901"/>
      <c r="LIK527" s="901"/>
      <c r="LIL527" s="901"/>
      <c r="LIM527" s="901"/>
      <c r="LIN527" s="901"/>
      <c r="LIO527" s="901"/>
      <c r="LIP527" s="901"/>
      <c r="LIQ527" s="901"/>
      <c r="LIR527" s="901"/>
      <c r="LIS527" s="901"/>
      <c r="LIT527" s="901"/>
      <c r="LIU527" s="901"/>
      <c r="LIV527" s="901"/>
      <c r="LIW527" s="901"/>
      <c r="LIX527" s="901"/>
      <c r="LIY527" s="901"/>
      <c r="LIZ527" s="901"/>
      <c r="LJA527" s="901"/>
      <c r="LJB527" s="901"/>
      <c r="LJC527" s="901"/>
      <c r="LJD527" s="901"/>
      <c r="LJE527" s="901"/>
      <c r="LJF527" s="901"/>
      <c r="LJG527" s="901"/>
      <c r="LJH527" s="901"/>
      <c r="LJI527" s="901"/>
      <c r="LJJ527" s="901"/>
      <c r="LJK527" s="901"/>
      <c r="LJL527" s="901"/>
      <c r="LJM527" s="901"/>
      <c r="LJN527" s="901"/>
      <c r="LJO527" s="901"/>
      <c r="LJP527" s="901"/>
      <c r="LJQ527" s="901"/>
      <c r="LJR527" s="901"/>
      <c r="LJS527" s="901"/>
      <c r="LJT527" s="901"/>
      <c r="LJU527" s="901"/>
      <c r="LJV527" s="901"/>
      <c r="LJW527" s="901"/>
      <c r="LJX527" s="901"/>
      <c r="LJY527" s="901"/>
      <c r="LJZ527" s="901"/>
      <c r="LKA527" s="901"/>
      <c r="LKB527" s="901"/>
      <c r="LKC527" s="901"/>
      <c r="LKD527" s="901"/>
      <c r="LKE527" s="901"/>
      <c r="LKF527" s="901"/>
      <c r="LKG527" s="901"/>
      <c r="LKH527" s="901"/>
      <c r="LKI527" s="901"/>
      <c r="LKJ527" s="901"/>
      <c r="LKK527" s="901"/>
      <c r="LKL527" s="901"/>
      <c r="LKM527" s="901"/>
      <c r="LKN527" s="901"/>
      <c r="LKO527" s="901"/>
      <c r="LKP527" s="901"/>
      <c r="LKQ527" s="901"/>
      <c r="LKR527" s="901"/>
      <c r="LKS527" s="901"/>
      <c r="LKT527" s="901"/>
      <c r="LKU527" s="901"/>
      <c r="LKV527" s="901"/>
      <c r="LKW527" s="901"/>
      <c r="LKX527" s="901"/>
      <c r="LKY527" s="901"/>
      <c r="LKZ527" s="901"/>
      <c r="LLA527" s="901"/>
      <c r="LLB527" s="901"/>
      <c r="LLC527" s="901"/>
      <c r="LLD527" s="901"/>
      <c r="LLE527" s="901"/>
      <c r="LLF527" s="901"/>
      <c r="LLG527" s="901"/>
      <c r="LLH527" s="901"/>
      <c r="LLI527" s="901"/>
      <c r="LLJ527" s="901"/>
      <c r="LLK527" s="901"/>
      <c r="LLL527" s="901"/>
      <c r="LLM527" s="901"/>
      <c r="LLN527" s="901"/>
      <c r="LLO527" s="901"/>
      <c r="LLP527" s="901"/>
      <c r="LLQ527" s="901"/>
      <c r="LLR527" s="901"/>
      <c r="LLS527" s="901"/>
      <c r="LLT527" s="901"/>
      <c r="LLU527" s="901"/>
      <c r="LLV527" s="901"/>
      <c r="LLW527" s="901"/>
      <c r="LLX527" s="901"/>
      <c r="LLY527" s="901"/>
      <c r="LLZ527" s="901"/>
      <c r="LMA527" s="901"/>
      <c r="LMB527" s="901"/>
      <c r="LMC527" s="901"/>
      <c r="LMD527" s="901"/>
      <c r="LME527" s="901"/>
      <c r="LMF527" s="901"/>
      <c r="LMG527" s="901"/>
      <c r="LMH527" s="901"/>
      <c r="LMI527" s="901"/>
      <c r="LMJ527" s="901"/>
      <c r="LMK527" s="901"/>
      <c r="LML527" s="901"/>
      <c r="LMM527" s="901"/>
      <c r="LMN527" s="901"/>
      <c r="LMO527" s="901"/>
      <c r="LMP527" s="901"/>
      <c r="LMQ527" s="901"/>
      <c r="LMR527" s="901"/>
      <c r="LMS527" s="901"/>
      <c r="LMT527" s="901"/>
      <c r="LMU527" s="901"/>
      <c r="LMV527" s="901"/>
      <c r="LMW527" s="901"/>
      <c r="LMX527" s="901"/>
      <c r="LMY527" s="901"/>
      <c r="LMZ527" s="901"/>
      <c r="LNA527" s="901"/>
      <c r="LNB527" s="901"/>
      <c r="LNC527" s="901"/>
      <c r="LND527" s="901"/>
      <c r="LNE527" s="901"/>
      <c r="LNF527" s="901"/>
      <c r="LNG527" s="901"/>
      <c r="LNH527" s="901"/>
      <c r="LNI527" s="901"/>
      <c r="LNJ527" s="901"/>
      <c r="LNK527" s="901"/>
      <c r="LNL527" s="901"/>
      <c r="LNM527" s="901"/>
      <c r="LNN527" s="901"/>
      <c r="LNO527" s="901"/>
      <c r="LNP527" s="901"/>
      <c r="LNQ527" s="901"/>
      <c r="LNR527" s="901"/>
      <c r="LNS527" s="901"/>
      <c r="LNT527" s="901"/>
      <c r="LNU527" s="901"/>
      <c r="LNV527" s="901"/>
      <c r="LNW527" s="901"/>
      <c r="LNX527" s="901"/>
      <c r="LNY527" s="901"/>
      <c r="LNZ527" s="901"/>
      <c r="LOA527" s="901"/>
      <c r="LOB527" s="901"/>
      <c r="LOC527" s="901"/>
      <c r="LOD527" s="901"/>
      <c r="LOE527" s="901"/>
      <c r="LOF527" s="901"/>
      <c r="LOG527" s="901"/>
      <c r="LOH527" s="901"/>
      <c r="LOI527" s="901"/>
      <c r="LOJ527" s="901"/>
      <c r="LOK527" s="901"/>
      <c r="LOL527" s="901"/>
      <c r="LOM527" s="901"/>
      <c r="LON527" s="901"/>
      <c r="LOO527" s="901"/>
      <c r="LOP527" s="901"/>
      <c r="LOQ527" s="901"/>
      <c r="LOR527" s="901"/>
      <c r="LOS527" s="901"/>
      <c r="LOT527" s="901"/>
      <c r="LOU527" s="901"/>
      <c r="LOV527" s="901"/>
      <c r="LOW527" s="901"/>
      <c r="LOX527" s="901"/>
      <c r="LOY527" s="901"/>
      <c r="LOZ527" s="901"/>
      <c r="LPA527" s="901"/>
      <c r="LPB527" s="901"/>
      <c r="LPC527" s="901"/>
      <c r="LPD527" s="901"/>
      <c r="LPE527" s="901"/>
      <c r="LPF527" s="901"/>
      <c r="LPG527" s="901"/>
      <c r="LPH527" s="901"/>
      <c r="LPI527" s="901"/>
      <c r="LPJ527" s="901"/>
      <c r="LPK527" s="901"/>
      <c r="LPL527" s="901"/>
      <c r="LPM527" s="901"/>
      <c r="LPN527" s="901"/>
      <c r="LPO527" s="901"/>
      <c r="LPP527" s="901"/>
      <c r="LPQ527" s="901"/>
      <c r="LPR527" s="901"/>
      <c r="LPS527" s="901"/>
      <c r="LPT527" s="901"/>
      <c r="LPU527" s="901"/>
      <c r="LPV527" s="901"/>
      <c r="LPW527" s="901"/>
      <c r="LPX527" s="901"/>
      <c r="LPY527" s="901"/>
      <c r="LPZ527" s="901"/>
      <c r="LQA527" s="901"/>
      <c r="LQB527" s="901"/>
      <c r="LQC527" s="901"/>
      <c r="LQD527" s="901"/>
      <c r="LQE527" s="901"/>
      <c r="LQF527" s="901"/>
      <c r="LQG527" s="901"/>
      <c r="LQH527" s="901"/>
      <c r="LQI527" s="901"/>
      <c r="LQJ527" s="901"/>
      <c r="LQK527" s="901"/>
      <c r="LQL527" s="901"/>
      <c r="LQM527" s="901"/>
      <c r="LQN527" s="901"/>
      <c r="LQO527" s="901"/>
      <c r="LQP527" s="901"/>
      <c r="LQQ527" s="901"/>
      <c r="LQR527" s="901"/>
      <c r="LQS527" s="901"/>
      <c r="LQT527" s="901"/>
      <c r="LQU527" s="901"/>
      <c r="LQV527" s="901"/>
      <c r="LQW527" s="901"/>
      <c r="LQX527" s="901"/>
      <c r="LQY527" s="901"/>
      <c r="LQZ527" s="901"/>
      <c r="LRA527" s="901"/>
      <c r="LRB527" s="901"/>
      <c r="LRC527" s="901"/>
      <c r="LRD527" s="901"/>
      <c r="LRE527" s="901"/>
      <c r="LRF527" s="901"/>
      <c r="LRG527" s="901"/>
      <c r="LRH527" s="901"/>
      <c r="LRI527" s="901"/>
      <c r="LRJ527" s="901"/>
      <c r="LRK527" s="901"/>
      <c r="LRL527" s="901"/>
      <c r="LRM527" s="901"/>
      <c r="LRN527" s="901"/>
      <c r="LRO527" s="901"/>
      <c r="LRP527" s="901"/>
      <c r="LRQ527" s="901"/>
      <c r="LRR527" s="901"/>
      <c r="LRS527" s="901"/>
      <c r="LRT527" s="901"/>
      <c r="LRU527" s="901"/>
      <c r="LRV527" s="901"/>
      <c r="LRW527" s="901"/>
      <c r="LRX527" s="901"/>
      <c r="LRY527" s="901"/>
      <c r="LRZ527" s="901"/>
      <c r="LSA527" s="901"/>
      <c r="LSB527" s="901"/>
      <c r="LSC527" s="901"/>
      <c r="LSD527" s="901"/>
      <c r="LSE527" s="901"/>
      <c r="LSF527" s="901"/>
      <c r="LSG527" s="901"/>
      <c r="LSH527" s="901"/>
      <c r="LSI527" s="901"/>
      <c r="LSJ527" s="901"/>
      <c r="LSK527" s="901"/>
      <c r="LSL527" s="901"/>
      <c r="LSM527" s="901"/>
      <c r="LSN527" s="901"/>
      <c r="LSO527" s="901"/>
      <c r="LSP527" s="901"/>
      <c r="LSQ527" s="901"/>
      <c r="LSR527" s="901"/>
      <c r="LSS527" s="901"/>
      <c r="LST527" s="901"/>
      <c r="LSU527" s="901"/>
      <c r="LSV527" s="901"/>
      <c r="LSW527" s="901"/>
      <c r="LSX527" s="901"/>
      <c r="LSY527" s="901"/>
      <c r="LSZ527" s="901"/>
      <c r="LTA527" s="901"/>
      <c r="LTB527" s="901"/>
      <c r="LTC527" s="901"/>
      <c r="LTD527" s="901"/>
      <c r="LTE527" s="901"/>
      <c r="LTF527" s="901"/>
      <c r="LTG527" s="901"/>
      <c r="LTH527" s="901"/>
      <c r="LTI527" s="901"/>
      <c r="LTJ527" s="901"/>
      <c r="LTK527" s="901"/>
      <c r="LTL527" s="901"/>
      <c r="LTM527" s="901"/>
      <c r="LTN527" s="901"/>
      <c r="LTO527" s="901"/>
      <c r="LTP527" s="901"/>
      <c r="LTQ527" s="901"/>
      <c r="LTR527" s="901"/>
      <c r="LTS527" s="901"/>
      <c r="LTT527" s="901"/>
      <c r="LTU527" s="901"/>
      <c r="LTV527" s="901"/>
      <c r="LTW527" s="901"/>
      <c r="LTX527" s="901"/>
      <c r="LTY527" s="901"/>
      <c r="LTZ527" s="901"/>
      <c r="LUA527" s="901"/>
      <c r="LUB527" s="901"/>
      <c r="LUC527" s="901"/>
      <c r="LUD527" s="901"/>
      <c r="LUE527" s="901"/>
      <c r="LUF527" s="901"/>
      <c r="LUG527" s="901"/>
      <c r="LUH527" s="901"/>
      <c r="LUI527" s="901"/>
      <c r="LUJ527" s="901"/>
      <c r="LUK527" s="901"/>
      <c r="LUL527" s="901"/>
      <c r="LUM527" s="901"/>
      <c r="LUN527" s="901"/>
      <c r="LUO527" s="901"/>
      <c r="LUP527" s="901"/>
      <c r="LUQ527" s="901"/>
      <c r="LUR527" s="901"/>
      <c r="LUS527" s="901"/>
      <c r="LUT527" s="901"/>
      <c r="LUU527" s="901"/>
      <c r="LUV527" s="901"/>
      <c r="LUW527" s="901"/>
      <c r="LUX527" s="901"/>
      <c r="LUY527" s="901"/>
      <c r="LUZ527" s="901"/>
      <c r="LVA527" s="901"/>
      <c r="LVB527" s="901"/>
      <c r="LVC527" s="901"/>
      <c r="LVD527" s="901"/>
      <c r="LVE527" s="901"/>
      <c r="LVF527" s="901"/>
      <c r="LVG527" s="901"/>
      <c r="LVH527" s="901"/>
      <c r="LVI527" s="901"/>
      <c r="LVJ527" s="901"/>
      <c r="LVK527" s="901"/>
      <c r="LVL527" s="901"/>
      <c r="LVM527" s="901"/>
      <c r="LVN527" s="901"/>
      <c r="LVO527" s="901"/>
      <c r="LVP527" s="901"/>
      <c r="LVQ527" s="901"/>
      <c r="LVR527" s="901"/>
      <c r="LVS527" s="901"/>
      <c r="LVT527" s="901"/>
      <c r="LVU527" s="901"/>
      <c r="LVV527" s="901"/>
      <c r="LVW527" s="901"/>
      <c r="LVX527" s="901"/>
      <c r="LVY527" s="901"/>
      <c r="LVZ527" s="901"/>
      <c r="LWA527" s="901"/>
      <c r="LWB527" s="901"/>
      <c r="LWC527" s="901"/>
      <c r="LWD527" s="901"/>
      <c r="LWE527" s="901"/>
      <c r="LWF527" s="901"/>
      <c r="LWG527" s="901"/>
      <c r="LWH527" s="901"/>
      <c r="LWI527" s="901"/>
      <c r="LWJ527" s="901"/>
      <c r="LWK527" s="901"/>
      <c r="LWL527" s="901"/>
      <c r="LWM527" s="901"/>
      <c r="LWN527" s="901"/>
      <c r="LWO527" s="901"/>
      <c r="LWP527" s="901"/>
      <c r="LWQ527" s="901"/>
      <c r="LWR527" s="901"/>
      <c r="LWS527" s="901"/>
      <c r="LWT527" s="901"/>
      <c r="LWU527" s="901"/>
      <c r="LWV527" s="901"/>
      <c r="LWW527" s="901"/>
      <c r="LWX527" s="901"/>
      <c r="LWY527" s="901"/>
      <c r="LWZ527" s="901"/>
      <c r="LXA527" s="901"/>
      <c r="LXB527" s="901"/>
      <c r="LXC527" s="901"/>
      <c r="LXD527" s="901"/>
      <c r="LXE527" s="901"/>
      <c r="LXF527" s="901"/>
      <c r="LXG527" s="901"/>
      <c r="LXH527" s="901"/>
      <c r="LXI527" s="901"/>
      <c r="LXJ527" s="901"/>
      <c r="LXK527" s="901"/>
      <c r="LXL527" s="901"/>
      <c r="LXM527" s="901"/>
      <c r="LXN527" s="901"/>
      <c r="LXO527" s="901"/>
      <c r="LXP527" s="901"/>
      <c r="LXQ527" s="901"/>
      <c r="LXR527" s="901"/>
      <c r="LXS527" s="901"/>
      <c r="LXT527" s="901"/>
      <c r="LXU527" s="901"/>
      <c r="LXV527" s="901"/>
      <c r="LXW527" s="901"/>
      <c r="LXX527" s="901"/>
      <c r="LXY527" s="901"/>
      <c r="LXZ527" s="901"/>
      <c r="LYA527" s="901"/>
      <c r="LYB527" s="901"/>
      <c r="LYC527" s="901"/>
      <c r="LYD527" s="901"/>
      <c r="LYE527" s="901"/>
      <c r="LYF527" s="901"/>
      <c r="LYG527" s="901"/>
      <c r="LYH527" s="901"/>
      <c r="LYI527" s="901"/>
      <c r="LYJ527" s="901"/>
      <c r="LYK527" s="901"/>
      <c r="LYL527" s="901"/>
      <c r="LYM527" s="901"/>
      <c r="LYN527" s="901"/>
      <c r="LYO527" s="901"/>
      <c r="LYP527" s="901"/>
      <c r="LYQ527" s="901"/>
      <c r="LYR527" s="901"/>
      <c r="LYS527" s="901"/>
      <c r="LYT527" s="901"/>
      <c r="LYU527" s="901"/>
      <c r="LYV527" s="901"/>
      <c r="LYW527" s="901"/>
      <c r="LYX527" s="901"/>
      <c r="LYY527" s="901"/>
      <c r="LYZ527" s="901"/>
      <c r="LZA527" s="901"/>
      <c r="LZB527" s="901"/>
      <c r="LZC527" s="901"/>
      <c r="LZD527" s="901"/>
      <c r="LZE527" s="901"/>
      <c r="LZF527" s="901"/>
      <c r="LZG527" s="901"/>
      <c r="LZH527" s="901"/>
      <c r="LZI527" s="901"/>
      <c r="LZJ527" s="901"/>
      <c r="LZK527" s="901"/>
      <c r="LZL527" s="901"/>
      <c r="LZM527" s="901"/>
      <c r="LZN527" s="901"/>
      <c r="LZO527" s="901"/>
      <c r="LZP527" s="901"/>
      <c r="LZQ527" s="901"/>
      <c r="LZR527" s="901"/>
      <c r="LZS527" s="901"/>
      <c r="LZT527" s="901"/>
      <c r="LZU527" s="901"/>
      <c r="LZV527" s="901"/>
      <c r="LZW527" s="901"/>
      <c r="LZX527" s="901"/>
      <c r="LZY527" s="901"/>
      <c r="LZZ527" s="901"/>
      <c r="MAA527" s="901"/>
      <c r="MAB527" s="901"/>
      <c r="MAC527" s="901"/>
      <c r="MAD527" s="901"/>
      <c r="MAE527" s="901"/>
      <c r="MAF527" s="901"/>
      <c r="MAG527" s="901"/>
      <c r="MAH527" s="901"/>
      <c r="MAI527" s="901"/>
      <c r="MAJ527" s="901"/>
      <c r="MAK527" s="901"/>
      <c r="MAL527" s="901"/>
      <c r="MAM527" s="901"/>
      <c r="MAN527" s="901"/>
      <c r="MAO527" s="901"/>
      <c r="MAP527" s="901"/>
      <c r="MAQ527" s="901"/>
      <c r="MAR527" s="901"/>
      <c r="MAS527" s="901"/>
      <c r="MAT527" s="901"/>
      <c r="MAU527" s="901"/>
      <c r="MAV527" s="901"/>
      <c r="MAW527" s="901"/>
      <c r="MAX527" s="901"/>
      <c r="MAY527" s="901"/>
      <c r="MAZ527" s="901"/>
      <c r="MBA527" s="901"/>
      <c r="MBB527" s="901"/>
      <c r="MBC527" s="901"/>
      <c r="MBD527" s="901"/>
      <c r="MBE527" s="901"/>
      <c r="MBF527" s="901"/>
      <c r="MBG527" s="901"/>
      <c r="MBH527" s="901"/>
      <c r="MBI527" s="901"/>
      <c r="MBJ527" s="901"/>
      <c r="MBK527" s="901"/>
      <c r="MBL527" s="901"/>
      <c r="MBM527" s="901"/>
      <c r="MBN527" s="901"/>
      <c r="MBO527" s="901"/>
      <c r="MBP527" s="901"/>
      <c r="MBQ527" s="901"/>
      <c r="MBR527" s="901"/>
      <c r="MBS527" s="901"/>
      <c r="MBT527" s="901"/>
      <c r="MBU527" s="901"/>
      <c r="MBV527" s="901"/>
      <c r="MBW527" s="901"/>
      <c r="MBX527" s="901"/>
      <c r="MBY527" s="901"/>
      <c r="MBZ527" s="901"/>
      <c r="MCA527" s="901"/>
      <c r="MCB527" s="901"/>
      <c r="MCC527" s="901"/>
      <c r="MCD527" s="901"/>
      <c r="MCE527" s="901"/>
      <c r="MCF527" s="901"/>
      <c r="MCG527" s="901"/>
      <c r="MCH527" s="901"/>
      <c r="MCI527" s="901"/>
      <c r="MCJ527" s="901"/>
      <c r="MCK527" s="901"/>
      <c r="MCL527" s="901"/>
      <c r="MCM527" s="901"/>
      <c r="MCN527" s="901"/>
      <c r="MCO527" s="901"/>
      <c r="MCP527" s="901"/>
      <c r="MCQ527" s="901"/>
      <c r="MCR527" s="901"/>
      <c r="MCS527" s="901"/>
      <c r="MCT527" s="901"/>
      <c r="MCU527" s="901"/>
      <c r="MCV527" s="901"/>
      <c r="MCW527" s="901"/>
      <c r="MCX527" s="901"/>
      <c r="MCY527" s="901"/>
      <c r="MCZ527" s="901"/>
      <c r="MDA527" s="901"/>
      <c r="MDB527" s="901"/>
      <c r="MDC527" s="901"/>
      <c r="MDD527" s="901"/>
      <c r="MDE527" s="901"/>
      <c r="MDF527" s="901"/>
      <c r="MDG527" s="901"/>
      <c r="MDH527" s="901"/>
      <c r="MDI527" s="901"/>
      <c r="MDJ527" s="901"/>
      <c r="MDK527" s="901"/>
      <c r="MDL527" s="901"/>
      <c r="MDM527" s="901"/>
      <c r="MDN527" s="901"/>
      <c r="MDO527" s="901"/>
      <c r="MDP527" s="901"/>
      <c r="MDQ527" s="901"/>
      <c r="MDR527" s="901"/>
      <c r="MDS527" s="901"/>
      <c r="MDT527" s="901"/>
      <c r="MDU527" s="901"/>
      <c r="MDV527" s="901"/>
      <c r="MDW527" s="901"/>
      <c r="MDX527" s="901"/>
      <c r="MDY527" s="901"/>
      <c r="MDZ527" s="901"/>
      <c r="MEA527" s="901"/>
      <c r="MEB527" s="901"/>
      <c r="MEC527" s="901"/>
      <c r="MED527" s="901"/>
      <c r="MEE527" s="901"/>
      <c r="MEF527" s="901"/>
      <c r="MEG527" s="901"/>
      <c r="MEH527" s="901"/>
      <c r="MEI527" s="901"/>
      <c r="MEJ527" s="901"/>
      <c r="MEK527" s="901"/>
      <c r="MEL527" s="901"/>
      <c r="MEM527" s="901"/>
      <c r="MEN527" s="901"/>
      <c r="MEO527" s="901"/>
      <c r="MEP527" s="901"/>
      <c r="MEQ527" s="901"/>
      <c r="MER527" s="901"/>
      <c r="MES527" s="901"/>
      <c r="MET527" s="901"/>
      <c r="MEU527" s="901"/>
      <c r="MEV527" s="901"/>
      <c r="MEW527" s="901"/>
      <c r="MEX527" s="901"/>
      <c r="MEY527" s="901"/>
      <c r="MEZ527" s="901"/>
      <c r="MFA527" s="901"/>
      <c r="MFB527" s="901"/>
      <c r="MFC527" s="901"/>
      <c r="MFD527" s="901"/>
      <c r="MFE527" s="901"/>
      <c r="MFF527" s="901"/>
      <c r="MFG527" s="901"/>
      <c r="MFH527" s="901"/>
      <c r="MFI527" s="901"/>
      <c r="MFJ527" s="901"/>
      <c r="MFK527" s="901"/>
      <c r="MFL527" s="901"/>
      <c r="MFM527" s="901"/>
      <c r="MFN527" s="901"/>
      <c r="MFO527" s="901"/>
      <c r="MFP527" s="901"/>
      <c r="MFQ527" s="901"/>
      <c r="MFR527" s="901"/>
      <c r="MFS527" s="901"/>
      <c r="MFT527" s="901"/>
      <c r="MFU527" s="901"/>
      <c r="MFV527" s="901"/>
      <c r="MFW527" s="901"/>
      <c r="MFX527" s="901"/>
      <c r="MFY527" s="901"/>
      <c r="MFZ527" s="901"/>
      <c r="MGA527" s="901"/>
      <c r="MGB527" s="901"/>
      <c r="MGC527" s="901"/>
      <c r="MGD527" s="901"/>
      <c r="MGE527" s="901"/>
      <c r="MGF527" s="901"/>
      <c r="MGG527" s="901"/>
      <c r="MGH527" s="901"/>
      <c r="MGI527" s="901"/>
      <c r="MGJ527" s="901"/>
      <c r="MGK527" s="901"/>
      <c r="MGL527" s="901"/>
      <c r="MGM527" s="901"/>
      <c r="MGN527" s="901"/>
      <c r="MGO527" s="901"/>
      <c r="MGP527" s="901"/>
      <c r="MGQ527" s="901"/>
      <c r="MGR527" s="901"/>
      <c r="MGS527" s="901"/>
      <c r="MGT527" s="901"/>
      <c r="MGU527" s="901"/>
      <c r="MGV527" s="901"/>
      <c r="MGW527" s="901"/>
      <c r="MGX527" s="901"/>
      <c r="MGY527" s="901"/>
      <c r="MGZ527" s="901"/>
      <c r="MHA527" s="901"/>
      <c r="MHB527" s="901"/>
      <c r="MHC527" s="901"/>
      <c r="MHD527" s="901"/>
      <c r="MHE527" s="901"/>
      <c r="MHF527" s="901"/>
      <c r="MHG527" s="901"/>
      <c r="MHH527" s="901"/>
      <c r="MHI527" s="901"/>
      <c r="MHJ527" s="901"/>
      <c r="MHK527" s="901"/>
      <c r="MHL527" s="901"/>
      <c r="MHM527" s="901"/>
      <c r="MHN527" s="901"/>
      <c r="MHO527" s="901"/>
      <c r="MHP527" s="901"/>
      <c r="MHQ527" s="901"/>
      <c r="MHR527" s="901"/>
      <c r="MHS527" s="901"/>
      <c r="MHT527" s="901"/>
      <c r="MHU527" s="901"/>
      <c r="MHV527" s="901"/>
      <c r="MHW527" s="901"/>
      <c r="MHX527" s="901"/>
      <c r="MHY527" s="901"/>
      <c r="MHZ527" s="901"/>
      <c r="MIA527" s="901"/>
      <c r="MIB527" s="901"/>
      <c r="MIC527" s="901"/>
      <c r="MID527" s="901"/>
      <c r="MIE527" s="901"/>
      <c r="MIF527" s="901"/>
      <c r="MIG527" s="901"/>
      <c r="MIH527" s="901"/>
      <c r="MII527" s="901"/>
      <c r="MIJ527" s="901"/>
      <c r="MIK527" s="901"/>
      <c r="MIL527" s="901"/>
      <c r="MIM527" s="901"/>
      <c r="MIN527" s="901"/>
      <c r="MIO527" s="901"/>
      <c r="MIP527" s="901"/>
      <c r="MIQ527" s="901"/>
      <c r="MIR527" s="901"/>
      <c r="MIS527" s="901"/>
      <c r="MIT527" s="901"/>
      <c r="MIU527" s="901"/>
      <c r="MIV527" s="901"/>
      <c r="MIW527" s="901"/>
      <c r="MIX527" s="901"/>
      <c r="MIY527" s="901"/>
      <c r="MIZ527" s="901"/>
      <c r="MJA527" s="901"/>
      <c r="MJB527" s="901"/>
      <c r="MJC527" s="901"/>
      <c r="MJD527" s="901"/>
      <c r="MJE527" s="901"/>
      <c r="MJF527" s="901"/>
      <c r="MJG527" s="901"/>
      <c r="MJH527" s="901"/>
      <c r="MJI527" s="901"/>
      <c r="MJJ527" s="901"/>
      <c r="MJK527" s="901"/>
      <c r="MJL527" s="901"/>
      <c r="MJM527" s="901"/>
      <c r="MJN527" s="901"/>
      <c r="MJO527" s="901"/>
      <c r="MJP527" s="901"/>
      <c r="MJQ527" s="901"/>
      <c r="MJR527" s="901"/>
      <c r="MJS527" s="901"/>
      <c r="MJT527" s="901"/>
      <c r="MJU527" s="901"/>
      <c r="MJV527" s="901"/>
      <c r="MJW527" s="901"/>
      <c r="MJX527" s="901"/>
      <c r="MJY527" s="901"/>
      <c r="MJZ527" s="901"/>
      <c r="MKA527" s="901"/>
      <c r="MKB527" s="901"/>
      <c r="MKC527" s="901"/>
      <c r="MKD527" s="901"/>
      <c r="MKE527" s="901"/>
      <c r="MKF527" s="901"/>
      <c r="MKG527" s="901"/>
      <c r="MKH527" s="901"/>
      <c r="MKI527" s="901"/>
      <c r="MKJ527" s="901"/>
      <c r="MKK527" s="901"/>
      <c r="MKL527" s="901"/>
      <c r="MKM527" s="901"/>
      <c r="MKN527" s="901"/>
      <c r="MKO527" s="901"/>
      <c r="MKP527" s="901"/>
      <c r="MKQ527" s="901"/>
      <c r="MKR527" s="901"/>
      <c r="MKS527" s="901"/>
      <c r="MKT527" s="901"/>
      <c r="MKU527" s="901"/>
      <c r="MKV527" s="901"/>
      <c r="MKW527" s="901"/>
      <c r="MKX527" s="901"/>
      <c r="MKY527" s="901"/>
      <c r="MKZ527" s="901"/>
      <c r="MLA527" s="901"/>
      <c r="MLB527" s="901"/>
      <c r="MLC527" s="901"/>
      <c r="MLD527" s="901"/>
      <c r="MLE527" s="901"/>
      <c r="MLF527" s="901"/>
      <c r="MLG527" s="901"/>
      <c r="MLH527" s="901"/>
      <c r="MLI527" s="901"/>
      <c r="MLJ527" s="901"/>
      <c r="MLK527" s="901"/>
      <c r="MLL527" s="901"/>
      <c r="MLM527" s="901"/>
      <c r="MLN527" s="901"/>
      <c r="MLO527" s="901"/>
      <c r="MLP527" s="901"/>
      <c r="MLQ527" s="901"/>
      <c r="MLR527" s="901"/>
      <c r="MLS527" s="901"/>
      <c r="MLT527" s="901"/>
      <c r="MLU527" s="901"/>
      <c r="MLV527" s="901"/>
      <c r="MLW527" s="901"/>
      <c r="MLX527" s="901"/>
      <c r="MLY527" s="901"/>
      <c r="MLZ527" s="901"/>
      <c r="MMA527" s="901"/>
      <c r="MMB527" s="901"/>
      <c r="MMC527" s="901"/>
      <c r="MMD527" s="901"/>
      <c r="MME527" s="901"/>
      <c r="MMF527" s="901"/>
      <c r="MMG527" s="901"/>
      <c r="MMH527" s="901"/>
      <c r="MMI527" s="901"/>
      <c r="MMJ527" s="901"/>
      <c r="MMK527" s="901"/>
      <c r="MML527" s="901"/>
      <c r="MMM527" s="901"/>
      <c r="MMN527" s="901"/>
      <c r="MMO527" s="901"/>
      <c r="MMP527" s="901"/>
      <c r="MMQ527" s="901"/>
      <c r="MMR527" s="901"/>
      <c r="MMS527" s="901"/>
      <c r="MMT527" s="901"/>
      <c r="MMU527" s="901"/>
      <c r="MMV527" s="901"/>
      <c r="MMW527" s="901"/>
      <c r="MMX527" s="901"/>
      <c r="MMY527" s="901"/>
      <c r="MMZ527" s="901"/>
      <c r="MNA527" s="901"/>
      <c r="MNB527" s="901"/>
      <c r="MNC527" s="901"/>
      <c r="MND527" s="901"/>
      <c r="MNE527" s="901"/>
      <c r="MNF527" s="901"/>
      <c r="MNG527" s="901"/>
      <c r="MNH527" s="901"/>
      <c r="MNI527" s="901"/>
      <c r="MNJ527" s="901"/>
      <c r="MNK527" s="901"/>
      <c r="MNL527" s="901"/>
      <c r="MNM527" s="901"/>
      <c r="MNN527" s="901"/>
      <c r="MNO527" s="901"/>
      <c r="MNP527" s="901"/>
      <c r="MNQ527" s="901"/>
      <c r="MNR527" s="901"/>
      <c r="MNS527" s="901"/>
      <c r="MNT527" s="901"/>
      <c r="MNU527" s="901"/>
      <c r="MNV527" s="901"/>
      <c r="MNW527" s="901"/>
      <c r="MNX527" s="901"/>
      <c r="MNY527" s="901"/>
      <c r="MNZ527" s="901"/>
      <c r="MOA527" s="901"/>
      <c r="MOB527" s="901"/>
      <c r="MOC527" s="901"/>
      <c r="MOD527" s="901"/>
      <c r="MOE527" s="901"/>
      <c r="MOF527" s="901"/>
      <c r="MOG527" s="901"/>
      <c r="MOH527" s="901"/>
      <c r="MOI527" s="901"/>
      <c r="MOJ527" s="901"/>
      <c r="MOK527" s="901"/>
      <c r="MOL527" s="901"/>
      <c r="MOM527" s="901"/>
      <c r="MON527" s="901"/>
      <c r="MOO527" s="901"/>
      <c r="MOP527" s="901"/>
      <c r="MOQ527" s="901"/>
      <c r="MOR527" s="901"/>
      <c r="MOS527" s="901"/>
      <c r="MOT527" s="901"/>
      <c r="MOU527" s="901"/>
      <c r="MOV527" s="901"/>
      <c r="MOW527" s="901"/>
      <c r="MOX527" s="901"/>
      <c r="MOY527" s="901"/>
      <c r="MOZ527" s="901"/>
      <c r="MPA527" s="901"/>
      <c r="MPB527" s="901"/>
      <c r="MPC527" s="901"/>
      <c r="MPD527" s="901"/>
      <c r="MPE527" s="901"/>
      <c r="MPF527" s="901"/>
      <c r="MPG527" s="901"/>
      <c r="MPH527" s="901"/>
      <c r="MPI527" s="901"/>
      <c r="MPJ527" s="901"/>
      <c r="MPK527" s="901"/>
      <c r="MPL527" s="901"/>
      <c r="MPM527" s="901"/>
      <c r="MPN527" s="901"/>
      <c r="MPO527" s="901"/>
      <c r="MPP527" s="901"/>
      <c r="MPQ527" s="901"/>
      <c r="MPR527" s="901"/>
      <c r="MPS527" s="901"/>
      <c r="MPT527" s="901"/>
      <c r="MPU527" s="901"/>
      <c r="MPV527" s="901"/>
      <c r="MPW527" s="901"/>
      <c r="MPX527" s="901"/>
      <c r="MPY527" s="901"/>
      <c r="MPZ527" s="901"/>
      <c r="MQA527" s="901"/>
      <c r="MQB527" s="901"/>
      <c r="MQC527" s="901"/>
      <c r="MQD527" s="901"/>
      <c r="MQE527" s="901"/>
      <c r="MQF527" s="901"/>
      <c r="MQG527" s="901"/>
      <c r="MQH527" s="901"/>
      <c r="MQI527" s="901"/>
      <c r="MQJ527" s="901"/>
      <c r="MQK527" s="901"/>
      <c r="MQL527" s="901"/>
      <c r="MQM527" s="901"/>
      <c r="MQN527" s="901"/>
      <c r="MQO527" s="901"/>
      <c r="MQP527" s="901"/>
      <c r="MQQ527" s="901"/>
      <c r="MQR527" s="901"/>
      <c r="MQS527" s="901"/>
      <c r="MQT527" s="901"/>
      <c r="MQU527" s="901"/>
      <c r="MQV527" s="901"/>
      <c r="MQW527" s="901"/>
      <c r="MQX527" s="901"/>
      <c r="MQY527" s="901"/>
      <c r="MQZ527" s="901"/>
      <c r="MRA527" s="901"/>
      <c r="MRB527" s="901"/>
      <c r="MRC527" s="901"/>
      <c r="MRD527" s="901"/>
      <c r="MRE527" s="901"/>
      <c r="MRF527" s="901"/>
      <c r="MRG527" s="901"/>
      <c r="MRH527" s="901"/>
      <c r="MRI527" s="901"/>
      <c r="MRJ527" s="901"/>
      <c r="MRK527" s="901"/>
      <c r="MRL527" s="901"/>
      <c r="MRM527" s="901"/>
      <c r="MRN527" s="901"/>
      <c r="MRO527" s="901"/>
      <c r="MRP527" s="901"/>
      <c r="MRQ527" s="901"/>
      <c r="MRR527" s="901"/>
      <c r="MRS527" s="901"/>
      <c r="MRT527" s="901"/>
      <c r="MRU527" s="901"/>
      <c r="MRV527" s="901"/>
      <c r="MRW527" s="901"/>
      <c r="MRX527" s="901"/>
      <c r="MRY527" s="901"/>
      <c r="MRZ527" s="901"/>
      <c r="MSA527" s="901"/>
      <c r="MSB527" s="901"/>
      <c r="MSC527" s="901"/>
      <c r="MSD527" s="901"/>
      <c r="MSE527" s="901"/>
      <c r="MSF527" s="901"/>
      <c r="MSG527" s="901"/>
      <c r="MSH527" s="901"/>
      <c r="MSI527" s="901"/>
      <c r="MSJ527" s="901"/>
      <c r="MSK527" s="901"/>
      <c r="MSL527" s="901"/>
      <c r="MSM527" s="901"/>
      <c r="MSN527" s="901"/>
      <c r="MSO527" s="901"/>
      <c r="MSP527" s="901"/>
      <c r="MSQ527" s="901"/>
      <c r="MSR527" s="901"/>
      <c r="MSS527" s="901"/>
      <c r="MST527" s="901"/>
      <c r="MSU527" s="901"/>
      <c r="MSV527" s="901"/>
      <c r="MSW527" s="901"/>
      <c r="MSX527" s="901"/>
      <c r="MSY527" s="901"/>
      <c r="MSZ527" s="901"/>
      <c r="MTA527" s="901"/>
      <c r="MTB527" s="901"/>
      <c r="MTC527" s="901"/>
      <c r="MTD527" s="901"/>
      <c r="MTE527" s="901"/>
      <c r="MTF527" s="901"/>
      <c r="MTG527" s="901"/>
      <c r="MTH527" s="901"/>
      <c r="MTI527" s="901"/>
      <c r="MTJ527" s="901"/>
      <c r="MTK527" s="901"/>
      <c r="MTL527" s="901"/>
      <c r="MTM527" s="901"/>
      <c r="MTN527" s="901"/>
      <c r="MTO527" s="901"/>
      <c r="MTP527" s="901"/>
      <c r="MTQ527" s="901"/>
      <c r="MTR527" s="901"/>
      <c r="MTS527" s="901"/>
      <c r="MTT527" s="901"/>
      <c r="MTU527" s="901"/>
      <c r="MTV527" s="901"/>
      <c r="MTW527" s="901"/>
      <c r="MTX527" s="901"/>
      <c r="MTY527" s="901"/>
      <c r="MTZ527" s="901"/>
      <c r="MUA527" s="901"/>
      <c r="MUB527" s="901"/>
      <c r="MUC527" s="901"/>
      <c r="MUD527" s="901"/>
      <c r="MUE527" s="901"/>
      <c r="MUF527" s="901"/>
      <c r="MUG527" s="901"/>
      <c r="MUH527" s="901"/>
      <c r="MUI527" s="901"/>
      <c r="MUJ527" s="901"/>
      <c r="MUK527" s="901"/>
      <c r="MUL527" s="901"/>
      <c r="MUM527" s="901"/>
      <c r="MUN527" s="901"/>
      <c r="MUO527" s="901"/>
      <c r="MUP527" s="901"/>
      <c r="MUQ527" s="901"/>
      <c r="MUR527" s="901"/>
      <c r="MUS527" s="901"/>
      <c r="MUT527" s="901"/>
      <c r="MUU527" s="901"/>
      <c r="MUV527" s="901"/>
      <c r="MUW527" s="901"/>
      <c r="MUX527" s="901"/>
      <c r="MUY527" s="901"/>
      <c r="MUZ527" s="901"/>
      <c r="MVA527" s="901"/>
      <c r="MVB527" s="901"/>
      <c r="MVC527" s="901"/>
      <c r="MVD527" s="901"/>
      <c r="MVE527" s="901"/>
      <c r="MVF527" s="901"/>
      <c r="MVG527" s="901"/>
      <c r="MVH527" s="901"/>
      <c r="MVI527" s="901"/>
      <c r="MVJ527" s="901"/>
      <c r="MVK527" s="901"/>
      <c r="MVL527" s="901"/>
      <c r="MVM527" s="901"/>
      <c r="MVN527" s="901"/>
      <c r="MVO527" s="901"/>
      <c r="MVP527" s="901"/>
      <c r="MVQ527" s="901"/>
      <c r="MVR527" s="901"/>
      <c r="MVS527" s="901"/>
      <c r="MVT527" s="901"/>
      <c r="MVU527" s="901"/>
      <c r="MVV527" s="901"/>
      <c r="MVW527" s="901"/>
      <c r="MVX527" s="901"/>
      <c r="MVY527" s="901"/>
      <c r="MVZ527" s="901"/>
      <c r="MWA527" s="901"/>
      <c r="MWB527" s="901"/>
      <c r="MWC527" s="901"/>
      <c r="MWD527" s="901"/>
      <c r="MWE527" s="901"/>
      <c r="MWF527" s="901"/>
      <c r="MWG527" s="901"/>
      <c r="MWH527" s="901"/>
      <c r="MWI527" s="901"/>
      <c r="MWJ527" s="901"/>
      <c r="MWK527" s="901"/>
      <c r="MWL527" s="901"/>
      <c r="MWM527" s="901"/>
      <c r="MWN527" s="901"/>
      <c r="MWO527" s="901"/>
      <c r="MWP527" s="901"/>
      <c r="MWQ527" s="901"/>
      <c r="MWR527" s="901"/>
      <c r="MWS527" s="901"/>
      <c r="MWT527" s="901"/>
      <c r="MWU527" s="901"/>
      <c r="MWV527" s="901"/>
      <c r="MWW527" s="901"/>
      <c r="MWX527" s="901"/>
      <c r="MWY527" s="901"/>
      <c r="MWZ527" s="901"/>
      <c r="MXA527" s="901"/>
      <c r="MXB527" s="901"/>
      <c r="MXC527" s="901"/>
      <c r="MXD527" s="901"/>
      <c r="MXE527" s="901"/>
      <c r="MXF527" s="901"/>
      <c r="MXG527" s="901"/>
      <c r="MXH527" s="901"/>
      <c r="MXI527" s="901"/>
      <c r="MXJ527" s="901"/>
      <c r="MXK527" s="901"/>
      <c r="MXL527" s="901"/>
      <c r="MXM527" s="901"/>
      <c r="MXN527" s="901"/>
      <c r="MXO527" s="901"/>
      <c r="MXP527" s="901"/>
      <c r="MXQ527" s="901"/>
      <c r="MXR527" s="901"/>
      <c r="MXS527" s="901"/>
      <c r="MXT527" s="901"/>
      <c r="MXU527" s="901"/>
      <c r="MXV527" s="901"/>
      <c r="MXW527" s="901"/>
      <c r="MXX527" s="901"/>
      <c r="MXY527" s="901"/>
      <c r="MXZ527" s="901"/>
      <c r="MYA527" s="901"/>
      <c r="MYB527" s="901"/>
      <c r="MYC527" s="901"/>
      <c r="MYD527" s="901"/>
      <c r="MYE527" s="901"/>
      <c r="MYF527" s="901"/>
      <c r="MYG527" s="901"/>
      <c r="MYH527" s="901"/>
      <c r="MYI527" s="901"/>
      <c r="MYJ527" s="901"/>
      <c r="MYK527" s="901"/>
      <c r="MYL527" s="901"/>
      <c r="MYM527" s="901"/>
      <c r="MYN527" s="901"/>
      <c r="MYO527" s="901"/>
      <c r="MYP527" s="901"/>
      <c r="MYQ527" s="901"/>
      <c r="MYR527" s="901"/>
      <c r="MYS527" s="901"/>
      <c r="MYT527" s="901"/>
      <c r="MYU527" s="901"/>
      <c r="MYV527" s="901"/>
      <c r="MYW527" s="901"/>
      <c r="MYX527" s="901"/>
      <c r="MYY527" s="901"/>
      <c r="MYZ527" s="901"/>
      <c r="MZA527" s="901"/>
      <c r="MZB527" s="901"/>
      <c r="MZC527" s="901"/>
      <c r="MZD527" s="901"/>
      <c r="MZE527" s="901"/>
      <c r="MZF527" s="901"/>
      <c r="MZG527" s="901"/>
      <c r="MZH527" s="901"/>
      <c r="MZI527" s="901"/>
      <c r="MZJ527" s="901"/>
      <c r="MZK527" s="901"/>
      <c r="MZL527" s="901"/>
      <c r="MZM527" s="901"/>
      <c r="MZN527" s="901"/>
      <c r="MZO527" s="901"/>
      <c r="MZP527" s="901"/>
      <c r="MZQ527" s="901"/>
      <c r="MZR527" s="901"/>
      <c r="MZS527" s="901"/>
      <c r="MZT527" s="901"/>
      <c r="MZU527" s="901"/>
      <c r="MZV527" s="901"/>
      <c r="MZW527" s="901"/>
      <c r="MZX527" s="901"/>
      <c r="MZY527" s="901"/>
      <c r="MZZ527" s="901"/>
      <c r="NAA527" s="901"/>
      <c r="NAB527" s="901"/>
      <c r="NAC527" s="901"/>
      <c r="NAD527" s="901"/>
      <c r="NAE527" s="901"/>
      <c r="NAF527" s="901"/>
      <c r="NAG527" s="901"/>
      <c r="NAH527" s="901"/>
      <c r="NAI527" s="901"/>
      <c r="NAJ527" s="901"/>
      <c r="NAK527" s="901"/>
      <c r="NAL527" s="901"/>
      <c r="NAM527" s="901"/>
      <c r="NAN527" s="901"/>
      <c r="NAO527" s="901"/>
      <c r="NAP527" s="901"/>
      <c r="NAQ527" s="901"/>
      <c r="NAR527" s="901"/>
      <c r="NAS527" s="901"/>
      <c r="NAT527" s="901"/>
      <c r="NAU527" s="901"/>
      <c r="NAV527" s="901"/>
      <c r="NAW527" s="901"/>
      <c r="NAX527" s="901"/>
      <c r="NAY527" s="901"/>
      <c r="NAZ527" s="901"/>
      <c r="NBA527" s="901"/>
      <c r="NBB527" s="901"/>
      <c r="NBC527" s="901"/>
      <c r="NBD527" s="901"/>
      <c r="NBE527" s="901"/>
      <c r="NBF527" s="901"/>
      <c r="NBG527" s="901"/>
      <c r="NBH527" s="901"/>
      <c r="NBI527" s="901"/>
      <c r="NBJ527" s="901"/>
      <c r="NBK527" s="901"/>
      <c r="NBL527" s="901"/>
      <c r="NBM527" s="901"/>
      <c r="NBN527" s="901"/>
      <c r="NBO527" s="901"/>
      <c r="NBP527" s="901"/>
      <c r="NBQ527" s="901"/>
      <c r="NBR527" s="901"/>
      <c r="NBS527" s="901"/>
      <c r="NBT527" s="901"/>
      <c r="NBU527" s="901"/>
      <c r="NBV527" s="901"/>
      <c r="NBW527" s="901"/>
      <c r="NBX527" s="901"/>
      <c r="NBY527" s="901"/>
      <c r="NBZ527" s="901"/>
      <c r="NCA527" s="901"/>
      <c r="NCB527" s="901"/>
      <c r="NCC527" s="901"/>
      <c r="NCD527" s="901"/>
      <c r="NCE527" s="901"/>
      <c r="NCF527" s="901"/>
      <c r="NCG527" s="901"/>
      <c r="NCH527" s="901"/>
      <c r="NCI527" s="901"/>
      <c r="NCJ527" s="901"/>
      <c r="NCK527" s="901"/>
      <c r="NCL527" s="901"/>
      <c r="NCM527" s="901"/>
      <c r="NCN527" s="901"/>
      <c r="NCO527" s="901"/>
      <c r="NCP527" s="901"/>
      <c r="NCQ527" s="901"/>
      <c r="NCR527" s="901"/>
      <c r="NCS527" s="901"/>
      <c r="NCT527" s="901"/>
      <c r="NCU527" s="901"/>
      <c r="NCV527" s="901"/>
      <c r="NCW527" s="901"/>
      <c r="NCX527" s="901"/>
      <c r="NCY527" s="901"/>
      <c r="NCZ527" s="901"/>
      <c r="NDA527" s="901"/>
      <c r="NDB527" s="901"/>
      <c r="NDC527" s="901"/>
      <c r="NDD527" s="901"/>
      <c r="NDE527" s="901"/>
      <c r="NDF527" s="901"/>
      <c r="NDG527" s="901"/>
      <c r="NDH527" s="901"/>
      <c r="NDI527" s="901"/>
      <c r="NDJ527" s="901"/>
      <c r="NDK527" s="901"/>
      <c r="NDL527" s="901"/>
      <c r="NDM527" s="901"/>
      <c r="NDN527" s="901"/>
      <c r="NDO527" s="901"/>
      <c r="NDP527" s="901"/>
      <c r="NDQ527" s="901"/>
      <c r="NDR527" s="901"/>
      <c r="NDS527" s="901"/>
      <c r="NDT527" s="901"/>
      <c r="NDU527" s="901"/>
      <c r="NDV527" s="901"/>
      <c r="NDW527" s="901"/>
      <c r="NDX527" s="901"/>
      <c r="NDY527" s="901"/>
      <c r="NDZ527" s="901"/>
      <c r="NEA527" s="901"/>
      <c r="NEB527" s="901"/>
      <c r="NEC527" s="901"/>
      <c r="NED527" s="901"/>
      <c r="NEE527" s="901"/>
      <c r="NEF527" s="901"/>
      <c r="NEG527" s="901"/>
      <c r="NEH527" s="901"/>
      <c r="NEI527" s="901"/>
      <c r="NEJ527" s="901"/>
      <c r="NEK527" s="901"/>
      <c r="NEL527" s="901"/>
      <c r="NEM527" s="901"/>
      <c r="NEN527" s="901"/>
      <c r="NEO527" s="901"/>
      <c r="NEP527" s="901"/>
      <c r="NEQ527" s="901"/>
      <c r="NER527" s="901"/>
      <c r="NES527" s="901"/>
      <c r="NET527" s="901"/>
      <c r="NEU527" s="901"/>
      <c r="NEV527" s="901"/>
      <c r="NEW527" s="901"/>
      <c r="NEX527" s="901"/>
      <c r="NEY527" s="901"/>
      <c r="NEZ527" s="901"/>
      <c r="NFA527" s="901"/>
      <c r="NFB527" s="901"/>
      <c r="NFC527" s="901"/>
      <c r="NFD527" s="901"/>
      <c r="NFE527" s="901"/>
      <c r="NFF527" s="901"/>
      <c r="NFG527" s="901"/>
      <c r="NFH527" s="901"/>
      <c r="NFI527" s="901"/>
      <c r="NFJ527" s="901"/>
      <c r="NFK527" s="901"/>
      <c r="NFL527" s="901"/>
      <c r="NFM527" s="901"/>
      <c r="NFN527" s="901"/>
      <c r="NFO527" s="901"/>
      <c r="NFP527" s="901"/>
      <c r="NFQ527" s="901"/>
      <c r="NFR527" s="901"/>
      <c r="NFS527" s="901"/>
      <c r="NFT527" s="901"/>
      <c r="NFU527" s="901"/>
      <c r="NFV527" s="901"/>
      <c r="NFW527" s="901"/>
      <c r="NFX527" s="901"/>
      <c r="NFY527" s="901"/>
      <c r="NFZ527" s="901"/>
      <c r="NGA527" s="901"/>
      <c r="NGB527" s="901"/>
      <c r="NGC527" s="901"/>
      <c r="NGD527" s="901"/>
      <c r="NGE527" s="901"/>
      <c r="NGF527" s="901"/>
      <c r="NGG527" s="901"/>
      <c r="NGH527" s="901"/>
      <c r="NGI527" s="901"/>
      <c r="NGJ527" s="901"/>
      <c r="NGK527" s="901"/>
      <c r="NGL527" s="901"/>
      <c r="NGM527" s="901"/>
      <c r="NGN527" s="901"/>
      <c r="NGO527" s="901"/>
      <c r="NGP527" s="901"/>
      <c r="NGQ527" s="901"/>
      <c r="NGR527" s="901"/>
      <c r="NGS527" s="901"/>
      <c r="NGT527" s="901"/>
      <c r="NGU527" s="901"/>
      <c r="NGV527" s="901"/>
      <c r="NGW527" s="901"/>
      <c r="NGX527" s="901"/>
      <c r="NGY527" s="901"/>
      <c r="NGZ527" s="901"/>
      <c r="NHA527" s="901"/>
      <c r="NHB527" s="901"/>
      <c r="NHC527" s="901"/>
      <c r="NHD527" s="901"/>
      <c r="NHE527" s="901"/>
      <c r="NHF527" s="901"/>
      <c r="NHG527" s="901"/>
      <c r="NHH527" s="901"/>
      <c r="NHI527" s="901"/>
      <c r="NHJ527" s="901"/>
      <c r="NHK527" s="901"/>
      <c r="NHL527" s="901"/>
      <c r="NHM527" s="901"/>
      <c r="NHN527" s="901"/>
      <c r="NHO527" s="901"/>
      <c r="NHP527" s="901"/>
      <c r="NHQ527" s="901"/>
      <c r="NHR527" s="901"/>
      <c r="NHS527" s="901"/>
      <c r="NHT527" s="901"/>
      <c r="NHU527" s="901"/>
      <c r="NHV527" s="901"/>
      <c r="NHW527" s="901"/>
      <c r="NHX527" s="901"/>
      <c r="NHY527" s="901"/>
      <c r="NHZ527" s="901"/>
      <c r="NIA527" s="901"/>
      <c r="NIB527" s="901"/>
      <c r="NIC527" s="901"/>
      <c r="NID527" s="901"/>
      <c r="NIE527" s="901"/>
      <c r="NIF527" s="901"/>
      <c r="NIG527" s="901"/>
      <c r="NIH527" s="901"/>
      <c r="NII527" s="901"/>
      <c r="NIJ527" s="901"/>
      <c r="NIK527" s="901"/>
      <c r="NIL527" s="901"/>
      <c r="NIM527" s="901"/>
      <c r="NIN527" s="901"/>
      <c r="NIO527" s="901"/>
      <c r="NIP527" s="901"/>
      <c r="NIQ527" s="901"/>
      <c r="NIR527" s="901"/>
      <c r="NIS527" s="901"/>
      <c r="NIT527" s="901"/>
      <c r="NIU527" s="901"/>
      <c r="NIV527" s="901"/>
      <c r="NIW527" s="901"/>
      <c r="NIX527" s="901"/>
      <c r="NIY527" s="901"/>
      <c r="NIZ527" s="901"/>
      <c r="NJA527" s="901"/>
      <c r="NJB527" s="901"/>
      <c r="NJC527" s="901"/>
      <c r="NJD527" s="901"/>
      <c r="NJE527" s="901"/>
      <c r="NJF527" s="901"/>
      <c r="NJG527" s="901"/>
      <c r="NJH527" s="901"/>
      <c r="NJI527" s="901"/>
      <c r="NJJ527" s="901"/>
      <c r="NJK527" s="901"/>
      <c r="NJL527" s="901"/>
      <c r="NJM527" s="901"/>
      <c r="NJN527" s="901"/>
      <c r="NJO527" s="901"/>
      <c r="NJP527" s="901"/>
      <c r="NJQ527" s="901"/>
      <c r="NJR527" s="901"/>
      <c r="NJS527" s="901"/>
      <c r="NJT527" s="901"/>
      <c r="NJU527" s="901"/>
      <c r="NJV527" s="901"/>
      <c r="NJW527" s="901"/>
      <c r="NJX527" s="901"/>
      <c r="NJY527" s="901"/>
      <c r="NJZ527" s="901"/>
      <c r="NKA527" s="901"/>
      <c r="NKB527" s="901"/>
      <c r="NKC527" s="901"/>
      <c r="NKD527" s="901"/>
      <c r="NKE527" s="901"/>
      <c r="NKF527" s="901"/>
      <c r="NKG527" s="901"/>
      <c r="NKH527" s="901"/>
      <c r="NKI527" s="901"/>
      <c r="NKJ527" s="901"/>
      <c r="NKK527" s="901"/>
      <c r="NKL527" s="901"/>
      <c r="NKM527" s="901"/>
      <c r="NKN527" s="901"/>
      <c r="NKO527" s="901"/>
      <c r="NKP527" s="901"/>
      <c r="NKQ527" s="901"/>
      <c r="NKR527" s="901"/>
      <c r="NKS527" s="901"/>
      <c r="NKT527" s="901"/>
      <c r="NKU527" s="901"/>
      <c r="NKV527" s="901"/>
      <c r="NKW527" s="901"/>
      <c r="NKX527" s="901"/>
      <c r="NKY527" s="901"/>
      <c r="NKZ527" s="901"/>
      <c r="NLA527" s="901"/>
      <c r="NLB527" s="901"/>
      <c r="NLC527" s="901"/>
      <c r="NLD527" s="901"/>
      <c r="NLE527" s="901"/>
      <c r="NLF527" s="901"/>
      <c r="NLG527" s="901"/>
      <c r="NLH527" s="901"/>
      <c r="NLI527" s="901"/>
      <c r="NLJ527" s="901"/>
      <c r="NLK527" s="901"/>
      <c r="NLL527" s="901"/>
      <c r="NLM527" s="901"/>
      <c r="NLN527" s="901"/>
      <c r="NLO527" s="901"/>
      <c r="NLP527" s="901"/>
      <c r="NLQ527" s="901"/>
      <c r="NLR527" s="901"/>
      <c r="NLS527" s="901"/>
      <c r="NLT527" s="901"/>
      <c r="NLU527" s="901"/>
      <c r="NLV527" s="901"/>
      <c r="NLW527" s="901"/>
      <c r="NLX527" s="901"/>
      <c r="NLY527" s="901"/>
      <c r="NLZ527" s="901"/>
      <c r="NMA527" s="901"/>
      <c r="NMB527" s="901"/>
      <c r="NMC527" s="901"/>
      <c r="NMD527" s="901"/>
      <c r="NME527" s="901"/>
      <c r="NMF527" s="901"/>
      <c r="NMG527" s="901"/>
      <c r="NMH527" s="901"/>
      <c r="NMI527" s="901"/>
      <c r="NMJ527" s="901"/>
      <c r="NMK527" s="901"/>
      <c r="NML527" s="901"/>
      <c r="NMM527" s="901"/>
      <c r="NMN527" s="901"/>
      <c r="NMO527" s="901"/>
      <c r="NMP527" s="901"/>
      <c r="NMQ527" s="901"/>
      <c r="NMR527" s="901"/>
      <c r="NMS527" s="901"/>
      <c r="NMT527" s="901"/>
      <c r="NMU527" s="901"/>
      <c r="NMV527" s="901"/>
      <c r="NMW527" s="901"/>
      <c r="NMX527" s="901"/>
      <c r="NMY527" s="901"/>
      <c r="NMZ527" s="901"/>
      <c r="NNA527" s="901"/>
      <c r="NNB527" s="901"/>
      <c r="NNC527" s="901"/>
      <c r="NND527" s="901"/>
      <c r="NNE527" s="901"/>
      <c r="NNF527" s="901"/>
      <c r="NNG527" s="901"/>
      <c r="NNH527" s="901"/>
      <c r="NNI527" s="901"/>
      <c r="NNJ527" s="901"/>
      <c r="NNK527" s="901"/>
      <c r="NNL527" s="901"/>
      <c r="NNM527" s="901"/>
      <c r="NNN527" s="901"/>
      <c r="NNO527" s="901"/>
      <c r="NNP527" s="901"/>
      <c r="NNQ527" s="901"/>
      <c r="NNR527" s="901"/>
      <c r="NNS527" s="901"/>
      <c r="NNT527" s="901"/>
      <c r="NNU527" s="901"/>
      <c r="NNV527" s="901"/>
      <c r="NNW527" s="901"/>
      <c r="NNX527" s="901"/>
      <c r="NNY527" s="901"/>
      <c r="NNZ527" s="901"/>
      <c r="NOA527" s="901"/>
      <c r="NOB527" s="901"/>
      <c r="NOC527" s="901"/>
      <c r="NOD527" s="901"/>
      <c r="NOE527" s="901"/>
      <c r="NOF527" s="901"/>
      <c r="NOG527" s="901"/>
      <c r="NOH527" s="901"/>
      <c r="NOI527" s="901"/>
      <c r="NOJ527" s="901"/>
      <c r="NOK527" s="901"/>
      <c r="NOL527" s="901"/>
      <c r="NOM527" s="901"/>
      <c r="NON527" s="901"/>
      <c r="NOO527" s="901"/>
      <c r="NOP527" s="901"/>
      <c r="NOQ527" s="901"/>
      <c r="NOR527" s="901"/>
      <c r="NOS527" s="901"/>
      <c r="NOT527" s="901"/>
      <c r="NOU527" s="901"/>
      <c r="NOV527" s="901"/>
      <c r="NOW527" s="901"/>
      <c r="NOX527" s="901"/>
      <c r="NOY527" s="901"/>
      <c r="NOZ527" s="901"/>
      <c r="NPA527" s="901"/>
      <c r="NPB527" s="901"/>
      <c r="NPC527" s="901"/>
      <c r="NPD527" s="901"/>
      <c r="NPE527" s="901"/>
      <c r="NPF527" s="901"/>
      <c r="NPG527" s="901"/>
      <c r="NPH527" s="901"/>
      <c r="NPI527" s="901"/>
      <c r="NPJ527" s="901"/>
      <c r="NPK527" s="901"/>
      <c r="NPL527" s="901"/>
      <c r="NPM527" s="901"/>
      <c r="NPN527" s="901"/>
      <c r="NPO527" s="901"/>
      <c r="NPP527" s="901"/>
      <c r="NPQ527" s="901"/>
      <c r="NPR527" s="901"/>
      <c r="NPS527" s="901"/>
      <c r="NPT527" s="901"/>
      <c r="NPU527" s="901"/>
      <c r="NPV527" s="901"/>
      <c r="NPW527" s="901"/>
      <c r="NPX527" s="901"/>
      <c r="NPY527" s="901"/>
      <c r="NPZ527" s="901"/>
      <c r="NQA527" s="901"/>
      <c r="NQB527" s="901"/>
      <c r="NQC527" s="901"/>
      <c r="NQD527" s="901"/>
      <c r="NQE527" s="901"/>
      <c r="NQF527" s="901"/>
      <c r="NQG527" s="901"/>
      <c r="NQH527" s="901"/>
      <c r="NQI527" s="901"/>
      <c r="NQJ527" s="901"/>
      <c r="NQK527" s="901"/>
      <c r="NQL527" s="901"/>
      <c r="NQM527" s="901"/>
      <c r="NQN527" s="901"/>
      <c r="NQO527" s="901"/>
      <c r="NQP527" s="901"/>
      <c r="NQQ527" s="901"/>
      <c r="NQR527" s="901"/>
      <c r="NQS527" s="901"/>
      <c r="NQT527" s="901"/>
      <c r="NQU527" s="901"/>
      <c r="NQV527" s="901"/>
      <c r="NQW527" s="901"/>
      <c r="NQX527" s="901"/>
      <c r="NQY527" s="901"/>
      <c r="NQZ527" s="901"/>
      <c r="NRA527" s="901"/>
      <c r="NRB527" s="901"/>
      <c r="NRC527" s="901"/>
      <c r="NRD527" s="901"/>
      <c r="NRE527" s="901"/>
      <c r="NRF527" s="901"/>
      <c r="NRG527" s="901"/>
      <c r="NRH527" s="901"/>
      <c r="NRI527" s="901"/>
      <c r="NRJ527" s="901"/>
      <c r="NRK527" s="901"/>
      <c r="NRL527" s="901"/>
      <c r="NRM527" s="901"/>
      <c r="NRN527" s="901"/>
      <c r="NRO527" s="901"/>
      <c r="NRP527" s="901"/>
      <c r="NRQ527" s="901"/>
      <c r="NRR527" s="901"/>
      <c r="NRS527" s="901"/>
      <c r="NRT527" s="901"/>
      <c r="NRU527" s="901"/>
      <c r="NRV527" s="901"/>
      <c r="NRW527" s="901"/>
      <c r="NRX527" s="901"/>
      <c r="NRY527" s="901"/>
      <c r="NRZ527" s="901"/>
      <c r="NSA527" s="901"/>
      <c r="NSB527" s="901"/>
      <c r="NSC527" s="901"/>
      <c r="NSD527" s="901"/>
      <c r="NSE527" s="901"/>
      <c r="NSF527" s="901"/>
      <c r="NSG527" s="901"/>
      <c r="NSH527" s="901"/>
      <c r="NSI527" s="901"/>
      <c r="NSJ527" s="901"/>
      <c r="NSK527" s="901"/>
      <c r="NSL527" s="901"/>
      <c r="NSM527" s="901"/>
      <c r="NSN527" s="901"/>
      <c r="NSO527" s="901"/>
      <c r="NSP527" s="901"/>
      <c r="NSQ527" s="901"/>
      <c r="NSR527" s="901"/>
      <c r="NSS527" s="901"/>
      <c r="NST527" s="901"/>
      <c r="NSU527" s="901"/>
      <c r="NSV527" s="901"/>
      <c r="NSW527" s="901"/>
      <c r="NSX527" s="901"/>
      <c r="NSY527" s="901"/>
      <c r="NSZ527" s="901"/>
      <c r="NTA527" s="901"/>
      <c r="NTB527" s="901"/>
      <c r="NTC527" s="901"/>
      <c r="NTD527" s="901"/>
      <c r="NTE527" s="901"/>
      <c r="NTF527" s="901"/>
      <c r="NTG527" s="901"/>
      <c r="NTH527" s="901"/>
      <c r="NTI527" s="901"/>
      <c r="NTJ527" s="901"/>
      <c r="NTK527" s="901"/>
      <c r="NTL527" s="901"/>
      <c r="NTM527" s="901"/>
      <c r="NTN527" s="901"/>
      <c r="NTO527" s="901"/>
      <c r="NTP527" s="901"/>
      <c r="NTQ527" s="901"/>
      <c r="NTR527" s="901"/>
      <c r="NTS527" s="901"/>
      <c r="NTT527" s="901"/>
      <c r="NTU527" s="901"/>
      <c r="NTV527" s="901"/>
      <c r="NTW527" s="901"/>
      <c r="NTX527" s="901"/>
      <c r="NTY527" s="901"/>
      <c r="NTZ527" s="901"/>
      <c r="NUA527" s="901"/>
      <c r="NUB527" s="901"/>
      <c r="NUC527" s="901"/>
      <c r="NUD527" s="901"/>
      <c r="NUE527" s="901"/>
      <c r="NUF527" s="901"/>
      <c r="NUG527" s="901"/>
      <c r="NUH527" s="901"/>
      <c r="NUI527" s="901"/>
      <c r="NUJ527" s="901"/>
      <c r="NUK527" s="901"/>
      <c r="NUL527" s="901"/>
      <c r="NUM527" s="901"/>
      <c r="NUN527" s="901"/>
      <c r="NUO527" s="901"/>
      <c r="NUP527" s="901"/>
      <c r="NUQ527" s="901"/>
      <c r="NUR527" s="901"/>
      <c r="NUS527" s="901"/>
      <c r="NUT527" s="901"/>
      <c r="NUU527" s="901"/>
      <c r="NUV527" s="901"/>
      <c r="NUW527" s="901"/>
      <c r="NUX527" s="901"/>
      <c r="NUY527" s="901"/>
      <c r="NUZ527" s="901"/>
      <c r="NVA527" s="901"/>
      <c r="NVB527" s="901"/>
      <c r="NVC527" s="901"/>
      <c r="NVD527" s="901"/>
      <c r="NVE527" s="901"/>
      <c r="NVF527" s="901"/>
      <c r="NVG527" s="901"/>
      <c r="NVH527" s="901"/>
      <c r="NVI527" s="901"/>
      <c r="NVJ527" s="901"/>
      <c r="NVK527" s="901"/>
      <c r="NVL527" s="901"/>
      <c r="NVM527" s="901"/>
      <c r="NVN527" s="901"/>
      <c r="NVO527" s="901"/>
      <c r="NVP527" s="901"/>
      <c r="NVQ527" s="901"/>
      <c r="NVR527" s="901"/>
      <c r="NVS527" s="901"/>
      <c r="NVT527" s="901"/>
      <c r="NVU527" s="901"/>
      <c r="NVV527" s="901"/>
      <c r="NVW527" s="901"/>
      <c r="NVX527" s="901"/>
      <c r="NVY527" s="901"/>
      <c r="NVZ527" s="901"/>
      <c r="NWA527" s="901"/>
      <c r="NWB527" s="901"/>
      <c r="NWC527" s="901"/>
      <c r="NWD527" s="901"/>
      <c r="NWE527" s="901"/>
      <c r="NWF527" s="901"/>
      <c r="NWG527" s="901"/>
      <c r="NWH527" s="901"/>
      <c r="NWI527" s="901"/>
      <c r="NWJ527" s="901"/>
      <c r="NWK527" s="901"/>
      <c r="NWL527" s="901"/>
      <c r="NWM527" s="901"/>
      <c r="NWN527" s="901"/>
      <c r="NWO527" s="901"/>
      <c r="NWP527" s="901"/>
      <c r="NWQ527" s="901"/>
      <c r="NWR527" s="901"/>
      <c r="NWS527" s="901"/>
      <c r="NWT527" s="901"/>
      <c r="NWU527" s="901"/>
      <c r="NWV527" s="901"/>
      <c r="NWW527" s="901"/>
      <c r="NWX527" s="901"/>
      <c r="NWY527" s="901"/>
      <c r="NWZ527" s="901"/>
      <c r="NXA527" s="901"/>
      <c r="NXB527" s="901"/>
      <c r="NXC527" s="901"/>
      <c r="NXD527" s="901"/>
      <c r="NXE527" s="901"/>
      <c r="NXF527" s="901"/>
      <c r="NXG527" s="901"/>
      <c r="NXH527" s="901"/>
      <c r="NXI527" s="901"/>
      <c r="NXJ527" s="901"/>
      <c r="NXK527" s="901"/>
      <c r="NXL527" s="901"/>
      <c r="NXM527" s="901"/>
      <c r="NXN527" s="901"/>
      <c r="NXO527" s="901"/>
      <c r="NXP527" s="901"/>
      <c r="NXQ527" s="901"/>
      <c r="NXR527" s="901"/>
      <c r="NXS527" s="901"/>
      <c r="NXT527" s="901"/>
      <c r="NXU527" s="901"/>
      <c r="NXV527" s="901"/>
      <c r="NXW527" s="901"/>
      <c r="NXX527" s="901"/>
      <c r="NXY527" s="901"/>
      <c r="NXZ527" s="901"/>
      <c r="NYA527" s="901"/>
      <c r="NYB527" s="901"/>
      <c r="NYC527" s="901"/>
      <c r="NYD527" s="901"/>
      <c r="NYE527" s="901"/>
      <c r="NYF527" s="901"/>
      <c r="NYG527" s="901"/>
      <c r="NYH527" s="901"/>
      <c r="NYI527" s="901"/>
      <c r="NYJ527" s="901"/>
      <c r="NYK527" s="901"/>
      <c r="NYL527" s="901"/>
      <c r="NYM527" s="901"/>
      <c r="NYN527" s="901"/>
      <c r="NYO527" s="901"/>
      <c r="NYP527" s="901"/>
      <c r="NYQ527" s="901"/>
      <c r="NYR527" s="901"/>
      <c r="NYS527" s="901"/>
      <c r="NYT527" s="901"/>
      <c r="NYU527" s="901"/>
      <c r="NYV527" s="901"/>
      <c r="NYW527" s="901"/>
      <c r="NYX527" s="901"/>
      <c r="NYY527" s="901"/>
      <c r="NYZ527" s="901"/>
      <c r="NZA527" s="901"/>
      <c r="NZB527" s="901"/>
      <c r="NZC527" s="901"/>
      <c r="NZD527" s="901"/>
      <c r="NZE527" s="901"/>
      <c r="NZF527" s="901"/>
      <c r="NZG527" s="901"/>
      <c r="NZH527" s="901"/>
      <c r="NZI527" s="901"/>
      <c r="NZJ527" s="901"/>
      <c r="NZK527" s="901"/>
      <c r="NZL527" s="901"/>
      <c r="NZM527" s="901"/>
      <c r="NZN527" s="901"/>
      <c r="NZO527" s="901"/>
      <c r="NZP527" s="901"/>
      <c r="NZQ527" s="901"/>
      <c r="NZR527" s="901"/>
      <c r="NZS527" s="901"/>
      <c r="NZT527" s="901"/>
      <c r="NZU527" s="901"/>
      <c r="NZV527" s="901"/>
      <c r="NZW527" s="901"/>
      <c r="NZX527" s="901"/>
      <c r="NZY527" s="901"/>
      <c r="NZZ527" s="901"/>
      <c r="OAA527" s="901"/>
      <c r="OAB527" s="901"/>
      <c r="OAC527" s="901"/>
      <c r="OAD527" s="901"/>
      <c r="OAE527" s="901"/>
      <c r="OAF527" s="901"/>
      <c r="OAG527" s="901"/>
      <c r="OAH527" s="901"/>
      <c r="OAI527" s="901"/>
      <c r="OAJ527" s="901"/>
      <c r="OAK527" s="901"/>
      <c r="OAL527" s="901"/>
      <c r="OAM527" s="901"/>
      <c r="OAN527" s="901"/>
      <c r="OAO527" s="901"/>
      <c r="OAP527" s="901"/>
      <c r="OAQ527" s="901"/>
      <c r="OAR527" s="901"/>
      <c r="OAS527" s="901"/>
      <c r="OAT527" s="901"/>
      <c r="OAU527" s="901"/>
      <c r="OAV527" s="901"/>
      <c r="OAW527" s="901"/>
      <c r="OAX527" s="901"/>
      <c r="OAY527" s="901"/>
      <c r="OAZ527" s="901"/>
      <c r="OBA527" s="901"/>
      <c r="OBB527" s="901"/>
      <c r="OBC527" s="901"/>
      <c r="OBD527" s="901"/>
      <c r="OBE527" s="901"/>
      <c r="OBF527" s="901"/>
      <c r="OBG527" s="901"/>
      <c r="OBH527" s="901"/>
      <c r="OBI527" s="901"/>
      <c r="OBJ527" s="901"/>
      <c r="OBK527" s="901"/>
      <c r="OBL527" s="901"/>
      <c r="OBM527" s="901"/>
      <c r="OBN527" s="901"/>
      <c r="OBO527" s="901"/>
      <c r="OBP527" s="901"/>
      <c r="OBQ527" s="901"/>
      <c r="OBR527" s="901"/>
      <c r="OBS527" s="901"/>
      <c r="OBT527" s="901"/>
      <c r="OBU527" s="901"/>
      <c r="OBV527" s="901"/>
      <c r="OBW527" s="901"/>
      <c r="OBX527" s="901"/>
      <c r="OBY527" s="901"/>
      <c r="OBZ527" s="901"/>
      <c r="OCA527" s="901"/>
      <c r="OCB527" s="901"/>
      <c r="OCC527" s="901"/>
      <c r="OCD527" s="901"/>
      <c r="OCE527" s="901"/>
      <c r="OCF527" s="901"/>
      <c r="OCG527" s="901"/>
      <c r="OCH527" s="901"/>
      <c r="OCI527" s="901"/>
      <c r="OCJ527" s="901"/>
      <c r="OCK527" s="901"/>
      <c r="OCL527" s="901"/>
      <c r="OCM527" s="901"/>
      <c r="OCN527" s="901"/>
      <c r="OCO527" s="901"/>
      <c r="OCP527" s="901"/>
      <c r="OCQ527" s="901"/>
      <c r="OCR527" s="901"/>
      <c r="OCS527" s="901"/>
      <c r="OCT527" s="901"/>
      <c r="OCU527" s="901"/>
      <c r="OCV527" s="901"/>
      <c r="OCW527" s="901"/>
      <c r="OCX527" s="901"/>
      <c r="OCY527" s="901"/>
      <c r="OCZ527" s="901"/>
      <c r="ODA527" s="901"/>
      <c r="ODB527" s="901"/>
      <c r="ODC527" s="901"/>
      <c r="ODD527" s="901"/>
      <c r="ODE527" s="901"/>
      <c r="ODF527" s="901"/>
      <c r="ODG527" s="901"/>
      <c r="ODH527" s="901"/>
      <c r="ODI527" s="901"/>
      <c r="ODJ527" s="901"/>
      <c r="ODK527" s="901"/>
      <c r="ODL527" s="901"/>
      <c r="ODM527" s="901"/>
      <c r="ODN527" s="901"/>
      <c r="ODO527" s="901"/>
      <c r="ODP527" s="901"/>
      <c r="ODQ527" s="901"/>
      <c r="ODR527" s="901"/>
      <c r="ODS527" s="901"/>
      <c r="ODT527" s="901"/>
      <c r="ODU527" s="901"/>
      <c r="ODV527" s="901"/>
      <c r="ODW527" s="901"/>
      <c r="ODX527" s="901"/>
      <c r="ODY527" s="901"/>
      <c r="ODZ527" s="901"/>
      <c r="OEA527" s="901"/>
      <c r="OEB527" s="901"/>
      <c r="OEC527" s="901"/>
      <c r="OED527" s="901"/>
      <c r="OEE527" s="901"/>
      <c r="OEF527" s="901"/>
      <c r="OEG527" s="901"/>
      <c r="OEH527" s="901"/>
      <c r="OEI527" s="901"/>
      <c r="OEJ527" s="901"/>
      <c r="OEK527" s="901"/>
      <c r="OEL527" s="901"/>
      <c r="OEM527" s="901"/>
      <c r="OEN527" s="901"/>
      <c r="OEO527" s="901"/>
      <c r="OEP527" s="901"/>
      <c r="OEQ527" s="901"/>
      <c r="OER527" s="901"/>
      <c r="OES527" s="901"/>
      <c r="OET527" s="901"/>
      <c r="OEU527" s="901"/>
      <c r="OEV527" s="901"/>
      <c r="OEW527" s="901"/>
      <c r="OEX527" s="901"/>
      <c r="OEY527" s="901"/>
      <c r="OEZ527" s="901"/>
      <c r="OFA527" s="901"/>
      <c r="OFB527" s="901"/>
      <c r="OFC527" s="901"/>
      <c r="OFD527" s="901"/>
      <c r="OFE527" s="901"/>
      <c r="OFF527" s="901"/>
      <c r="OFG527" s="901"/>
      <c r="OFH527" s="901"/>
      <c r="OFI527" s="901"/>
      <c r="OFJ527" s="901"/>
      <c r="OFK527" s="901"/>
      <c r="OFL527" s="901"/>
      <c r="OFM527" s="901"/>
      <c r="OFN527" s="901"/>
      <c r="OFO527" s="901"/>
      <c r="OFP527" s="901"/>
      <c r="OFQ527" s="901"/>
      <c r="OFR527" s="901"/>
      <c r="OFS527" s="901"/>
      <c r="OFT527" s="901"/>
      <c r="OFU527" s="901"/>
      <c r="OFV527" s="901"/>
      <c r="OFW527" s="901"/>
      <c r="OFX527" s="901"/>
      <c r="OFY527" s="901"/>
      <c r="OFZ527" s="901"/>
      <c r="OGA527" s="901"/>
      <c r="OGB527" s="901"/>
      <c r="OGC527" s="901"/>
      <c r="OGD527" s="901"/>
      <c r="OGE527" s="901"/>
      <c r="OGF527" s="901"/>
      <c r="OGG527" s="901"/>
      <c r="OGH527" s="901"/>
      <c r="OGI527" s="901"/>
      <c r="OGJ527" s="901"/>
      <c r="OGK527" s="901"/>
      <c r="OGL527" s="901"/>
      <c r="OGM527" s="901"/>
      <c r="OGN527" s="901"/>
      <c r="OGO527" s="901"/>
      <c r="OGP527" s="901"/>
      <c r="OGQ527" s="901"/>
      <c r="OGR527" s="901"/>
      <c r="OGS527" s="901"/>
      <c r="OGT527" s="901"/>
      <c r="OGU527" s="901"/>
      <c r="OGV527" s="901"/>
      <c r="OGW527" s="901"/>
      <c r="OGX527" s="901"/>
      <c r="OGY527" s="901"/>
      <c r="OGZ527" s="901"/>
      <c r="OHA527" s="901"/>
      <c r="OHB527" s="901"/>
      <c r="OHC527" s="901"/>
      <c r="OHD527" s="901"/>
      <c r="OHE527" s="901"/>
      <c r="OHF527" s="901"/>
      <c r="OHG527" s="901"/>
      <c r="OHH527" s="901"/>
      <c r="OHI527" s="901"/>
      <c r="OHJ527" s="901"/>
      <c r="OHK527" s="901"/>
      <c r="OHL527" s="901"/>
      <c r="OHM527" s="901"/>
      <c r="OHN527" s="901"/>
      <c r="OHO527" s="901"/>
      <c r="OHP527" s="901"/>
      <c r="OHQ527" s="901"/>
      <c r="OHR527" s="901"/>
      <c r="OHS527" s="901"/>
      <c r="OHT527" s="901"/>
      <c r="OHU527" s="901"/>
      <c r="OHV527" s="901"/>
      <c r="OHW527" s="901"/>
      <c r="OHX527" s="901"/>
      <c r="OHY527" s="901"/>
      <c r="OHZ527" s="901"/>
      <c r="OIA527" s="901"/>
      <c r="OIB527" s="901"/>
      <c r="OIC527" s="901"/>
      <c r="OID527" s="901"/>
      <c r="OIE527" s="901"/>
      <c r="OIF527" s="901"/>
      <c r="OIG527" s="901"/>
      <c r="OIH527" s="901"/>
      <c r="OII527" s="901"/>
      <c r="OIJ527" s="901"/>
      <c r="OIK527" s="901"/>
      <c r="OIL527" s="901"/>
      <c r="OIM527" s="901"/>
      <c r="OIN527" s="901"/>
      <c r="OIO527" s="901"/>
      <c r="OIP527" s="901"/>
      <c r="OIQ527" s="901"/>
      <c r="OIR527" s="901"/>
      <c r="OIS527" s="901"/>
      <c r="OIT527" s="901"/>
      <c r="OIU527" s="901"/>
      <c r="OIV527" s="901"/>
      <c r="OIW527" s="901"/>
      <c r="OIX527" s="901"/>
      <c r="OIY527" s="901"/>
      <c r="OIZ527" s="901"/>
      <c r="OJA527" s="901"/>
      <c r="OJB527" s="901"/>
      <c r="OJC527" s="901"/>
      <c r="OJD527" s="901"/>
      <c r="OJE527" s="901"/>
      <c r="OJF527" s="901"/>
      <c r="OJG527" s="901"/>
      <c r="OJH527" s="901"/>
      <c r="OJI527" s="901"/>
      <c r="OJJ527" s="901"/>
      <c r="OJK527" s="901"/>
      <c r="OJL527" s="901"/>
      <c r="OJM527" s="901"/>
      <c r="OJN527" s="901"/>
      <c r="OJO527" s="901"/>
      <c r="OJP527" s="901"/>
      <c r="OJQ527" s="901"/>
      <c r="OJR527" s="901"/>
      <c r="OJS527" s="901"/>
      <c r="OJT527" s="901"/>
      <c r="OJU527" s="901"/>
      <c r="OJV527" s="901"/>
      <c r="OJW527" s="901"/>
      <c r="OJX527" s="901"/>
      <c r="OJY527" s="901"/>
      <c r="OJZ527" s="901"/>
      <c r="OKA527" s="901"/>
      <c r="OKB527" s="901"/>
      <c r="OKC527" s="901"/>
      <c r="OKD527" s="901"/>
      <c r="OKE527" s="901"/>
      <c r="OKF527" s="901"/>
      <c r="OKG527" s="901"/>
      <c r="OKH527" s="901"/>
      <c r="OKI527" s="901"/>
      <c r="OKJ527" s="901"/>
      <c r="OKK527" s="901"/>
      <c r="OKL527" s="901"/>
      <c r="OKM527" s="901"/>
      <c r="OKN527" s="901"/>
      <c r="OKO527" s="901"/>
      <c r="OKP527" s="901"/>
      <c r="OKQ527" s="901"/>
      <c r="OKR527" s="901"/>
      <c r="OKS527" s="901"/>
      <c r="OKT527" s="901"/>
      <c r="OKU527" s="901"/>
      <c r="OKV527" s="901"/>
      <c r="OKW527" s="901"/>
      <c r="OKX527" s="901"/>
      <c r="OKY527" s="901"/>
      <c r="OKZ527" s="901"/>
      <c r="OLA527" s="901"/>
      <c r="OLB527" s="901"/>
      <c r="OLC527" s="901"/>
      <c r="OLD527" s="901"/>
      <c r="OLE527" s="901"/>
      <c r="OLF527" s="901"/>
      <c r="OLG527" s="901"/>
      <c r="OLH527" s="901"/>
      <c r="OLI527" s="901"/>
      <c r="OLJ527" s="901"/>
      <c r="OLK527" s="901"/>
      <c r="OLL527" s="901"/>
      <c r="OLM527" s="901"/>
      <c r="OLN527" s="901"/>
      <c r="OLO527" s="901"/>
      <c r="OLP527" s="901"/>
      <c r="OLQ527" s="901"/>
      <c r="OLR527" s="901"/>
      <c r="OLS527" s="901"/>
      <c r="OLT527" s="901"/>
      <c r="OLU527" s="901"/>
      <c r="OLV527" s="901"/>
      <c r="OLW527" s="901"/>
      <c r="OLX527" s="901"/>
      <c r="OLY527" s="901"/>
      <c r="OLZ527" s="901"/>
      <c r="OMA527" s="901"/>
      <c r="OMB527" s="901"/>
      <c r="OMC527" s="901"/>
      <c r="OMD527" s="901"/>
      <c r="OME527" s="901"/>
      <c r="OMF527" s="901"/>
      <c r="OMG527" s="901"/>
      <c r="OMH527" s="901"/>
      <c r="OMI527" s="901"/>
      <c r="OMJ527" s="901"/>
      <c r="OMK527" s="901"/>
      <c r="OML527" s="901"/>
      <c r="OMM527" s="901"/>
      <c r="OMN527" s="901"/>
      <c r="OMO527" s="901"/>
      <c r="OMP527" s="901"/>
      <c r="OMQ527" s="901"/>
      <c r="OMR527" s="901"/>
      <c r="OMS527" s="901"/>
      <c r="OMT527" s="901"/>
      <c r="OMU527" s="901"/>
      <c r="OMV527" s="901"/>
      <c r="OMW527" s="901"/>
      <c r="OMX527" s="901"/>
      <c r="OMY527" s="901"/>
      <c r="OMZ527" s="901"/>
      <c r="ONA527" s="901"/>
      <c r="ONB527" s="901"/>
      <c r="ONC527" s="901"/>
      <c r="OND527" s="901"/>
      <c r="ONE527" s="901"/>
      <c r="ONF527" s="901"/>
      <c r="ONG527" s="901"/>
      <c r="ONH527" s="901"/>
      <c r="ONI527" s="901"/>
      <c r="ONJ527" s="901"/>
      <c r="ONK527" s="901"/>
      <c r="ONL527" s="901"/>
      <c r="ONM527" s="901"/>
      <c r="ONN527" s="901"/>
      <c r="ONO527" s="901"/>
      <c r="ONP527" s="901"/>
      <c r="ONQ527" s="901"/>
      <c r="ONR527" s="901"/>
      <c r="ONS527" s="901"/>
      <c r="ONT527" s="901"/>
      <c r="ONU527" s="901"/>
      <c r="ONV527" s="901"/>
      <c r="ONW527" s="901"/>
      <c r="ONX527" s="901"/>
      <c r="ONY527" s="901"/>
      <c r="ONZ527" s="901"/>
      <c r="OOA527" s="901"/>
      <c r="OOB527" s="901"/>
      <c r="OOC527" s="901"/>
      <c r="OOD527" s="901"/>
      <c r="OOE527" s="901"/>
      <c r="OOF527" s="901"/>
      <c r="OOG527" s="901"/>
      <c r="OOH527" s="901"/>
      <c r="OOI527" s="901"/>
      <c r="OOJ527" s="901"/>
      <c r="OOK527" s="901"/>
      <c r="OOL527" s="901"/>
      <c r="OOM527" s="901"/>
      <c r="OON527" s="901"/>
      <c r="OOO527" s="901"/>
      <c r="OOP527" s="901"/>
      <c r="OOQ527" s="901"/>
      <c r="OOR527" s="901"/>
      <c r="OOS527" s="901"/>
      <c r="OOT527" s="901"/>
      <c r="OOU527" s="901"/>
      <c r="OOV527" s="901"/>
      <c r="OOW527" s="901"/>
      <c r="OOX527" s="901"/>
      <c r="OOY527" s="901"/>
      <c r="OOZ527" s="901"/>
      <c r="OPA527" s="901"/>
      <c r="OPB527" s="901"/>
      <c r="OPC527" s="901"/>
      <c r="OPD527" s="901"/>
      <c r="OPE527" s="901"/>
      <c r="OPF527" s="901"/>
      <c r="OPG527" s="901"/>
      <c r="OPH527" s="901"/>
      <c r="OPI527" s="901"/>
      <c r="OPJ527" s="901"/>
      <c r="OPK527" s="901"/>
      <c r="OPL527" s="901"/>
      <c r="OPM527" s="901"/>
      <c r="OPN527" s="901"/>
      <c r="OPO527" s="901"/>
      <c r="OPP527" s="901"/>
      <c r="OPQ527" s="901"/>
      <c r="OPR527" s="901"/>
      <c r="OPS527" s="901"/>
      <c r="OPT527" s="901"/>
      <c r="OPU527" s="901"/>
      <c r="OPV527" s="901"/>
      <c r="OPW527" s="901"/>
      <c r="OPX527" s="901"/>
      <c r="OPY527" s="901"/>
      <c r="OPZ527" s="901"/>
      <c r="OQA527" s="901"/>
      <c r="OQB527" s="901"/>
      <c r="OQC527" s="901"/>
      <c r="OQD527" s="901"/>
      <c r="OQE527" s="901"/>
      <c r="OQF527" s="901"/>
      <c r="OQG527" s="901"/>
      <c r="OQH527" s="901"/>
      <c r="OQI527" s="901"/>
      <c r="OQJ527" s="901"/>
      <c r="OQK527" s="901"/>
      <c r="OQL527" s="901"/>
      <c r="OQM527" s="901"/>
      <c r="OQN527" s="901"/>
      <c r="OQO527" s="901"/>
      <c r="OQP527" s="901"/>
      <c r="OQQ527" s="901"/>
      <c r="OQR527" s="901"/>
      <c r="OQS527" s="901"/>
      <c r="OQT527" s="901"/>
      <c r="OQU527" s="901"/>
      <c r="OQV527" s="901"/>
      <c r="OQW527" s="901"/>
      <c r="OQX527" s="901"/>
      <c r="OQY527" s="901"/>
      <c r="OQZ527" s="901"/>
      <c r="ORA527" s="901"/>
      <c r="ORB527" s="901"/>
      <c r="ORC527" s="901"/>
      <c r="ORD527" s="901"/>
      <c r="ORE527" s="901"/>
      <c r="ORF527" s="901"/>
      <c r="ORG527" s="901"/>
      <c r="ORH527" s="901"/>
      <c r="ORI527" s="901"/>
      <c r="ORJ527" s="901"/>
      <c r="ORK527" s="901"/>
      <c r="ORL527" s="901"/>
      <c r="ORM527" s="901"/>
      <c r="ORN527" s="901"/>
      <c r="ORO527" s="901"/>
      <c r="ORP527" s="901"/>
      <c r="ORQ527" s="901"/>
      <c r="ORR527" s="901"/>
      <c r="ORS527" s="901"/>
      <c r="ORT527" s="901"/>
      <c r="ORU527" s="901"/>
      <c r="ORV527" s="901"/>
      <c r="ORW527" s="901"/>
      <c r="ORX527" s="901"/>
      <c r="ORY527" s="901"/>
      <c r="ORZ527" s="901"/>
      <c r="OSA527" s="901"/>
      <c r="OSB527" s="901"/>
      <c r="OSC527" s="901"/>
      <c r="OSD527" s="901"/>
      <c r="OSE527" s="901"/>
      <c r="OSF527" s="901"/>
      <c r="OSG527" s="901"/>
      <c r="OSH527" s="901"/>
      <c r="OSI527" s="901"/>
      <c r="OSJ527" s="901"/>
      <c r="OSK527" s="901"/>
      <c r="OSL527" s="901"/>
      <c r="OSM527" s="901"/>
      <c r="OSN527" s="901"/>
      <c r="OSO527" s="901"/>
      <c r="OSP527" s="901"/>
      <c r="OSQ527" s="901"/>
      <c r="OSR527" s="901"/>
      <c r="OSS527" s="901"/>
      <c r="OST527" s="901"/>
      <c r="OSU527" s="901"/>
      <c r="OSV527" s="901"/>
      <c r="OSW527" s="901"/>
      <c r="OSX527" s="901"/>
      <c r="OSY527" s="901"/>
      <c r="OSZ527" s="901"/>
      <c r="OTA527" s="901"/>
      <c r="OTB527" s="901"/>
      <c r="OTC527" s="901"/>
      <c r="OTD527" s="901"/>
      <c r="OTE527" s="901"/>
      <c r="OTF527" s="901"/>
      <c r="OTG527" s="901"/>
      <c r="OTH527" s="901"/>
      <c r="OTI527" s="901"/>
      <c r="OTJ527" s="901"/>
      <c r="OTK527" s="901"/>
      <c r="OTL527" s="901"/>
      <c r="OTM527" s="901"/>
      <c r="OTN527" s="901"/>
      <c r="OTO527" s="901"/>
      <c r="OTP527" s="901"/>
      <c r="OTQ527" s="901"/>
      <c r="OTR527" s="901"/>
      <c r="OTS527" s="901"/>
      <c r="OTT527" s="901"/>
      <c r="OTU527" s="901"/>
      <c r="OTV527" s="901"/>
      <c r="OTW527" s="901"/>
      <c r="OTX527" s="901"/>
      <c r="OTY527" s="901"/>
      <c r="OTZ527" s="901"/>
      <c r="OUA527" s="901"/>
      <c r="OUB527" s="901"/>
      <c r="OUC527" s="901"/>
      <c r="OUD527" s="901"/>
      <c r="OUE527" s="901"/>
      <c r="OUF527" s="901"/>
      <c r="OUG527" s="901"/>
      <c r="OUH527" s="901"/>
      <c r="OUI527" s="901"/>
      <c r="OUJ527" s="901"/>
      <c r="OUK527" s="901"/>
      <c r="OUL527" s="901"/>
      <c r="OUM527" s="901"/>
      <c r="OUN527" s="901"/>
      <c r="OUO527" s="901"/>
      <c r="OUP527" s="901"/>
      <c r="OUQ527" s="901"/>
      <c r="OUR527" s="901"/>
      <c r="OUS527" s="901"/>
      <c r="OUT527" s="901"/>
      <c r="OUU527" s="901"/>
      <c r="OUV527" s="901"/>
      <c r="OUW527" s="901"/>
      <c r="OUX527" s="901"/>
      <c r="OUY527" s="901"/>
      <c r="OUZ527" s="901"/>
      <c r="OVA527" s="901"/>
      <c r="OVB527" s="901"/>
      <c r="OVC527" s="901"/>
      <c r="OVD527" s="901"/>
      <c r="OVE527" s="901"/>
      <c r="OVF527" s="901"/>
      <c r="OVG527" s="901"/>
      <c r="OVH527" s="901"/>
      <c r="OVI527" s="901"/>
      <c r="OVJ527" s="901"/>
      <c r="OVK527" s="901"/>
      <c r="OVL527" s="901"/>
      <c r="OVM527" s="901"/>
      <c r="OVN527" s="901"/>
      <c r="OVO527" s="901"/>
      <c r="OVP527" s="901"/>
      <c r="OVQ527" s="901"/>
      <c r="OVR527" s="901"/>
      <c r="OVS527" s="901"/>
      <c r="OVT527" s="901"/>
      <c r="OVU527" s="901"/>
      <c r="OVV527" s="901"/>
      <c r="OVW527" s="901"/>
      <c r="OVX527" s="901"/>
      <c r="OVY527" s="901"/>
      <c r="OVZ527" s="901"/>
      <c r="OWA527" s="901"/>
      <c r="OWB527" s="901"/>
      <c r="OWC527" s="901"/>
      <c r="OWD527" s="901"/>
      <c r="OWE527" s="901"/>
      <c r="OWF527" s="901"/>
      <c r="OWG527" s="901"/>
      <c r="OWH527" s="901"/>
      <c r="OWI527" s="901"/>
      <c r="OWJ527" s="901"/>
      <c r="OWK527" s="901"/>
      <c r="OWL527" s="901"/>
      <c r="OWM527" s="901"/>
      <c r="OWN527" s="901"/>
      <c r="OWO527" s="901"/>
      <c r="OWP527" s="901"/>
      <c r="OWQ527" s="901"/>
      <c r="OWR527" s="901"/>
      <c r="OWS527" s="901"/>
      <c r="OWT527" s="901"/>
      <c r="OWU527" s="901"/>
      <c r="OWV527" s="901"/>
      <c r="OWW527" s="901"/>
      <c r="OWX527" s="901"/>
      <c r="OWY527" s="901"/>
      <c r="OWZ527" s="901"/>
      <c r="OXA527" s="901"/>
      <c r="OXB527" s="901"/>
      <c r="OXC527" s="901"/>
      <c r="OXD527" s="901"/>
      <c r="OXE527" s="901"/>
      <c r="OXF527" s="901"/>
      <c r="OXG527" s="901"/>
      <c r="OXH527" s="901"/>
      <c r="OXI527" s="901"/>
      <c r="OXJ527" s="901"/>
      <c r="OXK527" s="901"/>
      <c r="OXL527" s="901"/>
      <c r="OXM527" s="901"/>
      <c r="OXN527" s="901"/>
      <c r="OXO527" s="901"/>
      <c r="OXP527" s="901"/>
      <c r="OXQ527" s="901"/>
      <c r="OXR527" s="901"/>
      <c r="OXS527" s="901"/>
      <c r="OXT527" s="901"/>
      <c r="OXU527" s="901"/>
      <c r="OXV527" s="901"/>
      <c r="OXW527" s="901"/>
      <c r="OXX527" s="901"/>
      <c r="OXY527" s="901"/>
      <c r="OXZ527" s="901"/>
      <c r="OYA527" s="901"/>
      <c r="OYB527" s="901"/>
      <c r="OYC527" s="901"/>
      <c r="OYD527" s="901"/>
      <c r="OYE527" s="901"/>
      <c r="OYF527" s="901"/>
      <c r="OYG527" s="901"/>
      <c r="OYH527" s="901"/>
      <c r="OYI527" s="901"/>
      <c r="OYJ527" s="901"/>
      <c r="OYK527" s="901"/>
      <c r="OYL527" s="901"/>
      <c r="OYM527" s="901"/>
      <c r="OYN527" s="901"/>
      <c r="OYO527" s="901"/>
      <c r="OYP527" s="901"/>
      <c r="OYQ527" s="901"/>
      <c r="OYR527" s="901"/>
      <c r="OYS527" s="901"/>
      <c r="OYT527" s="901"/>
      <c r="OYU527" s="901"/>
      <c r="OYV527" s="901"/>
      <c r="OYW527" s="901"/>
      <c r="OYX527" s="901"/>
      <c r="OYY527" s="901"/>
      <c r="OYZ527" s="901"/>
      <c r="OZA527" s="901"/>
      <c r="OZB527" s="901"/>
      <c r="OZC527" s="901"/>
      <c r="OZD527" s="901"/>
      <c r="OZE527" s="901"/>
      <c r="OZF527" s="901"/>
      <c r="OZG527" s="901"/>
      <c r="OZH527" s="901"/>
      <c r="OZI527" s="901"/>
      <c r="OZJ527" s="901"/>
      <c r="OZK527" s="901"/>
      <c r="OZL527" s="901"/>
      <c r="OZM527" s="901"/>
      <c r="OZN527" s="901"/>
      <c r="OZO527" s="901"/>
      <c r="OZP527" s="901"/>
      <c r="OZQ527" s="901"/>
      <c r="OZR527" s="901"/>
      <c r="OZS527" s="901"/>
      <c r="OZT527" s="901"/>
      <c r="OZU527" s="901"/>
      <c r="OZV527" s="901"/>
      <c r="OZW527" s="901"/>
      <c r="OZX527" s="901"/>
      <c r="OZY527" s="901"/>
      <c r="OZZ527" s="901"/>
      <c r="PAA527" s="901"/>
      <c r="PAB527" s="901"/>
      <c r="PAC527" s="901"/>
      <c r="PAD527" s="901"/>
      <c r="PAE527" s="901"/>
      <c r="PAF527" s="901"/>
      <c r="PAG527" s="901"/>
      <c r="PAH527" s="901"/>
      <c r="PAI527" s="901"/>
      <c r="PAJ527" s="901"/>
      <c r="PAK527" s="901"/>
      <c r="PAL527" s="901"/>
      <c r="PAM527" s="901"/>
      <c r="PAN527" s="901"/>
      <c r="PAO527" s="901"/>
      <c r="PAP527" s="901"/>
      <c r="PAQ527" s="901"/>
      <c r="PAR527" s="901"/>
      <c r="PAS527" s="901"/>
      <c r="PAT527" s="901"/>
      <c r="PAU527" s="901"/>
      <c r="PAV527" s="901"/>
      <c r="PAW527" s="901"/>
      <c r="PAX527" s="901"/>
      <c r="PAY527" s="901"/>
      <c r="PAZ527" s="901"/>
      <c r="PBA527" s="901"/>
      <c r="PBB527" s="901"/>
      <c r="PBC527" s="901"/>
      <c r="PBD527" s="901"/>
      <c r="PBE527" s="901"/>
      <c r="PBF527" s="901"/>
      <c r="PBG527" s="901"/>
      <c r="PBH527" s="901"/>
      <c r="PBI527" s="901"/>
      <c r="PBJ527" s="901"/>
      <c r="PBK527" s="901"/>
      <c r="PBL527" s="901"/>
      <c r="PBM527" s="901"/>
      <c r="PBN527" s="901"/>
      <c r="PBO527" s="901"/>
      <c r="PBP527" s="901"/>
      <c r="PBQ527" s="901"/>
      <c r="PBR527" s="901"/>
      <c r="PBS527" s="901"/>
      <c r="PBT527" s="901"/>
      <c r="PBU527" s="901"/>
      <c r="PBV527" s="901"/>
      <c r="PBW527" s="901"/>
      <c r="PBX527" s="901"/>
      <c r="PBY527" s="901"/>
      <c r="PBZ527" s="901"/>
      <c r="PCA527" s="901"/>
      <c r="PCB527" s="901"/>
      <c r="PCC527" s="901"/>
      <c r="PCD527" s="901"/>
      <c r="PCE527" s="901"/>
      <c r="PCF527" s="901"/>
      <c r="PCG527" s="901"/>
      <c r="PCH527" s="901"/>
      <c r="PCI527" s="901"/>
      <c r="PCJ527" s="901"/>
      <c r="PCK527" s="901"/>
      <c r="PCL527" s="901"/>
      <c r="PCM527" s="901"/>
      <c r="PCN527" s="901"/>
      <c r="PCO527" s="901"/>
      <c r="PCP527" s="901"/>
      <c r="PCQ527" s="901"/>
      <c r="PCR527" s="901"/>
      <c r="PCS527" s="901"/>
      <c r="PCT527" s="901"/>
      <c r="PCU527" s="901"/>
      <c r="PCV527" s="901"/>
      <c r="PCW527" s="901"/>
      <c r="PCX527" s="901"/>
      <c r="PCY527" s="901"/>
      <c r="PCZ527" s="901"/>
      <c r="PDA527" s="901"/>
      <c r="PDB527" s="901"/>
      <c r="PDC527" s="901"/>
      <c r="PDD527" s="901"/>
      <c r="PDE527" s="901"/>
      <c r="PDF527" s="901"/>
      <c r="PDG527" s="901"/>
      <c r="PDH527" s="901"/>
      <c r="PDI527" s="901"/>
      <c r="PDJ527" s="901"/>
      <c r="PDK527" s="901"/>
      <c r="PDL527" s="901"/>
      <c r="PDM527" s="901"/>
      <c r="PDN527" s="901"/>
      <c r="PDO527" s="901"/>
      <c r="PDP527" s="901"/>
      <c r="PDQ527" s="901"/>
      <c r="PDR527" s="901"/>
      <c r="PDS527" s="901"/>
      <c r="PDT527" s="901"/>
      <c r="PDU527" s="901"/>
      <c r="PDV527" s="901"/>
      <c r="PDW527" s="901"/>
      <c r="PDX527" s="901"/>
      <c r="PDY527" s="901"/>
      <c r="PDZ527" s="901"/>
      <c r="PEA527" s="901"/>
      <c r="PEB527" s="901"/>
      <c r="PEC527" s="901"/>
      <c r="PED527" s="901"/>
      <c r="PEE527" s="901"/>
      <c r="PEF527" s="901"/>
      <c r="PEG527" s="901"/>
      <c r="PEH527" s="901"/>
      <c r="PEI527" s="901"/>
      <c r="PEJ527" s="901"/>
      <c r="PEK527" s="901"/>
      <c r="PEL527" s="901"/>
      <c r="PEM527" s="901"/>
      <c r="PEN527" s="901"/>
      <c r="PEO527" s="901"/>
      <c r="PEP527" s="901"/>
      <c r="PEQ527" s="901"/>
      <c r="PER527" s="901"/>
      <c r="PES527" s="901"/>
      <c r="PET527" s="901"/>
      <c r="PEU527" s="901"/>
      <c r="PEV527" s="901"/>
      <c r="PEW527" s="901"/>
      <c r="PEX527" s="901"/>
      <c r="PEY527" s="901"/>
      <c r="PEZ527" s="901"/>
      <c r="PFA527" s="901"/>
      <c r="PFB527" s="901"/>
      <c r="PFC527" s="901"/>
      <c r="PFD527" s="901"/>
      <c r="PFE527" s="901"/>
      <c r="PFF527" s="901"/>
      <c r="PFG527" s="901"/>
      <c r="PFH527" s="901"/>
      <c r="PFI527" s="901"/>
      <c r="PFJ527" s="901"/>
      <c r="PFK527" s="901"/>
      <c r="PFL527" s="901"/>
      <c r="PFM527" s="901"/>
      <c r="PFN527" s="901"/>
      <c r="PFO527" s="901"/>
      <c r="PFP527" s="901"/>
      <c r="PFQ527" s="901"/>
      <c r="PFR527" s="901"/>
      <c r="PFS527" s="901"/>
      <c r="PFT527" s="901"/>
      <c r="PFU527" s="901"/>
      <c r="PFV527" s="901"/>
      <c r="PFW527" s="901"/>
      <c r="PFX527" s="901"/>
      <c r="PFY527" s="901"/>
      <c r="PFZ527" s="901"/>
      <c r="PGA527" s="901"/>
      <c r="PGB527" s="901"/>
      <c r="PGC527" s="901"/>
      <c r="PGD527" s="901"/>
      <c r="PGE527" s="901"/>
      <c r="PGF527" s="901"/>
      <c r="PGG527" s="901"/>
      <c r="PGH527" s="901"/>
      <c r="PGI527" s="901"/>
      <c r="PGJ527" s="901"/>
      <c r="PGK527" s="901"/>
      <c r="PGL527" s="901"/>
      <c r="PGM527" s="901"/>
      <c r="PGN527" s="901"/>
      <c r="PGO527" s="901"/>
      <c r="PGP527" s="901"/>
      <c r="PGQ527" s="901"/>
      <c r="PGR527" s="901"/>
      <c r="PGS527" s="901"/>
      <c r="PGT527" s="901"/>
      <c r="PGU527" s="901"/>
      <c r="PGV527" s="901"/>
      <c r="PGW527" s="901"/>
      <c r="PGX527" s="901"/>
      <c r="PGY527" s="901"/>
      <c r="PGZ527" s="901"/>
      <c r="PHA527" s="901"/>
      <c r="PHB527" s="901"/>
      <c r="PHC527" s="901"/>
      <c r="PHD527" s="901"/>
      <c r="PHE527" s="901"/>
      <c r="PHF527" s="901"/>
      <c r="PHG527" s="901"/>
      <c r="PHH527" s="901"/>
      <c r="PHI527" s="901"/>
      <c r="PHJ527" s="901"/>
      <c r="PHK527" s="901"/>
      <c r="PHL527" s="901"/>
      <c r="PHM527" s="901"/>
      <c r="PHN527" s="901"/>
      <c r="PHO527" s="901"/>
      <c r="PHP527" s="901"/>
      <c r="PHQ527" s="901"/>
      <c r="PHR527" s="901"/>
      <c r="PHS527" s="901"/>
      <c r="PHT527" s="901"/>
      <c r="PHU527" s="901"/>
      <c r="PHV527" s="901"/>
      <c r="PHW527" s="901"/>
      <c r="PHX527" s="901"/>
      <c r="PHY527" s="901"/>
      <c r="PHZ527" s="901"/>
      <c r="PIA527" s="901"/>
      <c r="PIB527" s="901"/>
      <c r="PIC527" s="901"/>
      <c r="PID527" s="901"/>
      <c r="PIE527" s="901"/>
      <c r="PIF527" s="901"/>
      <c r="PIG527" s="901"/>
      <c r="PIH527" s="901"/>
      <c r="PII527" s="901"/>
      <c r="PIJ527" s="901"/>
      <c r="PIK527" s="901"/>
      <c r="PIL527" s="901"/>
      <c r="PIM527" s="901"/>
      <c r="PIN527" s="901"/>
      <c r="PIO527" s="901"/>
      <c r="PIP527" s="901"/>
      <c r="PIQ527" s="901"/>
      <c r="PIR527" s="901"/>
      <c r="PIS527" s="901"/>
      <c r="PIT527" s="901"/>
      <c r="PIU527" s="901"/>
      <c r="PIV527" s="901"/>
      <c r="PIW527" s="901"/>
      <c r="PIX527" s="901"/>
      <c r="PIY527" s="901"/>
      <c r="PIZ527" s="901"/>
      <c r="PJA527" s="901"/>
      <c r="PJB527" s="901"/>
      <c r="PJC527" s="901"/>
      <c r="PJD527" s="901"/>
      <c r="PJE527" s="901"/>
      <c r="PJF527" s="901"/>
      <c r="PJG527" s="901"/>
      <c r="PJH527" s="901"/>
      <c r="PJI527" s="901"/>
      <c r="PJJ527" s="901"/>
      <c r="PJK527" s="901"/>
      <c r="PJL527" s="901"/>
      <c r="PJM527" s="901"/>
      <c r="PJN527" s="901"/>
      <c r="PJO527" s="901"/>
      <c r="PJP527" s="901"/>
      <c r="PJQ527" s="901"/>
      <c r="PJR527" s="901"/>
      <c r="PJS527" s="901"/>
      <c r="PJT527" s="901"/>
      <c r="PJU527" s="901"/>
      <c r="PJV527" s="901"/>
      <c r="PJW527" s="901"/>
      <c r="PJX527" s="901"/>
      <c r="PJY527" s="901"/>
      <c r="PJZ527" s="901"/>
      <c r="PKA527" s="901"/>
      <c r="PKB527" s="901"/>
      <c r="PKC527" s="901"/>
      <c r="PKD527" s="901"/>
      <c r="PKE527" s="901"/>
      <c r="PKF527" s="901"/>
      <c r="PKG527" s="901"/>
      <c r="PKH527" s="901"/>
      <c r="PKI527" s="901"/>
      <c r="PKJ527" s="901"/>
      <c r="PKK527" s="901"/>
      <c r="PKL527" s="901"/>
      <c r="PKM527" s="901"/>
      <c r="PKN527" s="901"/>
      <c r="PKO527" s="901"/>
      <c r="PKP527" s="901"/>
      <c r="PKQ527" s="901"/>
      <c r="PKR527" s="901"/>
      <c r="PKS527" s="901"/>
      <c r="PKT527" s="901"/>
      <c r="PKU527" s="901"/>
      <c r="PKV527" s="901"/>
      <c r="PKW527" s="901"/>
      <c r="PKX527" s="901"/>
      <c r="PKY527" s="901"/>
      <c r="PKZ527" s="901"/>
      <c r="PLA527" s="901"/>
      <c r="PLB527" s="901"/>
      <c r="PLC527" s="901"/>
      <c r="PLD527" s="901"/>
      <c r="PLE527" s="901"/>
      <c r="PLF527" s="901"/>
      <c r="PLG527" s="901"/>
      <c r="PLH527" s="901"/>
      <c r="PLI527" s="901"/>
      <c r="PLJ527" s="901"/>
      <c r="PLK527" s="901"/>
      <c r="PLL527" s="901"/>
      <c r="PLM527" s="901"/>
      <c r="PLN527" s="901"/>
      <c r="PLO527" s="901"/>
      <c r="PLP527" s="901"/>
      <c r="PLQ527" s="901"/>
      <c r="PLR527" s="901"/>
      <c r="PLS527" s="901"/>
      <c r="PLT527" s="901"/>
      <c r="PLU527" s="901"/>
      <c r="PLV527" s="901"/>
      <c r="PLW527" s="901"/>
      <c r="PLX527" s="901"/>
      <c r="PLY527" s="901"/>
      <c r="PLZ527" s="901"/>
      <c r="PMA527" s="901"/>
      <c r="PMB527" s="901"/>
      <c r="PMC527" s="901"/>
      <c r="PMD527" s="901"/>
      <c r="PME527" s="901"/>
      <c r="PMF527" s="901"/>
      <c r="PMG527" s="901"/>
      <c r="PMH527" s="901"/>
      <c r="PMI527" s="901"/>
      <c r="PMJ527" s="901"/>
      <c r="PMK527" s="901"/>
      <c r="PML527" s="901"/>
      <c r="PMM527" s="901"/>
      <c r="PMN527" s="901"/>
      <c r="PMO527" s="901"/>
      <c r="PMP527" s="901"/>
      <c r="PMQ527" s="901"/>
      <c r="PMR527" s="901"/>
      <c r="PMS527" s="901"/>
      <c r="PMT527" s="901"/>
      <c r="PMU527" s="901"/>
      <c r="PMV527" s="901"/>
      <c r="PMW527" s="901"/>
      <c r="PMX527" s="901"/>
      <c r="PMY527" s="901"/>
      <c r="PMZ527" s="901"/>
      <c r="PNA527" s="901"/>
      <c r="PNB527" s="901"/>
      <c r="PNC527" s="901"/>
      <c r="PND527" s="901"/>
      <c r="PNE527" s="901"/>
      <c r="PNF527" s="901"/>
      <c r="PNG527" s="901"/>
      <c r="PNH527" s="901"/>
      <c r="PNI527" s="901"/>
      <c r="PNJ527" s="901"/>
      <c r="PNK527" s="901"/>
      <c r="PNL527" s="901"/>
      <c r="PNM527" s="901"/>
      <c r="PNN527" s="901"/>
      <c r="PNO527" s="901"/>
      <c r="PNP527" s="901"/>
      <c r="PNQ527" s="901"/>
      <c r="PNR527" s="901"/>
      <c r="PNS527" s="901"/>
      <c r="PNT527" s="901"/>
      <c r="PNU527" s="901"/>
      <c r="PNV527" s="901"/>
      <c r="PNW527" s="901"/>
      <c r="PNX527" s="901"/>
      <c r="PNY527" s="901"/>
      <c r="PNZ527" s="901"/>
      <c r="POA527" s="901"/>
      <c r="POB527" s="901"/>
      <c r="POC527" s="901"/>
      <c r="POD527" s="901"/>
      <c r="POE527" s="901"/>
      <c r="POF527" s="901"/>
      <c r="POG527" s="901"/>
      <c r="POH527" s="901"/>
      <c r="POI527" s="901"/>
      <c r="POJ527" s="901"/>
      <c r="POK527" s="901"/>
      <c r="POL527" s="901"/>
      <c r="POM527" s="901"/>
      <c r="PON527" s="901"/>
      <c r="POO527" s="901"/>
      <c r="POP527" s="901"/>
      <c r="POQ527" s="901"/>
      <c r="POR527" s="901"/>
      <c r="POS527" s="901"/>
      <c r="POT527" s="901"/>
      <c r="POU527" s="901"/>
      <c r="POV527" s="901"/>
      <c r="POW527" s="901"/>
      <c r="POX527" s="901"/>
      <c r="POY527" s="901"/>
      <c r="POZ527" s="901"/>
      <c r="PPA527" s="901"/>
      <c r="PPB527" s="901"/>
      <c r="PPC527" s="901"/>
      <c r="PPD527" s="901"/>
      <c r="PPE527" s="901"/>
      <c r="PPF527" s="901"/>
      <c r="PPG527" s="901"/>
      <c r="PPH527" s="901"/>
      <c r="PPI527" s="901"/>
      <c r="PPJ527" s="901"/>
      <c r="PPK527" s="901"/>
      <c r="PPL527" s="901"/>
      <c r="PPM527" s="901"/>
      <c r="PPN527" s="901"/>
      <c r="PPO527" s="901"/>
      <c r="PPP527" s="901"/>
      <c r="PPQ527" s="901"/>
      <c r="PPR527" s="901"/>
      <c r="PPS527" s="901"/>
      <c r="PPT527" s="901"/>
      <c r="PPU527" s="901"/>
      <c r="PPV527" s="901"/>
      <c r="PPW527" s="901"/>
      <c r="PPX527" s="901"/>
      <c r="PPY527" s="901"/>
      <c r="PPZ527" s="901"/>
      <c r="PQA527" s="901"/>
      <c r="PQB527" s="901"/>
      <c r="PQC527" s="901"/>
      <c r="PQD527" s="901"/>
      <c r="PQE527" s="901"/>
      <c r="PQF527" s="901"/>
      <c r="PQG527" s="901"/>
      <c r="PQH527" s="901"/>
      <c r="PQI527" s="901"/>
      <c r="PQJ527" s="901"/>
      <c r="PQK527" s="901"/>
      <c r="PQL527" s="901"/>
      <c r="PQM527" s="901"/>
      <c r="PQN527" s="901"/>
      <c r="PQO527" s="901"/>
      <c r="PQP527" s="901"/>
      <c r="PQQ527" s="901"/>
      <c r="PQR527" s="901"/>
      <c r="PQS527" s="901"/>
      <c r="PQT527" s="901"/>
      <c r="PQU527" s="901"/>
      <c r="PQV527" s="901"/>
      <c r="PQW527" s="901"/>
      <c r="PQX527" s="901"/>
      <c r="PQY527" s="901"/>
      <c r="PQZ527" s="901"/>
      <c r="PRA527" s="901"/>
      <c r="PRB527" s="901"/>
      <c r="PRC527" s="901"/>
      <c r="PRD527" s="901"/>
      <c r="PRE527" s="901"/>
      <c r="PRF527" s="901"/>
      <c r="PRG527" s="901"/>
      <c r="PRH527" s="901"/>
      <c r="PRI527" s="901"/>
      <c r="PRJ527" s="901"/>
      <c r="PRK527" s="901"/>
      <c r="PRL527" s="901"/>
      <c r="PRM527" s="901"/>
      <c r="PRN527" s="901"/>
      <c r="PRO527" s="901"/>
      <c r="PRP527" s="901"/>
      <c r="PRQ527" s="901"/>
      <c r="PRR527" s="901"/>
      <c r="PRS527" s="901"/>
      <c r="PRT527" s="901"/>
      <c r="PRU527" s="901"/>
      <c r="PRV527" s="901"/>
      <c r="PRW527" s="901"/>
      <c r="PRX527" s="901"/>
      <c r="PRY527" s="901"/>
      <c r="PRZ527" s="901"/>
      <c r="PSA527" s="901"/>
      <c r="PSB527" s="901"/>
      <c r="PSC527" s="901"/>
      <c r="PSD527" s="901"/>
      <c r="PSE527" s="901"/>
      <c r="PSF527" s="901"/>
      <c r="PSG527" s="901"/>
      <c r="PSH527" s="901"/>
      <c r="PSI527" s="901"/>
      <c r="PSJ527" s="901"/>
      <c r="PSK527" s="901"/>
      <c r="PSL527" s="901"/>
      <c r="PSM527" s="901"/>
      <c r="PSN527" s="901"/>
      <c r="PSO527" s="901"/>
      <c r="PSP527" s="901"/>
      <c r="PSQ527" s="901"/>
      <c r="PSR527" s="901"/>
      <c r="PSS527" s="901"/>
      <c r="PST527" s="901"/>
      <c r="PSU527" s="901"/>
      <c r="PSV527" s="901"/>
      <c r="PSW527" s="901"/>
      <c r="PSX527" s="901"/>
      <c r="PSY527" s="901"/>
      <c r="PSZ527" s="901"/>
      <c r="PTA527" s="901"/>
      <c r="PTB527" s="901"/>
      <c r="PTC527" s="901"/>
      <c r="PTD527" s="901"/>
      <c r="PTE527" s="901"/>
      <c r="PTF527" s="901"/>
      <c r="PTG527" s="901"/>
      <c r="PTH527" s="901"/>
      <c r="PTI527" s="901"/>
      <c r="PTJ527" s="901"/>
      <c r="PTK527" s="901"/>
      <c r="PTL527" s="901"/>
      <c r="PTM527" s="901"/>
      <c r="PTN527" s="901"/>
      <c r="PTO527" s="901"/>
      <c r="PTP527" s="901"/>
      <c r="PTQ527" s="901"/>
      <c r="PTR527" s="901"/>
      <c r="PTS527" s="901"/>
      <c r="PTT527" s="901"/>
      <c r="PTU527" s="901"/>
      <c r="PTV527" s="901"/>
      <c r="PTW527" s="901"/>
      <c r="PTX527" s="901"/>
      <c r="PTY527" s="901"/>
      <c r="PTZ527" s="901"/>
      <c r="PUA527" s="901"/>
      <c r="PUB527" s="901"/>
      <c r="PUC527" s="901"/>
      <c r="PUD527" s="901"/>
      <c r="PUE527" s="901"/>
      <c r="PUF527" s="901"/>
      <c r="PUG527" s="901"/>
      <c r="PUH527" s="901"/>
      <c r="PUI527" s="901"/>
      <c r="PUJ527" s="901"/>
      <c r="PUK527" s="901"/>
      <c r="PUL527" s="901"/>
      <c r="PUM527" s="901"/>
      <c r="PUN527" s="901"/>
      <c r="PUO527" s="901"/>
      <c r="PUP527" s="901"/>
      <c r="PUQ527" s="901"/>
      <c r="PUR527" s="901"/>
      <c r="PUS527" s="901"/>
      <c r="PUT527" s="901"/>
      <c r="PUU527" s="901"/>
      <c r="PUV527" s="901"/>
      <c r="PUW527" s="901"/>
      <c r="PUX527" s="901"/>
      <c r="PUY527" s="901"/>
      <c r="PUZ527" s="901"/>
      <c r="PVA527" s="901"/>
      <c r="PVB527" s="901"/>
      <c r="PVC527" s="901"/>
      <c r="PVD527" s="901"/>
      <c r="PVE527" s="901"/>
      <c r="PVF527" s="901"/>
      <c r="PVG527" s="901"/>
      <c r="PVH527" s="901"/>
      <c r="PVI527" s="901"/>
      <c r="PVJ527" s="901"/>
      <c r="PVK527" s="901"/>
      <c r="PVL527" s="901"/>
      <c r="PVM527" s="901"/>
      <c r="PVN527" s="901"/>
      <c r="PVO527" s="901"/>
      <c r="PVP527" s="901"/>
      <c r="PVQ527" s="901"/>
      <c r="PVR527" s="901"/>
      <c r="PVS527" s="901"/>
      <c r="PVT527" s="901"/>
      <c r="PVU527" s="901"/>
      <c r="PVV527" s="901"/>
      <c r="PVW527" s="901"/>
      <c r="PVX527" s="901"/>
      <c r="PVY527" s="901"/>
      <c r="PVZ527" s="901"/>
      <c r="PWA527" s="901"/>
      <c r="PWB527" s="901"/>
      <c r="PWC527" s="901"/>
      <c r="PWD527" s="901"/>
      <c r="PWE527" s="901"/>
      <c r="PWF527" s="901"/>
      <c r="PWG527" s="901"/>
      <c r="PWH527" s="901"/>
      <c r="PWI527" s="901"/>
      <c r="PWJ527" s="901"/>
      <c r="PWK527" s="901"/>
      <c r="PWL527" s="901"/>
      <c r="PWM527" s="901"/>
      <c r="PWN527" s="901"/>
      <c r="PWO527" s="901"/>
      <c r="PWP527" s="901"/>
      <c r="PWQ527" s="901"/>
      <c r="PWR527" s="901"/>
      <c r="PWS527" s="901"/>
      <c r="PWT527" s="901"/>
      <c r="PWU527" s="901"/>
      <c r="PWV527" s="901"/>
      <c r="PWW527" s="901"/>
      <c r="PWX527" s="901"/>
      <c r="PWY527" s="901"/>
      <c r="PWZ527" s="901"/>
      <c r="PXA527" s="901"/>
      <c r="PXB527" s="901"/>
      <c r="PXC527" s="901"/>
      <c r="PXD527" s="901"/>
      <c r="PXE527" s="901"/>
      <c r="PXF527" s="901"/>
      <c r="PXG527" s="901"/>
      <c r="PXH527" s="901"/>
      <c r="PXI527" s="901"/>
      <c r="PXJ527" s="901"/>
      <c r="PXK527" s="901"/>
      <c r="PXL527" s="901"/>
      <c r="PXM527" s="901"/>
      <c r="PXN527" s="901"/>
      <c r="PXO527" s="901"/>
      <c r="PXP527" s="901"/>
      <c r="PXQ527" s="901"/>
      <c r="PXR527" s="901"/>
      <c r="PXS527" s="901"/>
      <c r="PXT527" s="901"/>
      <c r="PXU527" s="901"/>
      <c r="PXV527" s="901"/>
      <c r="PXW527" s="901"/>
      <c r="PXX527" s="901"/>
      <c r="PXY527" s="901"/>
      <c r="PXZ527" s="901"/>
      <c r="PYA527" s="901"/>
      <c r="PYB527" s="901"/>
      <c r="PYC527" s="901"/>
      <c r="PYD527" s="901"/>
      <c r="PYE527" s="901"/>
      <c r="PYF527" s="901"/>
      <c r="PYG527" s="901"/>
      <c r="PYH527" s="901"/>
      <c r="PYI527" s="901"/>
      <c r="PYJ527" s="901"/>
      <c r="PYK527" s="901"/>
      <c r="PYL527" s="901"/>
      <c r="PYM527" s="901"/>
      <c r="PYN527" s="901"/>
      <c r="PYO527" s="901"/>
      <c r="PYP527" s="901"/>
      <c r="PYQ527" s="901"/>
      <c r="PYR527" s="901"/>
      <c r="PYS527" s="901"/>
      <c r="PYT527" s="901"/>
      <c r="PYU527" s="901"/>
      <c r="PYV527" s="901"/>
      <c r="PYW527" s="901"/>
      <c r="PYX527" s="901"/>
      <c r="PYY527" s="901"/>
      <c r="PYZ527" s="901"/>
      <c r="PZA527" s="901"/>
      <c r="PZB527" s="901"/>
      <c r="PZC527" s="901"/>
      <c r="PZD527" s="901"/>
      <c r="PZE527" s="901"/>
      <c r="PZF527" s="901"/>
      <c r="PZG527" s="901"/>
      <c r="PZH527" s="901"/>
      <c r="PZI527" s="901"/>
      <c r="PZJ527" s="901"/>
      <c r="PZK527" s="901"/>
      <c r="PZL527" s="901"/>
      <c r="PZM527" s="901"/>
      <c r="PZN527" s="901"/>
      <c r="PZO527" s="901"/>
      <c r="PZP527" s="901"/>
      <c r="PZQ527" s="901"/>
      <c r="PZR527" s="901"/>
      <c r="PZS527" s="901"/>
      <c r="PZT527" s="901"/>
      <c r="PZU527" s="901"/>
      <c r="PZV527" s="901"/>
      <c r="PZW527" s="901"/>
      <c r="PZX527" s="901"/>
      <c r="PZY527" s="901"/>
      <c r="PZZ527" s="901"/>
      <c r="QAA527" s="901"/>
      <c r="QAB527" s="901"/>
      <c r="QAC527" s="901"/>
      <c r="QAD527" s="901"/>
      <c r="QAE527" s="901"/>
      <c r="QAF527" s="901"/>
      <c r="QAG527" s="901"/>
      <c r="QAH527" s="901"/>
      <c r="QAI527" s="901"/>
      <c r="QAJ527" s="901"/>
      <c r="QAK527" s="901"/>
      <c r="QAL527" s="901"/>
      <c r="QAM527" s="901"/>
      <c r="QAN527" s="901"/>
      <c r="QAO527" s="901"/>
      <c r="QAP527" s="901"/>
      <c r="QAQ527" s="901"/>
      <c r="QAR527" s="901"/>
      <c r="QAS527" s="901"/>
      <c r="QAT527" s="901"/>
      <c r="QAU527" s="901"/>
      <c r="QAV527" s="901"/>
      <c r="QAW527" s="901"/>
      <c r="QAX527" s="901"/>
      <c r="QAY527" s="901"/>
      <c r="QAZ527" s="901"/>
      <c r="QBA527" s="901"/>
      <c r="QBB527" s="901"/>
      <c r="QBC527" s="901"/>
      <c r="QBD527" s="901"/>
      <c r="QBE527" s="901"/>
      <c r="QBF527" s="901"/>
      <c r="QBG527" s="901"/>
      <c r="QBH527" s="901"/>
      <c r="QBI527" s="901"/>
      <c r="QBJ527" s="901"/>
      <c r="QBK527" s="901"/>
      <c r="QBL527" s="901"/>
      <c r="QBM527" s="901"/>
      <c r="QBN527" s="901"/>
      <c r="QBO527" s="901"/>
      <c r="QBP527" s="901"/>
      <c r="QBQ527" s="901"/>
      <c r="QBR527" s="901"/>
      <c r="QBS527" s="901"/>
      <c r="QBT527" s="901"/>
      <c r="QBU527" s="901"/>
      <c r="QBV527" s="901"/>
      <c r="QBW527" s="901"/>
      <c r="QBX527" s="901"/>
      <c r="QBY527" s="901"/>
      <c r="QBZ527" s="901"/>
      <c r="QCA527" s="901"/>
      <c r="QCB527" s="901"/>
      <c r="QCC527" s="901"/>
      <c r="QCD527" s="901"/>
      <c r="QCE527" s="901"/>
      <c r="QCF527" s="901"/>
      <c r="QCG527" s="901"/>
      <c r="QCH527" s="901"/>
      <c r="QCI527" s="901"/>
      <c r="QCJ527" s="901"/>
      <c r="QCK527" s="901"/>
      <c r="QCL527" s="901"/>
      <c r="QCM527" s="901"/>
      <c r="QCN527" s="901"/>
      <c r="QCO527" s="901"/>
      <c r="QCP527" s="901"/>
      <c r="QCQ527" s="901"/>
      <c r="QCR527" s="901"/>
      <c r="QCS527" s="901"/>
      <c r="QCT527" s="901"/>
      <c r="QCU527" s="901"/>
      <c r="QCV527" s="901"/>
      <c r="QCW527" s="901"/>
      <c r="QCX527" s="901"/>
      <c r="QCY527" s="901"/>
      <c r="QCZ527" s="901"/>
      <c r="QDA527" s="901"/>
      <c r="QDB527" s="901"/>
      <c r="QDC527" s="901"/>
      <c r="QDD527" s="901"/>
      <c r="QDE527" s="901"/>
      <c r="QDF527" s="901"/>
      <c r="QDG527" s="901"/>
      <c r="QDH527" s="901"/>
      <c r="QDI527" s="901"/>
      <c r="QDJ527" s="901"/>
      <c r="QDK527" s="901"/>
      <c r="QDL527" s="901"/>
      <c r="QDM527" s="901"/>
      <c r="QDN527" s="901"/>
      <c r="QDO527" s="901"/>
      <c r="QDP527" s="901"/>
      <c r="QDQ527" s="901"/>
      <c r="QDR527" s="901"/>
      <c r="QDS527" s="901"/>
      <c r="QDT527" s="901"/>
      <c r="QDU527" s="901"/>
      <c r="QDV527" s="901"/>
      <c r="QDW527" s="901"/>
      <c r="QDX527" s="901"/>
      <c r="QDY527" s="901"/>
      <c r="QDZ527" s="901"/>
      <c r="QEA527" s="901"/>
      <c r="QEB527" s="901"/>
      <c r="QEC527" s="901"/>
      <c r="QED527" s="901"/>
      <c r="QEE527" s="901"/>
      <c r="QEF527" s="901"/>
      <c r="QEG527" s="901"/>
      <c r="QEH527" s="901"/>
      <c r="QEI527" s="901"/>
      <c r="QEJ527" s="901"/>
      <c r="QEK527" s="901"/>
      <c r="QEL527" s="901"/>
      <c r="QEM527" s="901"/>
      <c r="QEN527" s="901"/>
      <c r="QEO527" s="901"/>
      <c r="QEP527" s="901"/>
      <c r="QEQ527" s="901"/>
      <c r="QER527" s="901"/>
      <c r="QES527" s="901"/>
      <c r="QET527" s="901"/>
      <c r="QEU527" s="901"/>
      <c r="QEV527" s="901"/>
      <c r="QEW527" s="901"/>
      <c r="QEX527" s="901"/>
      <c r="QEY527" s="901"/>
      <c r="QEZ527" s="901"/>
      <c r="QFA527" s="901"/>
      <c r="QFB527" s="901"/>
      <c r="QFC527" s="901"/>
      <c r="QFD527" s="901"/>
      <c r="QFE527" s="901"/>
      <c r="QFF527" s="901"/>
      <c r="QFG527" s="901"/>
      <c r="QFH527" s="901"/>
      <c r="QFI527" s="901"/>
      <c r="QFJ527" s="901"/>
      <c r="QFK527" s="901"/>
      <c r="QFL527" s="901"/>
      <c r="QFM527" s="901"/>
      <c r="QFN527" s="901"/>
      <c r="QFO527" s="901"/>
      <c r="QFP527" s="901"/>
      <c r="QFQ527" s="901"/>
      <c r="QFR527" s="901"/>
      <c r="QFS527" s="901"/>
      <c r="QFT527" s="901"/>
      <c r="QFU527" s="901"/>
      <c r="QFV527" s="901"/>
      <c r="QFW527" s="901"/>
      <c r="QFX527" s="901"/>
      <c r="QFY527" s="901"/>
      <c r="QFZ527" s="901"/>
      <c r="QGA527" s="901"/>
      <c r="QGB527" s="901"/>
      <c r="QGC527" s="901"/>
      <c r="QGD527" s="901"/>
      <c r="QGE527" s="901"/>
      <c r="QGF527" s="901"/>
      <c r="QGG527" s="901"/>
      <c r="QGH527" s="901"/>
      <c r="QGI527" s="901"/>
      <c r="QGJ527" s="901"/>
      <c r="QGK527" s="901"/>
      <c r="QGL527" s="901"/>
      <c r="QGM527" s="901"/>
      <c r="QGN527" s="901"/>
      <c r="QGO527" s="901"/>
      <c r="QGP527" s="901"/>
      <c r="QGQ527" s="901"/>
      <c r="QGR527" s="901"/>
      <c r="QGS527" s="901"/>
      <c r="QGT527" s="901"/>
      <c r="QGU527" s="901"/>
      <c r="QGV527" s="901"/>
      <c r="QGW527" s="901"/>
      <c r="QGX527" s="901"/>
      <c r="QGY527" s="901"/>
      <c r="QGZ527" s="901"/>
      <c r="QHA527" s="901"/>
      <c r="QHB527" s="901"/>
      <c r="QHC527" s="901"/>
      <c r="QHD527" s="901"/>
      <c r="QHE527" s="901"/>
      <c r="QHF527" s="901"/>
      <c r="QHG527" s="901"/>
      <c r="QHH527" s="901"/>
      <c r="QHI527" s="901"/>
      <c r="QHJ527" s="901"/>
      <c r="QHK527" s="901"/>
      <c r="QHL527" s="901"/>
      <c r="QHM527" s="901"/>
      <c r="QHN527" s="901"/>
      <c r="QHO527" s="901"/>
      <c r="QHP527" s="901"/>
      <c r="QHQ527" s="901"/>
      <c r="QHR527" s="901"/>
      <c r="QHS527" s="901"/>
      <c r="QHT527" s="901"/>
      <c r="QHU527" s="901"/>
      <c r="QHV527" s="901"/>
      <c r="QHW527" s="901"/>
      <c r="QHX527" s="901"/>
      <c r="QHY527" s="901"/>
      <c r="QHZ527" s="901"/>
      <c r="QIA527" s="901"/>
      <c r="QIB527" s="901"/>
      <c r="QIC527" s="901"/>
      <c r="QID527" s="901"/>
      <c r="QIE527" s="901"/>
      <c r="QIF527" s="901"/>
      <c r="QIG527" s="901"/>
      <c r="QIH527" s="901"/>
      <c r="QII527" s="901"/>
      <c r="QIJ527" s="901"/>
      <c r="QIK527" s="901"/>
      <c r="QIL527" s="901"/>
      <c r="QIM527" s="901"/>
      <c r="QIN527" s="901"/>
      <c r="QIO527" s="901"/>
      <c r="QIP527" s="901"/>
      <c r="QIQ527" s="901"/>
      <c r="QIR527" s="901"/>
      <c r="QIS527" s="901"/>
      <c r="QIT527" s="901"/>
      <c r="QIU527" s="901"/>
      <c r="QIV527" s="901"/>
      <c r="QIW527" s="901"/>
      <c r="QIX527" s="901"/>
      <c r="QIY527" s="901"/>
      <c r="QIZ527" s="901"/>
      <c r="QJA527" s="901"/>
      <c r="QJB527" s="901"/>
      <c r="QJC527" s="901"/>
      <c r="QJD527" s="901"/>
      <c r="QJE527" s="901"/>
      <c r="QJF527" s="901"/>
      <c r="QJG527" s="901"/>
      <c r="QJH527" s="901"/>
      <c r="QJI527" s="901"/>
      <c r="QJJ527" s="901"/>
      <c r="QJK527" s="901"/>
      <c r="QJL527" s="901"/>
      <c r="QJM527" s="901"/>
      <c r="QJN527" s="901"/>
      <c r="QJO527" s="901"/>
      <c r="QJP527" s="901"/>
      <c r="QJQ527" s="901"/>
      <c r="QJR527" s="901"/>
      <c r="QJS527" s="901"/>
      <c r="QJT527" s="901"/>
      <c r="QJU527" s="901"/>
      <c r="QJV527" s="901"/>
      <c r="QJW527" s="901"/>
      <c r="QJX527" s="901"/>
      <c r="QJY527" s="901"/>
      <c r="QJZ527" s="901"/>
      <c r="QKA527" s="901"/>
      <c r="QKB527" s="901"/>
      <c r="QKC527" s="901"/>
      <c r="QKD527" s="901"/>
      <c r="QKE527" s="901"/>
      <c r="QKF527" s="901"/>
      <c r="QKG527" s="901"/>
      <c r="QKH527" s="901"/>
      <c r="QKI527" s="901"/>
      <c r="QKJ527" s="901"/>
      <c r="QKK527" s="901"/>
      <c r="QKL527" s="901"/>
      <c r="QKM527" s="901"/>
      <c r="QKN527" s="901"/>
      <c r="QKO527" s="901"/>
      <c r="QKP527" s="901"/>
      <c r="QKQ527" s="901"/>
      <c r="QKR527" s="901"/>
      <c r="QKS527" s="901"/>
      <c r="QKT527" s="901"/>
      <c r="QKU527" s="901"/>
      <c r="QKV527" s="901"/>
      <c r="QKW527" s="901"/>
      <c r="QKX527" s="901"/>
      <c r="QKY527" s="901"/>
      <c r="QKZ527" s="901"/>
      <c r="QLA527" s="901"/>
      <c r="QLB527" s="901"/>
      <c r="QLC527" s="901"/>
      <c r="QLD527" s="901"/>
      <c r="QLE527" s="901"/>
      <c r="QLF527" s="901"/>
      <c r="QLG527" s="901"/>
      <c r="QLH527" s="901"/>
      <c r="QLI527" s="901"/>
      <c r="QLJ527" s="901"/>
      <c r="QLK527" s="901"/>
      <c r="QLL527" s="901"/>
      <c r="QLM527" s="901"/>
      <c r="QLN527" s="901"/>
      <c r="QLO527" s="901"/>
      <c r="QLP527" s="901"/>
      <c r="QLQ527" s="901"/>
      <c r="QLR527" s="901"/>
      <c r="QLS527" s="901"/>
      <c r="QLT527" s="901"/>
      <c r="QLU527" s="901"/>
      <c r="QLV527" s="901"/>
      <c r="QLW527" s="901"/>
      <c r="QLX527" s="901"/>
      <c r="QLY527" s="901"/>
      <c r="QLZ527" s="901"/>
      <c r="QMA527" s="901"/>
      <c r="QMB527" s="901"/>
      <c r="QMC527" s="901"/>
      <c r="QMD527" s="901"/>
      <c r="QME527" s="901"/>
      <c r="QMF527" s="901"/>
      <c r="QMG527" s="901"/>
      <c r="QMH527" s="901"/>
      <c r="QMI527" s="901"/>
      <c r="QMJ527" s="901"/>
      <c r="QMK527" s="901"/>
      <c r="QML527" s="901"/>
      <c r="QMM527" s="901"/>
      <c r="QMN527" s="901"/>
      <c r="QMO527" s="901"/>
      <c r="QMP527" s="901"/>
      <c r="QMQ527" s="901"/>
      <c r="QMR527" s="901"/>
      <c r="QMS527" s="901"/>
      <c r="QMT527" s="901"/>
      <c r="QMU527" s="901"/>
      <c r="QMV527" s="901"/>
      <c r="QMW527" s="901"/>
      <c r="QMX527" s="901"/>
      <c r="QMY527" s="901"/>
      <c r="QMZ527" s="901"/>
      <c r="QNA527" s="901"/>
      <c r="QNB527" s="901"/>
      <c r="QNC527" s="901"/>
      <c r="QND527" s="901"/>
      <c r="QNE527" s="901"/>
      <c r="QNF527" s="901"/>
      <c r="QNG527" s="901"/>
      <c r="QNH527" s="901"/>
      <c r="QNI527" s="901"/>
      <c r="QNJ527" s="901"/>
      <c r="QNK527" s="901"/>
      <c r="QNL527" s="901"/>
      <c r="QNM527" s="901"/>
      <c r="QNN527" s="901"/>
      <c r="QNO527" s="901"/>
      <c r="QNP527" s="901"/>
      <c r="QNQ527" s="901"/>
      <c r="QNR527" s="901"/>
      <c r="QNS527" s="901"/>
      <c r="QNT527" s="901"/>
      <c r="QNU527" s="901"/>
      <c r="QNV527" s="901"/>
      <c r="QNW527" s="901"/>
      <c r="QNX527" s="901"/>
      <c r="QNY527" s="901"/>
      <c r="QNZ527" s="901"/>
      <c r="QOA527" s="901"/>
      <c r="QOB527" s="901"/>
      <c r="QOC527" s="901"/>
      <c r="QOD527" s="901"/>
      <c r="QOE527" s="901"/>
      <c r="QOF527" s="901"/>
      <c r="QOG527" s="901"/>
      <c r="QOH527" s="901"/>
      <c r="QOI527" s="901"/>
      <c r="QOJ527" s="901"/>
      <c r="QOK527" s="901"/>
      <c r="QOL527" s="901"/>
      <c r="QOM527" s="901"/>
      <c r="QON527" s="901"/>
      <c r="QOO527" s="901"/>
      <c r="QOP527" s="901"/>
      <c r="QOQ527" s="901"/>
      <c r="QOR527" s="901"/>
      <c r="QOS527" s="901"/>
      <c r="QOT527" s="901"/>
      <c r="QOU527" s="901"/>
      <c r="QOV527" s="901"/>
      <c r="QOW527" s="901"/>
      <c r="QOX527" s="901"/>
      <c r="QOY527" s="901"/>
      <c r="QOZ527" s="901"/>
      <c r="QPA527" s="901"/>
      <c r="QPB527" s="901"/>
      <c r="QPC527" s="901"/>
      <c r="QPD527" s="901"/>
      <c r="QPE527" s="901"/>
      <c r="QPF527" s="901"/>
      <c r="QPG527" s="901"/>
      <c r="QPH527" s="901"/>
      <c r="QPI527" s="901"/>
      <c r="QPJ527" s="901"/>
      <c r="QPK527" s="901"/>
      <c r="QPL527" s="901"/>
      <c r="QPM527" s="901"/>
      <c r="QPN527" s="901"/>
      <c r="QPO527" s="901"/>
      <c r="QPP527" s="901"/>
      <c r="QPQ527" s="901"/>
      <c r="QPR527" s="901"/>
      <c r="QPS527" s="901"/>
      <c r="QPT527" s="901"/>
      <c r="QPU527" s="901"/>
      <c r="QPV527" s="901"/>
      <c r="QPW527" s="901"/>
      <c r="QPX527" s="901"/>
      <c r="QPY527" s="901"/>
      <c r="QPZ527" s="901"/>
      <c r="QQA527" s="901"/>
      <c r="QQB527" s="901"/>
      <c r="QQC527" s="901"/>
      <c r="QQD527" s="901"/>
      <c r="QQE527" s="901"/>
      <c r="QQF527" s="901"/>
      <c r="QQG527" s="901"/>
      <c r="QQH527" s="901"/>
      <c r="QQI527" s="901"/>
      <c r="QQJ527" s="901"/>
      <c r="QQK527" s="901"/>
      <c r="QQL527" s="901"/>
      <c r="QQM527" s="901"/>
      <c r="QQN527" s="901"/>
      <c r="QQO527" s="901"/>
      <c r="QQP527" s="901"/>
      <c r="QQQ527" s="901"/>
      <c r="QQR527" s="901"/>
      <c r="QQS527" s="901"/>
      <c r="QQT527" s="901"/>
      <c r="QQU527" s="901"/>
      <c r="QQV527" s="901"/>
      <c r="QQW527" s="901"/>
      <c r="QQX527" s="901"/>
      <c r="QQY527" s="901"/>
      <c r="QQZ527" s="901"/>
      <c r="QRA527" s="901"/>
      <c r="QRB527" s="901"/>
      <c r="QRC527" s="901"/>
      <c r="QRD527" s="901"/>
      <c r="QRE527" s="901"/>
      <c r="QRF527" s="901"/>
      <c r="QRG527" s="901"/>
      <c r="QRH527" s="901"/>
      <c r="QRI527" s="901"/>
      <c r="QRJ527" s="901"/>
      <c r="QRK527" s="901"/>
      <c r="QRL527" s="901"/>
      <c r="QRM527" s="901"/>
      <c r="QRN527" s="901"/>
      <c r="QRO527" s="901"/>
      <c r="QRP527" s="901"/>
      <c r="QRQ527" s="901"/>
      <c r="QRR527" s="901"/>
      <c r="QRS527" s="901"/>
      <c r="QRT527" s="901"/>
      <c r="QRU527" s="901"/>
      <c r="QRV527" s="901"/>
      <c r="QRW527" s="901"/>
      <c r="QRX527" s="901"/>
      <c r="QRY527" s="901"/>
      <c r="QRZ527" s="901"/>
      <c r="QSA527" s="901"/>
      <c r="QSB527" s="901"/>
      <c r="QSC527" s="901"/>
      <c r="QSD527" s="901"/>
      <c r="QSE527" s="901"/>
      <c r="QSF527" s="901"/>
      <c r="QSG527" s="901"/>
      <c r="QSH527" s="901"/>
      <c r="QSI527" s="901"/>
      <c r="QSJ527" s="901"/>
      <c r="QSK527" s="901"/>
      <c r="QSL527" s="901"/>
      <c r="QSM527" s="901"/>
      <c r="QSN527" s="901"/>
      <c r="QSO527" s="901"/>
      <c r="QSP527" s="901"/>
      <c r="QSQ527" s="901"/>
      <c r="QSR527" s="901"/>
      <c r="QSS527" s="901"/>
      <c r="QST527" s="901"/>
      <c r="QSU527" s="901"/>
      <c r="QSV527" s="901"/>
      <c r="QSW527" s="901"/>
      <c r="QSX527" s="901"/>
      <c r="QSY527" s="901"/>
      <c r="QSZ527" s="901"/>
      <c r="QTA527" s="901"/>
      <c r="QTB527" s="901"/>
      <c r="QTC527" s="901"/>
      <c r="QTD527" s="901"/>
      <c r="QTE527" s="901"/>
      <c r="QTF527" s="901"/>
      <c r="QTG527" s="901"/>
      <c r="QTH527" s="901"/>
      <c r="QTI527" s="901"/>
      <c r="QTJ527" s="901"/>
      <c r="QTK527" s="901"/>
      <c r="QTL527" s="901"/>
      <c r="QTM527" s="901"/>
      <c r="QTN527" s="901"/>
      <c r="QTO527" s="901"/>
      <c r="QTP527" s="901"/>
      <c r="QTQ527" s="901"/>
      <c r="QTR527" s="901"/>
      <c r="QTS527" s="901"/>
      <c r="QTT527" s="901"/>
      <c r="QTU527" s="901"/>
      <c r="QTV527" s="901"/>
      <c r="QTW527" s="901"/>
      <c r="QTX527" s="901"/>
      <c r="QTY527" s="901"/>
      <c r="QTZ527" s="901"/>
      <c r="QUA527" s="901"/>
      <c r="QUB527" s="901"/>
      <c r="QUC527" s="901"/>
      <c r="QUD527" s="901"/>
      <c r="QUE527" s="901"/>
      <c r="QUF527" s="901"/>
      <c r="QUG527" s="901"/>
      <c r="QUH527" s="901"/>
      <c r="QUI527" s="901"/>
      <c r="QUJ527" s="901"/>
      <c r="QUK527" s="901"/>
      <c r="QUL527" s="901"/>
      <c r="QUM527" s="901"/>
      <c r="QUN527" s="901"/>
      <c r="QUO527" s="901"/>
      <c r="QUP527" s="901"/>
      <c r="QUQ527" s="901"/>
      <c r="QUR527" s="901"/>
      <c r="QUS527" s="901"/>
      <c r="QUT527" s="901"/>
      <c r="QUU527" s="901"/>
      <c r="QUV527" s="901"/>
      <c r="QUW527" s="901"/>
      <c r="QUX527" s="901"/>
      <c r="QUY527" s="901"/>
      <c r="QUZ527" s="901"/>
      <c r="QVA527" s="901"/>
      <c r="QVB527" s="901"/>
      <c r="QVC527" s="901"/>
      <c r="QVD527" s="901"/>
      <c r="QVE527" s="901"/>
      <c r="QVF527" s="901"/>
      <c r="QVG527" s="901"/>
      <c r="QVH527" s="901"/>
      <c r="QVI527" s="901"/>
      <c r="QVJ527" s="901"/>
      <c r="QVK527" s="901"/>
      <c r="QVL527" s="901"/>
      <c r="QVM527" s="901"/>
      <c r="QVN527" s="901"/>
      <c r="QVO527" s="901"/>
      <c r="QVP527" s="901"/>
      <c r="QVQ527" s="901"/>
      <c r="QVR527" s="901"/>
      <c r="QVS527" s="901"/>
      <c r="QVT527" s="901"/>
      <c r="QVU527" s="901"/>
      <c r="QVV527" s="901"/>
      <c r="QVW527" s="901"/>
      <c r="QVX527" s="901"/>
      <c r="QVY527" s="901"/>
      <c r="QVZ527" s="901"/>
      <c r="QWA527" s="901"/>
      <c r="QWB527" s="901"/>
      <c r="QWC527" s="901"/>
      <c r="QWD527" s="901"/>
      <c r="QWE527" s="901"/>
      <c r="QWF527" s="901"/>
      <c r="QWG527" s="901"/>
      <c r="QWH527" s="901"/>
      <c r="QWI527" s="901"/>
      <c r="QWJ527" s="901"/>
      <c r="QWK527" s="901"/>
      <c r="QWL527" s="901"/>
      <c r="QWM527" s="901"/>
      <c r="QWN527" s="901"/>
      <c r="QWO527" s="901"/>
      <c r="QWP527" s="901"/>
      <c r="QWQ527" s="901"/>
      <c r="QWR527" s="901"/>
      <c r="QWS527" s="901"/>
      <c r="QWT527" s="901"/>
      <c r="QWU527" s="901"/>
      <c r="QWV527" s="901"/>
      <c r="QWW527" s="901"/>
      <c r="QWX527" s="901"/>
      <c r="QWY527" s="901"/>
      <c r="QWZ527" s="901"/>
      <c r="QXA527" s="901"/>
      <c r="QXB527" s="901"/>
      <c r="QXC527" s="901"/>
      <c r="QXD527" s="901"/>
      <c r="QXE527" s="901"/>
      <c r="QXF527" s="901"/>
      <c r="QXG527" s="901"/>
      <c r="QXH527" s="901"/>
      <c r="QXI527" s="901"/>
      <c r="QXJ527" s="901"/>
      <c r="QXK527" s="901"/>
      <c r="QXL527" s="901"/>
      <c r="QXM527" s="901"/>
      <c r="QXN527" s="901"/>
      <c r="QXO527" s="901"/>
      <c r="QXP527" s="901"/>
      <c r="QXQ527" s="901"/>
      <c r="QXR527" s="901"/>
      <c r="QXS527" s="901"/>
      <c r="QXT527" s="901"/>
      <c r="QXU527" s="901"/>
      <c r="QXV527" s="901"/>
      <c r="QXW527" s="901"/>
      <c r="QXX527" s="901"/>
      <c r="QXY527" s="901"/>
      <c r="QXZ527" s="901"/>
      <c r="QYA527" s="901"/>
      <c r="QYB527" s="901"/>
      <c r="QYC527" s="901"/>
      <c r="QYD527" s="901"/>
      <c r="QYE527" s="901"/>
      <c r="QYF527" s="901"/>
      <c r="QYG527" s="901"/>
      <c r="QYH527" s="901"/>
      <c r="QYI527" s="901"/>
      <c r="QYJ527" s="901"/>
      <c r="QYK527" s="901"/>
      <c r="QYL527" s="901"/>
      <c r="QYM527" s="901"/>
      <c r="QYN527" s="901"/>
      <c r="QYO527" s="901"/>
      <c r="QYP527" s="901"/>
      <c r="QYQ527" s="901"/>
      <c r="QYR527" s="901"/>
      <c r="QYS527" s="901"/>
      <c r="QYT527" s="901"/>
      <c r="QYU527" s="901"/>
      <c r="QYV527" s="901"/>
      <c r="QYW527" s="901"/>
      <c r="QYX527" s="901"/>
      <c r="QYY527" s="901"/>
      <c r="QYZ527" s="901"/>
      <c r="QZA527" s="901"/>
      <c r="QZB527" s="901"/>
      <c r="QZC527" s="901"/>
      <c r="QZD527" s="901"/>
      <c r="QZE527" s="901"/>
      <c r="QZF527" s="901"/>
      <c r="QZG527" s="901"/>
      <c r="QZH527" s="901"/>
      <c r="QZI527" s="901"/>
      <c r="QZJ527" s="901"/>
      <c r="QZK527" s="901"/>
      <c r="QZL527" s="901"/>
      <c r="QZM527" s="901"/>
      <c r="QZN527" s="901"/>
      <c r="QZO527" s="901"/>
      <c r="QZP527" s="901"/>
      <c r="QZQ527" s="901"/>
      <c r="QZR527" s="901"/>
      <c r="QZS527" s="901"/>
      <c r="QZT527" s="901"/>
      <c r="QZU527" s="901"/>
      <c r="QZV527" s="901"/>
      <c r="QZW527" s="901"/>
      <c r="QZX527" s="901"/>
      <c r="QZY527" s="901"/>
      <c r="QZZ527" s="901"/>
      <c r="RAA527" s="901"/>
      <c r="RAB527" s="901"/>
      <c r="RAC527" s="901"/>
      <c r="RAD527" s="901"/>
      <c r="RAE527" s="901"/>
      <c r="RAF527" s="901"/>
      <c r="RAG527" s="901"/>
      <c r="RAH527" s="901"/>
      <c r="RAI527" s="901"/>
      <c r="RAJ527" s="901"/>
      <c r="RAK527" s="901"/>
      <c r="RAL527" s="901"/>
      <c r="RAM527" s="901"/>
      <c r="RAN527" s="901"/>
      <c r="RAO527" s="901"/>
      <c r="RAP527" s="901"/>
      <c r="RAQ527" s="901"/>
      <c r="RAR527" s="901"/>
      <c r="RAS527" s="901"/>
      <c r="RAT527" s="901"/>
      <c r="RAU527" s="901"/>
      <c r="RAV527" s="901"/>
      <c r="RAW527" s="901"/>
      <c r="RAX527" s="901"/>
      <c r="RAY527" s="901"/>
      <c r="RAZ527" s="901"/>
      <c r="RBA527" s="901"/>
      <c r="RBB527" s="901"/>
      <c r="RBC527" s="901"/>
      <c r="RBD527" s="901"/>
      <c r="RBE527" s="901"/>
      <c r="RBF527" s="901"/>
      <c r="RBG527" s="901"/>
      <c r="RBH527" s="901"/>
      <c r="RBI527" s="901"/>
      <c r="RBJ527" s="901"/>
      <c r="RBK527" s="901"/>
      <c r="RBL527" s="901"/>
      <c r="RBM527" s="901"/>
      <c r="RBN527" s="901"/>
      <c r="RBO527" s="901"/>
      <c r="RBP527" s="901"/>
      <c r="RBQ527" s="901"/>
      <c r="RBR527" s="901"/>
      <c r="RBS527" s="901"/>
      <c r="RBT527" s="901"/>
      <c r="RBU527" s="901"/>
      <c r="RBV527" s="901"/>
      <c r="RBW527" s="901"/>
      <c r="RBX527" s="901"/>
      <c r="RBY527" s="901"/>
      <c r="RBZ527" s="901"/>
      <c r="RCA527" s="901"/>
      <c r="RCB527" s="901"/>
      <c r="RCC527" s="901"/>
      <c r="RCD527" s="901"/>
      <c r="RCE527" s="901"/>
      <c r="RCF527" s="901"/>
      <c r="RCG527" s="901"/>
      <c r="RCH527" s="901"/>
      <c r="RCI527" s="901"/>
      <c r="RCJ527" s="901"/>
      <c r="RCK527" s="901"/>
      <c r="RCL527" s="901"/>
      <c r="RCM527" s="901"/>
      <c r="RCN527" s="901"/>
      <c r="RCO527" s="901"/>
      <c r="RCP527" s="901"/>
      <c r="RCQ527" s="901"/>
      <c r="RCR527" s="901"/>
      <c r="RCS527" s="901"/>
      <c r="RCT527" s="901"/>
      <c r="RCU527" s="901"/>
      <c r="RCV527" s="901"/>
      <c r="RCW527" s="901"/>
      <c r="RCX527" s="901"/>
      <c r="RCY527" s="901"/>
      <c r="RCZ527" s="901"/>
      <c r="RDA527" s="901"/>
      <c r="RDB527" s="901"/>
      <c r="RDC527" s="901"/>
      <c r="RDD527" s="901"/>
      <c r="RDE527" s="901"/>
      <c r="RDF527" s="901"/>
      <c r="RDG527" s="901"/>
      <c r="RDH527" s="901"/>
      <c r="RDI527" s="901"/>
      <c r="RDJ527" s="901"/>
      <c r="RDK527" s="901"/>
      <c r="RDL527" s="901"/>
      <c r="RDM527" s="901"/>
      <c r="RDN527" s="901"/>
      <c r="RDO527" s="901"/>
      <c r="RDP527" s="901"/>
      <c r="RDQ527" s="901"/>
      <c r="RDR527" s="901"/>
      <c r="RDS527" s="901"/>
      <c r="RDT527" s="901"/>
      <c r="RDU527" s="901"/>
      <c r="RDV527" s="901"/>
      <c r="RDW527" s="901"/>
      <c r="RDX527" s="901"/>
      <c r="RDY527" s="901"/>
      <c r="RDZ527" s="901"/>
      <c r="REA527" s="901"/>
      <c r="REB527" s="901"/>
      <c r="REC527" s="901"/>
      <c r="RED527" s="901"/>
      <c r="REE527" s="901"/>
      <c r="REF527" s="901"/>
      <c r="REG527" s="901"/>
      <c r="REH527" s="901"/>
      <c r="REI527" s="901"/>
      <c r="REJ527" s="901"/>
      <c r="REK527" s="901"/>
      <c r="REL527" s="901"/>
      <c r="REM527" s="901"/>
      <c r="REN527" s="901"/>
      <c r="REO527" s="901"/>
      <c r="REP527" s="901"/>
      <c r="REQ527" s="901"/>
      <c r="RER527" s="901"/>
      <c r="RES527" s="901"/>
      <c r="RET527" s="901"/>
      <c r="REU527" s="901"/>
      <c r="REV527" s="901"/>
      <c r="REW527" s="901"/>
      <c r="REX527" s="901"/>
      <c r="REY527" s="901"/>
      <c r="REZ527" s="901"/>
      <c r="RFA527" s="901"/>
      <c r="RFB527" s="901"/>
      <c r="RFC527" s="901"/>
      <c r="RFD527" s="901"/>
      <c r="RFE527" s="901"/>
      <c r="RFF527" s="901"/>
      <c r="RFG527" s="901"/>
      <c r="RFH527" s="901"/>
      <c r="RFI527" s="901"/>
      <c r="RFJ527" s="901"/>
      <c r="RFK527" s="901"/>
      <c r="RFL527" s="901"/>
      <c r="RFM527" s="901"/>
      <c r="RFN527" s="901"/>
      <c r="RFO527" s="901"/>
      <c r="RFP527" s="901"/>
      <c r="RFQ527" s="901"/>
      <c r="RFR527" s="901"/>
      <c r="RFS527" s="901"/>
      <c r="RFT527" s="901"/>
      <c r="RFU527" s="901"/>
      <c r="RFV527" s="901"/>
      <c r="RFW527" s="901"/>
      <c r="RFX527" s="901"/>
      <c r="RFY527" s="901"/>
      <c r="RFZ527" s="901"/>
      <c r="RGA527" s="901"/>
      <c r="RGB527" s="901"/>
      <c r="RGC527" s="901"/>
      <c r="RGD527" s="901"/>
      <c r="RGE527" s="901"/>
      <c r="RGF527" s="901"/>
      <c r="RGG527" s="901"/>
      <c r="RGH527" s="901"/>
      <c r="RGI527" s="901"/>
      <c r="RGJ527" s="901"/>
      <c r="RGK527" s="901"/>
      <c r="RGL527" s="901"/>
      <c r="RGM527" s="901"/>
      <c r="RGN527" s="901"/>
      <c r="RGO527" s="901"/>
      <c r="RGP527" s="901"/>
      <c r="RGQ527" s="901"/>
      <c r="RGR527" s="901"/>
      <c r="RGS527" s="901"/>
      <c r="RGT527" s="901"/>
      <c r="RGU527" s="901"/>
      <c r="RGV527" s="901"/>
      <c r="RGW527" s="901"/>
      <c r="RGX527" s="901"/>
      <c r="RGY527" s="901"/>
      <c r="RGZ527" s="901"/>
      <c r="RHA527" s="901"/>
      <c r="RHB527" s="901"/>
      <c r="RHC527" s="901"/>
      <c r="RHD527" s="901"/>
      <c r="RHE527" s="901"/>
      <c r="RHF527" s="901"/>
      <c r="RHG527" s="901"/>
      <c r="RHH527" s="901"/>
      <c r="RHI527" s="901"/>
      <c r="RHJ527" s="901"/>
      <c r="RHK527" s="901"/>
      <c r="RHL527" s="901"/>
      <c r="RHM527" s="901"/>
      <c r="RHN527" s="901"/>
      <c r="RHO527" s="901"/>
      <c r="RHP527" s="901"/>
      <c r="RHQ527" s="901"/>
      <c r="RHR527" s="901"/>
      <c r="RHS527" s="901"/>
      <c r="RHT527" s="901"/>
      <c r="RHU527" s="901"/>
      <c r="RHV527" s="901"/>
      <c r="RHW527" s="901"/>
      <c r="RHX527" s="901"/>
      <c r="RHY527" s="901"/>
      <c r="RHZ527" s="901"/>
      <c r="RIA527" s="901"/>
      <c r="RIB527" s="901"/>
      <c r="RIC527" s="901"/>
      <c r="RID527" s="901"/>
      <c r="RIE527" s="901"/>
      <c r="RIF527" s="901"/>
      <c r="RIG527" s="901"/>
      <c r="RIH527" s="901"/>
      <c r="RII527" s="901"/>
      <c r="RIJ527" s="901"/>
      <c r="RIK527" s="901"/>
      <c r="RIL527" s="901"/>
      <c r="RIM527" s="901"/>
      <c r="RIN527" s="901"/>
      <c r="RIO527" s="901"/>
      <c r="RIP527" s="901"/>
      <c r="RIQ527" s="901"/>
      <c r="RIR527" s="901"/>
      <c r="RIS527" s="901"/>
      <c r="RIT527" s="901"/>
      <c r="RIU527" s="901"/>
      <c r="RIV527" s="901"/>
      <c r="RIW527" s="901"/>
      <c r="RIX527" s="901"/>
      <c r="RIY527" s="901"/>
      <c r="RIZ527" s="901"/>
      <c r="RJA527" s="901"/>
      <c r="RJB527" s="901"/>
      <c r="RJC527" s="901"/>
      <c r="RJD527" s="901"/>
      <c r="RJE527" s="901"/>
      <c r="RJF527" s="901"/>
      <c r="RJG527" s="901"/>
      <c r="RJH527" s="901"/>
      <c r="RJI527" s="901"/>
      <c r="RJJ527" s="901"/>
      <c r="RJK527" s="901"/>
      <c r="RJL527" s="901"/>
      <c r="RJM527" s="901"/>
      <c r="RJN527" s="901"/>
      <c r="RJO527" s="901"/>
      <c r="RJP527" s="901"/>
      <c r="RJQ527" s="901"/>
      <c r="RJR527" s="901"/>
      <c r="RJS527" s="901"/>
      <c r="RJT527" s="901"/>
      <c r="RJU527" s="901"/>
      <c r="RJV527" s="901"/>
      <c r="RJW527" s="901"/>
      <c r="RJX527" s="901"/>
      <c r="RJY527" s="901"/>
      <c r="RJZ527" s="901"/>
      <c r="RKA527" s="901"/>
      <c r="RKB527" s="901"/>
      <c r="RKC527" s="901"/>
      <c r="RKD527" s="901"/>
      <c r="RKE527" s="901"/>
      <c r="RKF527" s="901"/>
      <c r="RKG527" s="901"/>
      <c r="RKH527" s="901"/>
      <c r="RKI527" s="901"/>
      <c r="RKJ527" s="901"/>
      <c r="RKK527" s="901"/>
      <c r="RKL527" s="901"/>
      <c r="RKM527" s="901"/>
      <c r="RKN527" s="901"/>
      <c r="RKO527" s="901"/>
      <c r="RKP527" s="901"/>
      <c r="RKQ527" s="901"/>
      <c r="RKR527" s="901"/>
      <c r="RKS527" s="901"/>
      <c r="RKT527" s="901"/>
      <c r="RKU527" s="901"/>
      <c r="RKV527" s="901"/>
      <c r="RKW527" s="901"/>
      <c r="RKX527" s="901"/>
      <c r="RKY527" s="901"/>
      <c r="RKZ527" s="901"/>
      <c r="RLA527" s="901"/>
      <c r="RLB527" s="901"/>
      <c r="RLC527" s="901"/>
      <c r="RLD527" s="901"/>
      <c r="RLE527" s="901"/>
      <c r="RLF527" s="901"/>
      <c r="RLG527" s="901"/>
      <c r="RLH527" s="901"/>
      <c r="RLI527" s="901"/>
      <c r="RLJ527" s="901"/>
      <c r="RLK527" s="901"/>
      <c r="RLL527" s="901"/>
      <c r="RLM527" s="901"/>
      <c r="RLN527" s="901"/>
      <c r="RLO527" s="901"/>
      <c r="RLP527" s="901"/>
      <c r="RLQ527" s="901"/>
      <c r="RLR527" s="901"/>
      <c r="RLS527" s="901"/>
      <c r="RLT527" s="901"/>
      <c r="RLU527" s="901"/>
      <c r="RLV527" s="901"/>
      <c r="RLW527" s="901"/>
      <c r="RLX527" s="901"/>
      <c r="RLY527" s="901"/>
      <c r="RLZ527" s="901"/>
      <c r="RMA527" s="901"/>
      <c r="RMB527" s="901"/>
      <c r="RMC527" s="901"/>
      <c r="RMD527" s="901"/>
      <c r="RME527" s="901"/>
      <c r="RMF527" s="901"/>
      <c r="RMG527" s="901"/>
      <c r="RMH527" s="901"/>
      <c r="RMI527" s="901"/>
      <c r="RMJ527" s="901"/>
      <c r="RMK527" s="901"/>
      <c r="RML527" s="901"/>
      <c r="RMM527" s="901"/>
      <c r="RMN527" s="901"/>
      <c r="RMO527" s="901"/>
      <c r="RMP527" s="901"/>
      <c r="RMQ527" s="901"/>
      <c r="RMR527" s="901"/>
      <c r="RMS527" s="901"/>
      <c r="RMT527" s="901"/>
      <c r="RMU527" s="901"/>
      <c r="RMV527" s="901"/>
      <c r="RMW527" s="901"/>
      <c r="RMX527" s="901"/>
      <c r="RMY527" s="901"/>
      <c r="RMZ527" s="901"/>
      <c r="RNA527" s="901"/>
      <c r="RNB527" s="901"/>
      <c r="RNC527" s="901"/>
      <c r="RND527" s="901"/>
      <c r="RNE527" s="901"/>
      <c r="RNF527" s="901"/>
      <c r="RNG527" s="901"/>
      <c r="RNH527" s="901"/>
      <c r="RNI527" s="901"/>
      <c r="RNJ527" s="901"/>
      <c r="RNK527" s="901"/>
      <c r="RNL527" s="901"/>
      <c r="RNM527" s="901"/>
      <c r="RNN527" s="901"/>
      <c r="RNO527" s="901"/>
      <c r="RNP527" s="901"/>
      <c r="RNQ527" s="901"/>
      <c r="RNR527" s="901"/>
      <c r="RNS527" s="901"/>
      <c r="RNT527" s="901"/>
      <c r="RNU527" s="901"/>
      <c r="RNV527" s="901"/>
      <c r="RNW527" s="901"/>
      <c r="RNX527" s="901"/>
      <c r="RNY527" s="901"/>
      <c r="RNZ527" s="901"/>
      <c r="ROA527" s="901"/>
      <c r="ROB527" s="901"/>
      <c r="ROC527" s="901"/>
      <c r="ROD527" s="901"/>
      <c r="ROE527" s="901"/>
      <c r="ROF527" s="901"/>
      <c r="ROG527" s="901"/>
      <c r="ROH527" s="901"/>
      <c r="ROI527" s="901"/>
      <c r="ROJ527" s="901"/>
      <c r="ROK527" s="901"/>
      <c r="ROL527" s="901"/>
      <c r="ROM527" s="901"/>
      <c r="RON527" s="901"/>
      <c r="ROO527" s="901"/>
      <c r="ROP527" s="901"/>
      <c r="ROQ527" s="901"/>
      <c r="ROR527" s="901"/>
      <c r="ROS527" s="901"/>
      <c r="ROT527" s="901"/>
      <c r="ROU527" s="901"/>
      <c r="ROV527" s="901"/>
      <c r="ROW527" s="901"/>
      <c r="ROX527" s="901"/>
      <c r="ROY527" s="901"/>
      <c r="ROZ527" s="901"/>
      <c r="RPA527" s="901"/>
      <c r="RPB527" s="901"/>
      <c r="RPC527" s="901"/>
      <c r="RPD527" s="901"/>
      <c r="RPE527" s="901"/>
      <c r="RPF527" s="901"/>
      <c r="RPG527" s="901"/>
      <c r="RPH527" s="901"/>
      <c r="RPI527" s="901"/>
      <c r="RPJ527" s="901"/>
      <c r="RPK527" s="901"/>
      <c r="RPL527" s="901"/>
      <c r="RPM527" s="901"/>
      <c r="RPN527" s="901"/>
      <c r="RPO527" s="901"/>
      <c r="RPP527" s="901"/>
      <c r="RPQ527" s="901"/>
      <c r="RPR527" s="901"/>
      <c r="RPS527" s="901"/>
      <c r="RPT527" s="901"/>
      <c r="RPU527" s="901"/>
      <c r="RPV527" s="901"/>
      <c r="RPW527" s="901"/>
      <c r="RPX527" s="901"/>
      <c r="RPY527" s="901"/>
      <c r="RPZ527" s="901"/>
      <c r="RQA527" s="901"/>
      <c r="RQB527" s="901"/>
      <c r="RQC527" s="901"/>
      <c r="RQD527" s="901"/>
      <c r="RQE527" s="901"/>
      <c r="RQF527" s="901"/>
      <c r="RQG527" s="901"/>
      <c r="RQH527" s="901"/>
      <c r="RQI527" s="901"/>
      <c r="RQJ527" s="901"/>
      <c r="RQK527" s="901"/>
      <c r="RQL527" s="901"/>
      <c r="RQM527" s="901"/>
      <c r="RQN527" s="901"/>
      <c r="RQO527" s="901"/>
      <c r="RQP527" s="901"/>
      <c r="RQQ527" s="901"/>
      <c r="RQR527" s="901"/>
      <c r="RQS527" s="901"/>
      <c r="RQT527" s="901"/>
      <c r="RQU527" s="901"/>
      <c r="RQV527" s="901"/>
      <c r="RQW527" s="901"/>
      <c r="RQX527" s="901"/>
      <c r="RQY527" s="901"/>
      <c r="RQZ527" s="901"/>
      <c r="RRA527" s="901"/>
      <c r="RRB527" s="901"/>
      <c r="RRC527" s="901"/>
      <c r="RRD527" s="901"/>
      <c r="RRE527" s="901"/>
      <c r="RRF527" s="901"/>
      <c r="RRG527" s="901"/>
      <c r="RRH527" s="901"/>
      <c r="RRI527" s="901"/>
      <c r="RRJ527" s="901"/>
      <c r="RRK527" s="901"/>
      <c r="RRL527" s="901"/>
      <c r="RRM527" s="901"/>
      <c r="RRN527" s="901"/>
      <c r="RRO527" s="901"/>
      <c r="RRP527" s="901"/>
      <c r="RRQ527" s="901"/>
      <c r="RRR527" s="901"/>
      <c r="RRS527" s="901"/>
      <c r="RRT527" s="901"/>
      <c r="RRU527" s="901"/>
      <c r="RRV527" s="901"/>
      <c r="RRW527" s="901"/>
      <c r="RRX527" s="901"/>
      <c r="RRY527" s="901"/>
      <c r="RRZ527" s="901"/>
      <c r="RSA527" s="901"/>
      <c r="RSB527" s="901"/>
      <c r="RSC527" s="901"/>
      <c r="RSD527" s="901"/>
      <c r="RSE527" s="901"/>
      <c r="RSF527" s="901"/>
      <c r="RSG527" s="901"/>
      <c r="RSH527" s="901"/>
      <c r="RSI527" s="901"/>
      <c r="RSJ527" s="901"/>
      <c r="RSK527" s="901"/>
      <c r="RSL527" s="901"/>
      <c r="RSM527" s="901"/>
      <c r="RSN527" s="901"/>
      <c r="RSO527" s="901"/>
      <c r="RSP527" s="901"/>
      <c r="RSQ527" s="901"/>
      <c r="RSR527" s="901"/>
      <c r="RSS527" s="901"/>
      <c r="RST527" s="901"/>
      <c r="RSU527" s="901"/>
      <c r="RSV527" s="901"/>
      <c r="RSW527" s="901"/>
      <c r="RSX527" s="901"/>
      <c r="RSY527" s="901"/>
      <c r="RSZ527" s="901"/>
      <c r="RTA527" s="901"/>
      <c r="RTB527" s="901"/>
      <c r="RTC527" s="901"/>
      <c r="RTD527" s="901"/>
      <c r="RTE527" s="901"/>
      <c r="RTF527" s="901"/>
      <c r="RTG527" s="901"/>
      <c r="RTH527" s="901"/>
      <c r="RTI527" s="901"/>
      <c r="RTJ527" s="901"/>
      <c r="RTK527" s="901"/>
      <c r="RTL527" s="901"/>
      <c r="RTM527" s="901"/>
      <c r="RTN527" s="901"/>
      <c r="RTO527" s="901"/>
      <c r="RTP527" s="901"/>
      <c r="RTQ527" s="901"/>
      <c r="RTR527" s="901"/>
      <c r="RTS527" s="901"/>
      <c r="RTT527" s="901"/>
      <c r="RTU527" s="901"/>
      <c r="RTV527" s="901"/>
      <c r="RTW527" s="901"/>
      <c r="RTX527" s="901"/>
      <c r="RTY527" s="901"/>
      <c r="RTZ527" s="901"/>
      <c r="RUA527" s="901"/>
      <c r="RUB527" s="901"/>
      <c r="RUC527" s="901"/>
      <c r="RUD527" s="901"/>
      <c r="RUE527" s="901"/>
      <c r="RUF527" s="901"/>
      <c r="RUG527" s="901"/>
      <c r="RUH527" s="901"/>
      <c r="RUI527" s="901"/>
      <c r="RUJ527" s="901"/>
      <c r="RUK527" s="901"/>
      <c r="RUL527" s="901"/>
      <c r="RUM527" s="901"/>
      <c r="RUN527" s="901"/>
      <c r="RUO527" s="901"/>
      <c r="RUP527" s="901"/>
      <c r="RUQ527" s="901"/>
      <c r="RUR527" s="901"/>
      <c r="RUS527" s="901"/>
      <c r="RUT527" s="901"/>
      <c r="RUU527" s="901"/>
      <c r="RUV527" s="901"/>
      <c r="RUW527" s="901"/>
      <c r="RUX527" s="901"/>
      <c r="RUY527" s="901"/>
      <c r="RUZ527" s="901"/>
      <c r="RVA527" s="901"/>
      <c r="RVB527" s="901"/>
      <c r="RVC527" s="901"/>
      <c r="RVD527" s="901"/>
      <c r="RVE527" s="901"/>
      <c r="RVF527" s="901"/>
      <c r="RVG527" s="901"/>
      <c r="RVH527" s="901"/>
      <c r="RVI527" s="901"/>
      <c r="RVJ527" s="901"/>
      <c r="RVK527" s="901"/>
      <c r="RVL527" s="901"/>
      <c r="RVM527" s="901"/>
      <c r="RVN527" s="901"/>
      <c r="RVO527" s="901"/>
      <c r="RVP527" s="901"/>
      <c r="RVQ527" s="901"/>
      <c r="RVR527" s="901"/>
      <c r="RVS527" s="901"/>
      <c r="RVT527" s="901"/>
      <c r="RVU527" s="901"/>
      <c r="RVV527" s="901"/>
      <c r="RVW527" s="901"/>
      <c r="RVX527" s="901"/>
      <c r="RVY527" s="901"/>
      <c r="RVZ527" s="901"/>
      <c r="RWA527" s="901"/>
      <c r="RWB527" s="901"/>
      <c r="RWC527" s="901"/>
      <c r="RWD527" s="901"/>
      <c r="RWE527" s="901"/>
      <c r="RWF527" s="901"/>
      <c r="RWG527" s="901"/>
      <c r="RWH527" s="901"/>
      <c r="RWI527" s="901"/>
      <c r="RWJ527" s="901"/>
      <c r="RWK527" s="901"/>
      <c r="RWL527" s="901"/>
      <c r="RWM527" s="901"/>
      <c r="RWN527" s="901"/>
      <c r="RWO527" s="901"/>
      <c r="RWP527" s="901"/>
      <c r="RWQ527" s="901"/>
      <c r="RWR527" s="901"/>
      <c r="RWS527" s="901"/>
      <c r="RWT527" s="901"/>
      <c r="RWU527" s="901"/>
      <c r="RWV527" s="901"/>
      <c r="RWW527" s="901"/>
      <c r="RWX527" s="901"/>
      <c r="RWY527" s="901"/>
      <c r="RWZ527" s="901"/>
      <c r="RXA527" s="901"/>
      <c r="RXB527" s="901"/>
      <c r="RXC527" s="901"/>
      <c r="RXD527" s="901"/>
      <c r="RXE527" s="901"/>
      <c r="RXF527" s="901"/>
      <c r="RXG527" s="901"/>
      <c r="RXH527" s="901"/>
      <c r="RXI527" s="901"/>
      <c r="RXJ527" s="901"/>
      <c r="RXK527" s="901"/>
      <c r="RXL527" s="901"/>
      <c r="RXM527" s="901"/>
      <c r="RXN527" s="901"/>
      <c r="RXO527" s="901"/>
      <c r="RXP527" s="901"/>
      <c r="RXQ527" s="901"/>
      <c r="RXR527" s="901"/>
      <c r="RXS527" s="901"/>
      <c r="RXT527" s="901"/>
      <c r="RXU527" s="901"/>
      <c r="RXV527" s="901"/>
      <c r="RXW527" s="901"/>
      <c r="RXX527" s="901"/>
      <c r="RXY527" s="901"/>
      <c r="RXZ527" s="901"/>
      <c r="RYA527" s="901"/>
      <c r="RYB527" s="901"/>
      <c r="RYC527" s="901"/>
      <c r="RYD527" s="901"/>
      <c r="RYE527" s="901"/>
      <c r="RYF527" s="901"/>
      <c r="RYG527" s="901"/>
      <c r="RYH527" s="901"/>
      <c r="RYI527" s="901"/>
      <c r="RYJ527" s="901"/>
      <c r="RYK527" s="901"/>
      <c r="RYL527" s="901"/>
      <c r="RYM527" s="901"/>
      <c r="RYN527" s="901"/>
      <c r="RYO527" s="901"/>
      <c r="RYP527" s="901"/>
      <c r="RYQ527" s="901"/>
      <c r="RYR527" s="901"/>
      <c r="RYS527" s="901"/>
      <c r="RYT527" s="901"/>
      <c r="RYU527" s="901"/>
      <c r="RYV527" s="901"/>
      <c r="RYW527" s="901"/>
      <c r="RYX527" s="901"/>
      <c r="RYY527" s="901"/>
      <c r="RYZ527" s="901"/>
      <c r="RZA527" s="901"/>
      <c r="RZB527" s="901"/>
      <c r="RZC527" s="901"/>
      <c r="RZD527" s="901"/>
      <c r="RZE527" s="901"/>
      <c r="RZF527" s="901"/>
      <c r="RZG527" s="901"/>
      <c r="RZH527" s="901"/>
      <c r="RZI527" s="901"/>
      <c r="RZJ527" s="901"/>
      <c r="RZK527" s="901"/>
      <c r="RZL527" s="901"/>
      <c r="RZM527" s="901"/>
      <c r="RZN527" s="901"/>
      <c r="RZO527" s="901"/>
      <c r="RZP527" s="901"/>
      <c r="RZQ527" s="901"/>
      <c r="RZR527" s="901"/>
      <c r="RZS527" s="901"/>
      <c r="RZT527" s="901"/>
      <c r="RZU527" s="901"/>
      <c r="RZV527" s="901"/>
      <c r="RZW527" s="901"/>
      <c r="RZX527" s="901"/>
      <c r="RZY527" s="901"/>
      <c r="RZZ527" s="901"/>
      <c r="SAA527" s="901"/>
      <c r="SAB527" s="901"/>
      <c r="SAC527" s="901"/>
      <c r="SAD527" s="901"/>
      <c r="SAE527" s="901"/>
      <c r="SAF527" s="901"/>
      <c r="SAG527" s="901"/>
      <c r="SAH527" s="901"/>
      <c r="SAI527" s="901"/>
      <c r="SAJ527" s="901"/>
      <c r="SAK527" s="901"/>
      <c r="SAL527" s="901"/>
      <c r="SAM527" s="901"/>
      <c r="SAN527" s="901"/>
      <c r="SAO527" s="901"/>
      <c r="SAP527" s="901"/>
      <c r="SAQ527" s="901"/>
      <c r="SAR527" s="901"/>
      <c r="SAS527" s="901"/>
      <c r="SAT527" s="901"/>
      <c r="SAU527" s="901"/>
      <c r="SAV527" s="901"/>
      <c r="SAW527" s="901"/>
      <c r="SAX527" s="901"/>
      <c r="SAY527" s="901"/>
      <c r="SAZ527" s="901"/>
      <c r="SBA527" s="901"/>
      <c r="SBB527" s="901"/>
      <c r="SBC527" s="901"/>
      <c r="SBD527" s="901"/>
      <c r="SBE527" s="901"/>
      <c r="SBF527" s="901"/>
      <c r="SBG527" s="901"/>
      <c r="SBH527" s="901"/>
      <c r="SBI527" s="901"/>
      <c r="SBJ527" s="901"/>
      <c r="SBK527" s="901"/>
      <c r="SBL527" s="901"/>
      <c r="SBM527" s="901"/>
      <c r="SBN527" s="901"/>
      <c r="SBO527" s="901"/>
      <c r="SBP527" s="901"/>
      <c r="SBQ527" s="901"/>
      <c r="SBR527" s="901"/>
      <c r="SBS527" s="901"/>
      <c r="SBT527" s="901"/>
      <c r="SBU527" s="901"/>
      <c r="SBV527" s="901"/>
      <c r="SBW527" s="901"/>
      <c r="SBX527" s="901"/>
      <c r="SBY527" s="901"/>
      <c r="SBZ527" s="901"/>
      <c r="SCA527" s="901"/>
      <c r="SCB527" s="901"/>
      <c r="SCC527" s="901"/>
      <c r="SCD527" s="901"/>
      <c r="SCE527" s="901"/>
      <c r="SCF527" s="901"/>
      <c r="SCG527" s="901"/>
      <c r="SCH527" s="901"/>
      <c r="SCI527" s="901"/>
      <c r="SCJ527" s="901"/>
      <c r="SCK527" s="901"/>
      <c r="SCL527" s="901"/>
      <c r="SCM527" s="901"/>
      <c r="SCN527" s="901"/>
      <c r="SCO527" s="901"/>
      <c r="SCP527" s="901"/>
      <c r="SCQ527" s="901"/>
      <c r="SCR527" s="901"/>
      <c r="SCS527" s="901"/>
      <c r="SCT527" s="901"/>
      <c r="SCU527" s="901"/>
      <c r="SCV527" s="901"/>
      <c r="SCW527" s="901"/>
      <c r="SCX527" s="901"/>
      <c r="SCY527" s="901"/>
      <c r="SCZ527" s="901"/>
      <c r="SDA527" s="901"/>
      <c r="SDB527" s="901"/>
      <c r="SDC527" s="901"/>
      <c r="SDD527" s="901"/>
      <c r="SDE527" s="901"/>
      <c r="SDF527" s="901"/>
      <c r="SDG527" s="901"/>
      <c r="SDH527" s="901"/>
      <c r="SDI527" s="901"/>
      <c r="SDJ527" s="901"/>
      <c r="SDK527" s="901"/>
      <c r="SDL527" s="901"/>
      <c r="SDM527" s="901"/>
      <c r="SDN527" s="901"/>
      <c r="SDO527" s="901"/>
      <c r="SDP527" s="901"/>
      <c r="SDQ527" s="901"/>
      <c r="SDR527" s="901"/>
      <c r="SDS527" s="901"/>
      <c r="SDT527" s="901"/>
      <c r="SDU527" s="901"/>
      <c r="SDV527" s="901"/>
      <c r="SDW527" s="901"/>
      <c r="SDX527" s="901"/>
      <c r="SDY527" s="901"/>
      <c r="SDZ527" s="901"/>
      <c r="SEA527" s="901"/>
      <c r="SEB527" s="901"/>
      <c r="SEC527" s="901"/>
      <c r="SED527" s="901"/>
      <c r="SEE527" s="901"/>
      <c r="SEF527" s="901"/>
      <c r="SEG527" s="901"/>
      <c r="SEH527" s="901"/>
      <c r="SEI527" s="901"/>
      <c r="SEJ527" s="901"/>
      <c r="SEK527" s="901"/>
      <c r="SEL527" s="901"/>
      <c r="SEM527" s="901"/>
      <c r="SEN527" s="901"/>
      <c r="SEO527" s="901"/>
      <c r="SEP527" s="901"/>
      <c r="SEQ527" s="901"/>
      <c r="SER527" s="901"/>
      <c r="SES527" s="901"/>
      <c r="SET527" s="901"/>
      <c r="SEU527" s="901"/>
      <c r="SEV527" s="901"/>
      <c r="SEW527" s="901"/>
      <c r="SEX527" s="901"/>
      <c r="SEY527" s="901"/>
      <c r="SEZ527" s="901"/>
      <c r="SFA527" s="901"/>
      <c r="SFB527" s="901"/>
      <c r="SFC527" s="901"/>
      <c r="SFD527" s="901"/>
      <c r="SFE527" s="901"/>
      <c r="SFF527" s="901"/>
      <c r="SFG527" s="901"/>
      <c r="SFH527" s="901"/>
      <c r="SFI527" s="901"/>
      <c r="SFJ527" s="901"/>
      <c r="SFK527" s="901"/>
      <c r="SFL527" s="901"/>
      <c r="SFM527" s="901"/>
      <c r="SFN527" s="901"/>
      <c r="SFO527" s="901"/>
      <c r="SFP527" s="901"/>
      <c r="SFQ527" s="901"/>
      <c r="SFR527" s="901"/>
      <c r="SFS527" s="901"/>
      <c r="SFT527" s="901"/>
      <c r="SFU527" s="901"/>
      <c r="SFV527" s="901"/>
      <c r="SFW527" s="901"/>
      <c r="SFX527" s="901"/>
      <c r="SFY527" s="901"/>
      <c r="SFZ527" s="901"/>
      <c r="SGA527" s="901"/>
      <c r="SGB527" s="901"/>
      <c r="SGC527" s="901"/>
      <c r="SGD527" s="901"/>
      <c r="SGE527" s="901"/>
      <c r="SGF527" s="901"/>
      <c r="SGG527" s="901"/>
      <c r="SGH527" s="901"/>
      <c r="SGI527" s="901"/>
      <c r="SGJ527" s="901"/>
      <c r="SGK527" s="901"/>
      <c r="SGL527" s="901"/>
      <c r="SGM527" s="901"/>
      <c r="SGN527" s="901"/>
      <c r="SGO527" s="901"/>
      <c r="SGP527" s="901"/>
      <c r="SGQ527" s="901"/>
      <c r="SGR527" s="901"/>
      <c r="SGS527" s="901"/>
      <c r="SGT527" s="901"/>
      <c r="SGU527" s="901"/>
      <c r="SGV527" s="901"/>
      <c r="SGW527" s="901"/>
      <c r="SGX527" s="901"/>
      <c r="SGY527" s="901"/>
      <c r="SGZ527" s="901"/>
      <c r="SHA527" s="901"/>
      <c r="SHB527" s="901"/>
      <c r="SHC527" s="901"/>
      <c r="SHD527" s="901"/>
      <c r="SHE527" s="901"/>
      <c r="SHF527" s="901"/>
      <c r="SHG527" s="901"/>
      <c r="SHH527" s="901"/>
      <c r="SHI527" s="901"/>
      <c r="SHJ527" s="901"/>
      <c r="SHK527" s="901"/>
      <c r="SHL527" s="901"/>
      <c r="SHM527" s="901"/>
      <c r="SHN527" s="901"/>
      <c r="SHO527" s="901"/>
      <c r="SHP527" s="901"/>
      <c r="SHQ527" s="901"/>
      <c r="SHR527" s="901"/>
      <c r="SHS527" s="901"/>
      <c r="SHT527" s="901"/>
      <c r="SHU527" s="901"/>
      <c r="SHV527" s="901"/>
      <c r="SHW527" s="901"/>
      <c r="SHX527" s="901"/>
      <c r="SHY527" s="901"/>
      <c r="SHZ527" s="901"/>
      <c r="SIA527" s="901"/>
      <c r="SIB527" s="901"/>
      <c r="SIC527" s="901"/>
      <c r="SID527" s="901"/>
      <c r="SIE527" s="901"/>
      <c r="SIF527" s="901"/>
      <c r="SIG527" s="901"/>
      <c r="SIH527" s="901"/>
      <c r="SII527" s="901"/>
      <c r="SIJ527" s="901"/>
      <c r="SIK527" s="901"/>
      <c r="SIL527" s="901"/>
      <c r="SIM527" s="901"/>
      <c r="SIN527" s="901"/>
      <c r="SIO527" s="901"/>
      <c r="SIP527" s="901"/>
      <c r="SIQ527" s="901"/>
      <c r="SIR527" s="901"/>
      <c r="SIS527" s="901"/>
      <c r="SIT527" s="901"/>
      <c r="SIU527" s="901"/>
      <c r="SIV527" s="901"/>
      <c r="SIW527" s="901"/>
      <c r="SIX527" s="901"/>
      <c r="SIY527" s="901"/>
      <c r="SIZ527" s="901"/>
      <c r="SJA527" s="901"/>
      <c r="SJB527" s="901"/>
      <c r="SJC527" s="901"/>
      <c r="SJD527" s="901"/>
      <c r="SJE527" s="901"/>
      <c r="SJF527" s="901"/>
      <c r="SJG527" s="901"/>
      <c r="SJH527" s="901"/>
      <c r="SJI527" s="901"/>
      <c r="SJJ527" s="901"/>
      <c r="SJK527" s="901"/>
      <c r="SJL527" s="901"/>
      <c r="SJM527" s="901"/>
      <c r="SJN527" s="901"/>
      <c r="SJO527" s="901"/>
      <c r="SJP527" s="901"/>
      <c r="SJQ527" s="901"/>
      <c r="SJR527" s="901"/>
      <c r="SJS527" s="901"/>
      <c r="SJT527" s="901"/>
      <c r="SJU527" s="901"/>
      <c r="SJV527" s="901"/>
      <c r="SJW527" s="901"/>
      <c r="SJX527" s="901"/>
      <c r="SJY527" s="901"/>
      <c r="SJZ527" s="901"/>
      <c r="SKA527" s="901"/>
      <c r="SKB527" s="901"/>
      <c r="SKC527" s="901"/>
      <c r="SKD527" s="901"/>
      <c r="SKE527" s="901"/>
      <c r="SKF527" s="901"/>
      <c r="SKG527" s="901"/>
      <c r="SKH527" s="901"/>
      <c r="SKI527" s="901"/>
      <c r="SKJ527" s="901"/>
      <c r="SKK527" s="901"/>
      <c r="SKL527" s="901"/>
      <c r="SKM527" s="901"/>
      <c r="SKN527" s="901"/>
      <c r="SKO527" s="901"/>
      <c r="SKP527" s="901"/>
      <c r="SKQ527" s="901"/>
      <c r="SKR527" s="901"/>
      <c r="SKS527" s="901"/>
      <c r="SKT527" s="901"/>
      <c r="SKU527" s="901"/>
      <c r="SKV527" s="901"/>
      <c r="SKW527" s="901"/>
      <c r="SKX527" s="901"/>
      <c r="SKY527" s="901"/>
      <c r="SKZ527" s="901"/>
      <c r="SLA527" s="901"/>
      <c r="SLB527" s="901"/>
      <c r="SLC527" s="901"/>
      <c r="SLD527" s="901"/>
      <c r="SLE527" s="901"/>
      <c r="SLF527" s="901"/>
      <c r="SLG527" s="901"/>
      <c r="SLH527" s="901"/>
      <c r="SLI527" s="901"/>
      <c r="SLJ527" s="901"/>
      <c r="SLK527" s="901"/>
      <c r="SLL527" s="901"/>
      <c r="SLM527" s="901"/>
      <c r="SLN527" s="901"/>
      <c r="SLO527" s="901"/>
      <c r="SLP527" s="901"/>
      <c r="SLQ527" s="901"/>
      <c r="SLR527" s="901"/>
      <c r="SLS527" s="901"/>
      <c r="SLT527" s="901"/>
      <c r="SLU527" s="901"/>
      <c r="SLV527" s="901"/>
      <c r="SLW527" s="901"/>
      <c r="SLX527" s="901"/>
      <c r="SLY527" s="901"/>
      <c r="SLZ527" s="901"/>
      <c r="SMA527" s="901"/>
      <c r="SMB527" s="901"/>
      <c r="SMC527" s="901"/>
      <c r="SMD527" s="901"/>
      <c r="SME527" s="901"/>
      <c r="SMF527" s="901"/>
      <c r="SMG527" s="901"/>
      <c r="SMH527" s="901"/>
      <c r="SMI527" s="901"/>
      <c r="SMJ527" s="901"/>
      <c r="SMK527" s="901"/>
      <c r="SML527" s="901"/>
      <c r="SMM527" s="901"/>
      <c r="SMN527" s="901"/>
      <c r="SMO527" s="901"/>
      <c r="SMP527" s="901"/>
      <c r="SMQ527" s="901"/>
      <c r="SMR527" s="901"/>
      <c r="SMS527" s="901"/>
      <c r="SMT527" s="901"/>
      <c r="SMU527" s="901"/>
      <c r="SMV527" s="901"/>
      <c r="SMW527" s="901"/>
      <c r="SMX527" s="901"/>
      <c r="SMY527" s="901"/>
      <c r="SMZ527" s="901"/>
      <c r="SNA527" s="901"/>
      <c r="SNB527" s="901"/>
      <c r="SNC527" s="901"/>
      <c r="SND527" s="901"/>
      <c r="SNE527" s="901"/>
      <c r="SNF527" s="901"/>
      <c r="SNG527" s="901"/>
      <c r="SNH527" s="901"/>
      <c r="SNI527" s="901"/>
      <c r="SNJ527" s="901"/>
      <c r="SNK527" s="901"/>
      <c r="SNL527" s="901"/>
      <c r="SNM527" s="901"/>
      <c r="SNN527" s="901"/>
      <c r="SNO527" s="901"/>
      <c r="SNP527" s="901"/>
      <c r="SNQ527" s="901"/>
      <c r="SNR527" s="901"/>
      <c r="SNS527" s="901"/>
      <c r="SNT527" s="901"/>
      <c r="SNU527" s="901"/>
      <c r="SNV527" s="901"/>
      <c r="SNW527" s="901"/>
      <c r="SNX527" s="901"/>
      <c r="SNY527" s="901"/>
      <c r="SNZ527" s="901"/>
      <c r="SOA527" s="901"/>
      <c r="SOB527" s="901"/>
      <c r="SOC527" s="901"/>
      <c r="SOD527" s="901"/>
      <c r="SOE527" s="901"/>
      <c r="SOF527" s="901"/>
      <c r="SOG527" s="901"/>
      <c r="SOH527" s="901"/>
      <c r="SOI527" s="901"/>
      <c r="SOJ527" s="901"/>
      <c r="SOK527" s="901"/>
      <c r="SOL527" s="901"/>
      <c r="SOM527" s="901"/>
      <c r="SON527" s="901"/>
      <c r="SOO527" s="901"/>
      <c r="SOP527" s="901"/>
      <c r="SOQ527" s="901"/>
      <c r="SOR527" s="901"/>
      <c r="SOS527" s="901"/>
      <c r="SOT527" s="901"/>
      <c r="SOU527" s="901"/>
      <c r="SOV527" s="901"/>
      <c r="SOW527" s="901"/>
      <c r="SOX527" s="901"/>
      <c r="SOY527" s="901"/>
      <c r="SOZ527" s="901"/>
      <c r="SPA527" s="901"/>
      <c r="SPB527" s="901"/>
      <c r="SPC527" s="901"/>
      <c r="SPD527" s="901"/>
      <c r="SPE527" s="901"/>
      <c r="SPF527" s="901"/>
      <c r="SPG527" s="901"/>
      <c r="SPH527" s="901"/>
      <c r="SPI527" s="901"/>
      <c r="SPJ527" s="901"/>
      <c r="SPK527" s="901"/>
      <c r="SPL527" s="901"/>
      <c r="SPM527" s="901"/>
      <c r="SPN527" s="901"/>
      <c r="SPO527" s="901"/>
      <c r="SPP527" s="901"/>
      <c r="SPQ527" s="901"/>
      <c r="SPR527" s="901"/>
      <c r="SPS527" s="901"/>
      <c r="SPT527" s="901"/>
      <c r="SPU527" s="901"/>
      <c r="SPV527" s="901"/>
      <c r="SPW527" s="901"/>
      <c r="SPX527" s="901"/>
      <c r="SPY527" s="901"/>
      <c r="SPZ527" s="901"/>
      <c r="SQA527" s="901"/>
      <c r="SQB527" s="901"/>
      <c r="SQC527" s="901"/>
      <c r="SQD527" s="901"/>
      <c r="SQE527" s="901"/>
      <c r="SQF527" s="901"/>
      <c r="SQG527" s="901"/>
      <c r="SQH527" s="901"/>
      <c r="SQI527" s="901"/>
      <c r="SQJ527" s="901"/>
      <c r="SQK527" s="901"/>
      <c r="SQL527" s="901"/>
      <c r="SQM527" s="901"/>
      <c r="SQN527" s="901"/>
      <c r="SQO527" s="901"/>
      <c r="SQP527" s="901"/>
      <c r="SQQ527" s="901"/>
      <c r="SQR527" s="901"/>
      <c r="SQS527" s="901"/>
      <c r="SQT527" s="901"/>
      <c r="SQU527" s="901"/>
      <c r="SQV527" s="901"/>
      <c r="SQW527" s="901"/>
      <c r="SQX527" s="901"/>
      <c r="SQY527" s="901"/>
      <c r="SQZ527" s="901"/>
      <c r="SRA527" s="901"/>
      <c r="SRB527" s="901"/>
      <c r="SRC527" s="901"/>
      <c r="SRD527" s="901"/>
      <c r="SRE527" s="901"/>
      <c r="SRF527" s="901"/>
      <c r="SRG527" s="901"/>
      <c r="SRH527" s="901"/>
      <c r="SRI527" s="901"/>
      <c r="SRJ527" s="901"/>
      <c r="SRK527" s="901"/>
      <c r="SRL527" s="901"/>
      <c r="SRM527" s="901"/>
      <c r="SRN527" s="901"/>
      <c r="SRO527" s="901"/>
      <c r="SRP527" s="901"/>
      <c r="SRQ527" s="901"/>
      <c r="SRR527" s="901"/>
      <c r="SRS527" s="901"/>
      <c r="SRT527" s="901"/>
      <c r="SRU527" s="901"/>
      <c r="SRV527" s="901"/>
      <c r="SRW527" s="901"/>
      <c r="SRX527" s="901"/>
      <c r="SRY527" s="901"/>
      <c r="SRZ527" s="901"/>
      <c r="SSA527" s="901"/>
      <c r="SSB527" s="901"/>
      <c r="SSC527" s="901"/>
      <c r="SSD527" s="901"/>
      <c r="SSE527" s="901"/>
      <c r="SSF527" s="901"/>
      <c r="SSG527" s="901"/>
      <c r="SSH527" s="901"/>
      <c r="SSI527" s="901"/>
      <c r="SSJ527" s="901"/>
      <c r="SSK527" s="901"/>
      <c r="SSL527" s="901"/>
      <c r="SSM527" s="901"/>
      <c r="SSN527" s="901"/>
      <c r="SSO527" s="901"/>
      <c r="SSP527" s="901"/>
      <c r="SSQ527" s="901"/>
      <c r="SSR527" s="901"/>
      <c r="SSS527" s="901"/>
      <c r="SST527" s="901"/>
      <c r="SSU527" s="901"/>
      <c r="SSV527" s="901"/>
      <c r="SSW527" s="901"/>
      <c r="SSX527" s="901"/>
      <c r="SSY527" s="901"/>
      <c r="SSZ527" s="901"/>
      <c r="STA527" s="901"/>
      <c r="STB527" s="901"/>
      <c r="STC527" s="901"/>
      <c r="STD527" s="901"/>
      <c r="STE527" s="901"/>
      <c r="STF527" s="901"/>
      <c r="STG527" s="901"/>
      <c r="STH527" s="901"/>
      <c r="STI527" s="901"/>
      <c r="STJ527" s="901"/>
      <c r="STK527" s="901"/>
      <c r="STL527" s="901"/>
      <c r="STM527" s="901"/>
      <c r="STN527" s="901"/>
      <c r="STO527" s="901"/>
      <c r="STP527" s="901"/>
      <c r="STQ527" s="901"/>
      <c r="STR527" s="901"/>
      <c r="STS527" s="901"/>
      <c r="STT527" s="901"/>
      <c r="STU527" s="901"/>
      <c r="STV527" s="901"/>
      <c r="STW527" s="901"/>
      <c r="STX527" s="901"/>
      <c r="STY527" s="901"/>
      <c r="STZ527" s="901"/>
      <c r="SUA527" s="901"/>
      <c r="SUB527" s="901"/>
      <c r="SUC527" s="901"/>
      <c r="SUD527" s="901"/>
      <c r="SUE527" s="901"/>
      <c r="SUF527" s="901"/>
      <c r="SUG527" s="901"/>
      <c r="SUH527" s="901"/>
      <c r="SUI527" s="901"/>
      <c r="SUJ527" s="901"/>
      <c r="SUK527" s="901"/>
      <c r="SUL527" s="901"/>
      <c r="SUM527" s="901"/>
      <c r="SUN527" s="901"/>
      <c r="SUO527" s="901"/>
      <c r="SUP527" s="901"/>
      <c r="SUQ527" s="901"/>
      <c r="SUR527" s="901"/>
      <c r="SUS527" s="901"/>
      <c r="SUT527" s="901"/>
      <c r="SUU527" s="901"/>
      <c r="SUV527" s="901"/>
      <c r="SUW527" s="901"/>
      <c r="SUX527" s="901"/>
      <c r="SUY527" s="901"/>
      <c r="SUZ527" s="901"/>
      <c r="SVA527" s="901"/>
      <c r="SVB527" s="901"/>
      <c r="SVC527" s="901"/>
      <c r="SVD527" s="901"/>
      <c r="SVE527" s="901"/>
      <c r="SVF527" s="901"/>
      <c r="SVG527" s="901"/>
      <c r="SVH527" s="901"/>
      <c r="SVI527" s="901"/>
      <c r="SVJ527" s="901"/>
      <c r="SVK527" s="901"/>
      <c r="SVL527" s="901"/>
      <c r="SVM527" s="901"/>
      <c r="SVN527" s="901"/>
      <c r="SVO527" s="901"/>
      <c r="SVP527" s="901"/>
      <c r="SVQ527" s="901"/>
      <c r="SVR527" s="901"/>
      <c r="SVS527" s="901"/>
      <c r="SVT527" s="901"/>
      <c r="SVU527" s="901"/>
      <c r="SVV527" s="901"/>
      <c r="SVW527" s="901"/>
      <c r="SVX527" s="901"/>
      <c r="SVY527" s="901"/>
      <c r="SVZ527" s="901"/>
      <c r="SWA527" s="901"/>
      <c r="SWB527" s="901"/>
      <c r="SWC527" s="901"/>
      <c r="SWD527" s="901"/>
      <c r="SWE527" s="901"/>
      <c r="SWF527" s="901"/>
      <c r="SWG527" s="901"/>
      <c r="SWH527" s="901"/>
      <c r="SWI527" s="901"/>
      <c r="SWJ527" s="901"/>
      <c r="SWK527" s="901"/>
      <c r="SWL527" s="901"/>
      <c r="SWM527" s="901"/>
      <c r="SWN527" s="901"/>
      <c r="SWO527" s="901"/>
      <c r="SWP527" s="901"/>
      <c r="SWQ527" s="901"/>
      <c r="SWR527" s="901"/>
      <c r="SWS527" s="901"/>
      <c r="SWT527" s="901"/>
      <c r="SWU527" s="901"/>
      <c r="SWV527" s="901"/>
      <c r="SWW527" s="901"/>
      <c r="SWX527" s="901"/>
      <c r="SWY527" s="901"/>
      <c r="SWZ527" s="901"/>
      <c r="SXA527" s="901"/>
      <c r="SXB527" s="901"/>
      <c r="SXC527" s="901"/>
      <c r="SXD527" s="901"/>
      <c r="SXE527" s="901"/>
      <c r="SXF527" s="901"/>
      <c r="SXG527" s="901"/>
      <c r="SXH527" s="901"/>
      <c r="SXI527" s="901"/>
      <c r="SXJ527" s="901"/>
      <c r="SXK527" s="901"/>
      <c r="SXL527" s="901"/>
      <c r="SXM527" s="901"/>
      <c r="SXN527" s="901"/>
      <c r="SXO527" s="901"/>
      <c r="SXP527" s="901"/>
      <c r="SXQ527" s="901"/>
      <c r="SXR527" s="901"/>
      <c r="SXS527" s="901"/>
      <c r="SXT527" s="901"/>
      <c r="SXU527" s="901"/>
      <c r="SXV527" s="901"/>
      <c r="SXW527" s="901"/>
      <c r="SXX527" s="901"/>
      <c r="SXY527" s="901"/>
      <c r="SXZ527" s="901"/>
      <c r="SYA527" s="901"/>
      <c r="SYB527" s="901"/>
      <c r="SYC527" s="901"/>
      <c r="SYD527" s="901"/>
      <c r="SYE527" s="901"/>
      <c r="SYF527" s="901"/>
      <c r="SYG527" s="901"/>
      <c r="SYH527" s="901"/>
      <c r="SYI527" s="901"/>
      <c r="SYJ527" s="901"/>
      <c r="SYK527" s="901"/>
      <c r="SYL527" s="901"/>
      <c r="SYM527" s="901"/>
      <c r="SYN527" s="901"/>
      <c r="SYO527" s="901"/>
      <c r="SYP527" s="901"/>
      <c r="SYQ527" s="901"/>
      <c r="SYR527" s="901"/>
      <c r="SYS527" s="901"/>
      <c r="SYT527" s="901"/>
      <c r="SYU527" s="901"/>
      <c r="SYV527" s="901"/>
      <c r="SYW527" s="901"/>
      <c r="SYX527" s="901"/>
      <c r="SYY527" s="901"/>
      <c r="SYZ527" s="901"/>
      <c r="SZA527" s="901"/>
      <c r="SZB527" s="901"/>
      <c r="SZC527" s="901"/>
      <c r="SZD527" s="901"/>
      <c r="SZE527" s="901"/>
      <c r="SZF527" s="901"/>
      <c r="SZG527" s="901"/>
      <c r="SZH527" s="901"/>
      <c r="SZI527" s="901"/>
      <c r="SZJ527" s="901"/>
      <c r="SZK527" s="901"/>
      <c r="SZL527" s="901"/>
      <c r="SZM527" s="901"/>
      <c r="SZN527" s="901"/>
      <c r="SZO527" s="901"/>
      <c r="SZP527" s="901"/>
      <c r="SZQ527" s="901"/>
      <c r="SZR527" s="901"/>
      <c r="SZS527" s="901"/>
      <c r="SZT527" s="901"/>
      <c r="SZU527" s="901"/>
      <c r="SZV527" s="901"/>
      <c r="SZW527" s="901"/>
      <c r="SZX527" s="901"/>
      <c r="SZY527" s="901"/>
      <c r="SZZ527" s="901"/>
      <c r="TAA527" s="901"/>
      <c r="TAB527" s="901"/>
      <c r="TAC527" s="901"/>
      <c r="TAD527" s="901"/>
      <c r="TAE527" s="901"/>
      <c r="TAF527" s="901"/>
      <c r="TAG527" s="901"/>
      <c r="TAH527" s="901"/>
      <c r="TAI527" s="901"/>
      <c r="TAJ527" s="901"/>
      <c r="TAK527" s="901"/>
      <c r="TAL527" s="901"/>
      <c r="TAM527" s="901"/>
      <c r="TAN527" s="901"/>
      <c r="TAO527" s="901"/>
      <c r="TAP527" s="901"/>
      <c r="TAQ527" s="901"/>
      <c r="TAR527" s="901"/>
      <c r="TAS527" s="901"/>
      <c r="TAT527" s="901"/>
      <c r="TAU527" s="901"/>
      <c r="TAV527" s="901"/>
      <c r="TAW527" s="901"/>
      <c r="TAX527" s="901"/>
      <c r="TAY527" s="901"/>
      <c r="TAZ527" s="901"/>
      <c r="TBA527" s="901"/>
      <c r="TBB527" s="901"/>
      <c r="TBC527" s="901"/>
      <c r="TBD527" s="901"/>
      <c r="TBE527" s="901"/>
      <c r="TBF527" s="901"/>
      <c r="TBG527" s="901"/>
      <c r="TBH527" s="901"/>
      <c r="TBI527" s="901"/>
      <c r="TBJ527" s="901"/>
      <c r="TBK527" s="901"/>
      <c r="TBL527" s="901"/>
      <c r="TBM527" s="901"/>
      <c r="TBN527" s="901"/>
      <c r="TBO527" s="901"/>
      <c r="TBP527" s="901"/>
      <c r="TBQ527" s="901"/>
      <c r="TBR527" s="901"/>
      <c r="TBS527" s="901"/>
      <c r="TBT527" s="901"/>
      <c r="TBU527" s="901"/>
      <c r="TBV527" s="901"/>
      <c r="TBW527" s="901"/>
      <c r="TBX527" s="901"/>
      <c r="TBY527" s="901"/>
      <c r="TBZ527" s="901"/>
      <c r="TCA527" s="901"/>
      <c r="TCB527" s="901"/>
      <c r="TCC527" s="901"/>
      <c r="TCD527" s="901"/>
      <c r="TCE527" s="901"/>
      <c r="TCF527" s="901"/>
      <c r="TCG527" s="901"/>
      <c r="TCH527" s="901"/>
      <c r="TCI527" s="901"/>
      <c r="TCJ527" s="901"/>
      <c r="TCK527" s="901"/>
      <c r="TCL527" s="901"/>
      <c r="TCM527" s="901"/>
      <c r="TCN527" s="901"/>
      <c r="TCO527" s="901"/>
      <c r="TCP527" s="901"/>
      <c r="TCQ527" s="901"/>
      <c r="TCR527" s="901"/>
      <c r="TCS527" s="901"/>
      <c r="TCT527" s="901"/>
      <c r="TCU527" s="901"/>
      <c r="TCV527" s="901"/>
      <c r="TCW527" s="901"/>
      <c r="TCX527" s="901"/>
      <c r="TCY527" s="901"/>
      <c r="TCZ527" s="901"/>
      <c r="TDA527" s="901"/>
      <c r="TDB527" s="901"/>
      <c r="TDC527" s="901"/>
      <c r="TDD527" s="901"/>
      <c r="TDE527" s="901"/>
      <c r="TDF527" s="901"/>
      <c r="TDG527" s="901"/>
      <c r="TDH527" s="901"/>
      <c r="TDI527" s="901"/>
      <c r="TDJ527" s="901"/>
      <c r="TDK527" s="901"/>
      <c r="TDL527" s="901"/>
      <c r="TDM527" s="901"/>
      <c r="TDN527" s="901"/>
      <c r="TDO527" s="901"/>
      <c r="TDP527" s="901"/>
      <c r="TDQ527" s="901"/>
      <c r="TDR527" s="901"/>
      <c r="TDS527" s="901"/>
      <c r="TDT527" s="901"/>
      <c r="TDU527" s="901"/>
      <c r="TDV527" s="901"/>
      <c r="TDW527" s="901"/>
      <c r="TDX527" s="901"/>
      <c r="TDY527" s="901"/>
      <c r="TDZ527" s="901"/>
      <c r="TEA527" s="901"/>
      <c r="TEB527" s="901"/>
      <c r="TEC527" s="901"/>
      <c r="TED527" s="901"/>
      <c r="TEE527" s="901"/>
      <c r="TEF527" s="901"/>
      <c r="TEG527" s="901"/>
      <c r="TEH527" s="901"/>
      <c r="TEI527" s="901"/>
      <c r="TEJ527" s="901"/>
      <c r="TEK527" s="901"/>
      <c r="TEL527" s="901"/>
      <c r="TEM527" s="901"/>
      <c r="TEN527" s="901"/>
      <c r="TEO527" s="901"/>
      <c r="TEP527" s="901"/>
      <c r="TEQ527" s="901"/>
      <c r="TER527" s="901"/>
      <c r="TES527" s="901"/>
      <c r="TET527" s="901"/>
      <c r="TEU527" s="901"/>
      <c r="TEV527" s="901"/>
      <c r="TEW527" s="901"/>
      <c r="TEX527" s="901"/>
      <c r="TEY527" s="901"/>
      <c r="TEZ527" s="901"/>
      <c r="TFA527" s="901"/>
      <c r="TFB527" s="901"/>
      <c r="TFC527" s="901"/>
      <c r="TFD527" s="901"/>
      <c r="TFE527" s="901"/>
      <c r="TFF527" s="901"/>
      <c r="TFG527" s="901"/>
      <c r="TFH527" s="901"/>
      <c r="TFI527" s="901"/>
      <c r="TFJ527" s="901"/>
      <c r="TFK527" s="901"/>
      <c r="TFL527" s="901"/>
      <c r="TFM527" s="901"/>
      <c r="TFN527" s="901"/>
      <c r="TFO527" s="901"/>
      <c r="TFP527" s="901"/>
      <c r="TFQ527" s="901"/>
      <c r="TFR527" s="901"/>
      <c r="TFS527" s="901"/>
      <c r="TFT527" s="901"/>
      <c r="TFU527" s="901"/>
      <c r="TFV527" s="901"/>
      <c r="TFW527" s="901"/>
      <c r="TFX527" s="901"/>
      <c r="TFY527" s="901"/>
      <c r="TFZ527" s="901"/>
      <c r="TGA527" s="901"/>
      <c r="TGB527" s="901"/>
      <c r="TGC527" s="901"/>
      <c r="TGD527" s="901"/>
      <c r="TGE527" s="901"/>
      <c r="TGF527" s="901"/>
      <c r="TGG527" s="901"/>
      <c r="TGH527" s="901"/>
      <c r="TGI527" s="901"/>
      <c r="TGJ527" s="901"/>
      <c r="TGK527" s="901"/>
      <c r="TGL527" s="901"/>
      <c r="TGM527" s="901"/>
      <c r="TGN527" s="901"/>
      <c r="TGO527" s="901"/>
      <c r="TGP527" s="901"/>
      <c r="TGQ527" s="901"/>
      <c r="TGR527" s="901"/>
      <c r="TGS527" s="901"/>
      <c r="TGT527" s="901"/>
      <c r="TGU527" s="901"/>
      <c r="TGV527" s="901"/>
      <c r="TGW527" s="901"/>
      <c r="TGX527" s="901"/>
      <c r="TGY527" s="901"/>
      <c r="TGZ527" s="901"/>
      <c r="THA527" s="901"/>
      <c r="THB527" s="901"/>
      <c r="THC527" s="901"/>
      <c r="THD527" s="901"/>
      <c r="THE527" s="901"/>
      <c r="THF527" s="901"/>
      <c r="THG527" s="901"/>
      <c r="THH527" s="901"/>
      <c r="THI527" s="901"/>
      <c r="THJ527" s="901"/>
      <c r="THK527" s="901"/>
      <c r="THL527" s="901"/>
      <c r="THM527" s="901"/>
      <c r="THN527" s="901"/>
      <c r="THO527" s="901"/>
      <c r="THP527" s="901"/>
      <c r="THQ527" s="901"/>
      <c r="THR527" s="901"/>
      <c r="THS527" s="901"/>
      <c r="THT527" s="901"/>
      <c r="THU527" s="901"/>
      <c r="THV527" s="901"/>
      <c r="THW527" s="901"/>
      <c r="THX527" s="901"/>
      <c r="THY527" s="901"/>
      <c r="THZ527" s="901"/>
      <c r="TIA527" s="901"/>
      <c r="TIB527" s="901"/>
      <c r="TIC527" s="901"/>
      <c r="TID527" s="901"/>
      <c r="TIE527" s="901"/>
      <c r="TIF527" s="901"/>
      <c r="TIG527" s="901"/>
      <c r="TIH527" s="901"/>
      <c r="TII527" s="901"/>
      <c r="TIJ527" s="901"/>
      <c r="TIK527" s="901"/>
      <c r="TIL527" s="901"/>
      <c r="TIM527" s="901"/>
      <c r="TIN527" s="901"/>
      <c r="TIO527" s="901"/>
      <c r="TIP527" s="901"/>
      <c r="TIQ527" s="901"/>
      <c r="TIR527" s="901"/>
      <c r="TIS527" s="901"/>
      <c r="TIT527" s="901"/>
      <c r="TIU527" s="901"/>
      <c r="TIV527" s="901"/>
      <c r="TIW527" s="901"/>
      <c r="TIX527" s="901"/>
      <c r="TIY527" s="901"/>
      <c r="TIZ527" s="901"/>
      <c r="TJA527" s="901"/>
      <c r="TJB527" s="901"/>
      <c r="TJC527" s="901"/>
      <c r="TJD527" s="901"/>
      <c r="TJE527" s="901"/>
      <c r="TJF527" s="901"/>
      <c r="TJG527" s="901"/>
      <c r="TJH527" s="901"/>
      <c r="TJI527" s="901"/>
      <c r="TJJ527" s="901"/>
      <c r="TJK527" s="901"/>
      <c r="TJL527" s="901"/>
      <c r="TJM527" s="901"/>
      <c r="TJN527" s="901"/>
      <c r="TJO527" s="901"/>
      <c r="TJP527" s="901"/>
      <c r="TJQ527" s="901"/>
      <c r="TJR527" s="901"/>
      <c r="TJS527" s="901"/>
      <c r="TJT527" s="901"/>
      <c r="TJU527" s="901"/>
      <c r="TJV527" s="901"/>
      <c r="TJW527" s="901"/>
      <c r="TJX527" s="901"/>
      <c r="TJY527" s="901"/>
      <c r="TJZ527" s="901"/>
      <c r="TKA527" s="901"/>
      <c r="TKB527" s="901"/>
      <c r="TKC527" s="901"/>
      <c r="TKD527" s="901"/>
      <c r="TKE527" s="901"/>
      <c r="TKF527" s="901"/>
      <c r="TKG527" s="901"/>
      <c r="TKH527" s="901"/>
      <c r="TKI527" s="901"/>
      <c r="TKJ527" s="901"/>
      <c r="TKK527" s="901"/>
      <c r="TKL527" s="901"/>
      <c r="TKM527" s="901"/>
      <c r="TKN527" s="901"/>
      <c r="TKO527" s="901"/>
      <c r="TKP527" s="901"/>
      <c r="TKQ527" s="901"/>
      <c r="TKR527" s="901"/>
      <c r="TKS527" s="901"/>
      <c r="TKT527" s="901"/>
      <c r="TKU527" s="901"/>
      <c r="TKV527" s="901"/>
      <c r="TKW527" s="901"/>
      <c r="TKX527" s="901"/>
      <c r="TKY527" s="901"/>
      <c r="TKZ527" s="901"/>
      <c r="TLA527" s="901"/>
      <c r="TLB527" s="901"/>
      <c r="TLC527" s="901"/>
      <c r="TLD527" s="901"/>
      <c r="TLE527" s="901"/>
      <c r="TLF527" s="901"/>
      <c r="TLG527" s="901"/>
      <c r="TLH527" s="901"/>
      <c r="TLI527" s="901"/>
      <c r="TLJ527" s="901"/>
      <c r="TLK527" s="901"/>
      <c r="TLL527" s="901"/>
      <c r="TLM527" s="901"/>
      <c r="TLN527" s="901"/>
      <c r="TLO527" s="901"/>
      <c r="TLP527" s="901"/>
      <c r="TLQ527" s="901"/>
      <c r="TLR527" s="901"/>
      <c r="TLS527" s="901"/>
      <c r="TLT527" s="901"/>
      <c r="TLU527" s="901"/>
      <c r="TLV527" s="901"/>
      <c r="TLW527" s="901"/>
      <c r="TLX527" s="901"/>
      <c r="TLY527" s="901"/>
      <c r="TLZ527" s="901"/>
      <c r="TMA527" s="901"/>
      <c r="TMB527" s="901"/>
      <c r="TMC527" s="901"/>
      <c r="TMD527" s="901"/>
      <c r="TME527" s="901"/>
      <c r="TMF527" s="901"/>
      <c r="TMG527" s="901"/>
      <c r="TMH527" s="901"/>
      <c r="TMI527" s="901"/>
      <c r="TMJ527" s="901"/>
      <c r="TMK527" s="901"/>
      <c r="TML527" s="901"/>
      <c r="TMM527" s="901"/>
      <c r="TMN527" s="901"/>
      <c r="TMO527" s="901"/>
      <c r="TMP527" s="901"/>
      <c r="TMQ527" s="901"/>
      <c r="TMR527" s="901"/>
      <c r="TMS527" s="901"/>
      <c r="TMT527" s="901"/>
      <c r="TMU527" s="901"/>
      <c r="TMV527" s="901"/>
      <c r="TMW527" s="901"/>
      <c r="TMX527" s="901"/>
      <c r="TMY527" s="901"/>
      <c r="TMZ527" s="901"/>
      <c r="TNA527" s="901"/>
      <c r="TNB527" s="901"/>
      <c r="TNC527" s="901"/>
      <c r="TND527" s="901"/>
      <c r="TNE527" s="901"/>
      <c r="TNF527" s="901"/>
      <c r="TNG527" s="901"/>
      <c r="TNH527" s="901"/>
      <c r="TNI527" s="901"/>
      <c r="TNJ527" s="901"/>
      <c r="TNK527" s="901"/>
      <c r="TNL527" s="901"/>
      <c r="TNM527" s="901"/>
      <c r="TNN527" s="901"/>
      <c r="TNO527" s="901"/>
      <c r="TNP527" s="901"/>
      <c r="TNQ527" s="901"/>
      <c r="TNR527" s="901"/>
      <c r="TNS527" s="901"/>
      <c r="TNT527" s="901"/>
      <c r="TNU527" s="901"/>
      <c r="TNV527" s="901"/>
      <c r="TNW527" s="901"/>
      <c r="TNX527" s="901"/>
      <c r="TNY527" s="901"/>
      <c r="TNZ527" s="901"/>
      <c r="TOA527" s="901"/>
      <c r="TOB527" s="901"/>
      <c r="TOC527" s="901"/>
      <c r="TOD527" s="901"/>
      <c r="TOE527" s="901"/>
      <c r="TOF527" s="901"/>
      <c r="TOG527" s="901"/>
      <c r="TOH527" s="901"/>
      <c r="TOI527" s="901"/>
      <c r="TOJ527" s="901"/>
      <c r="TOK527" s="901"/>
      <c r="TOL527" s="901"/>
      <c r="TOM527" s="901"/>
      <c r="TON527" s="901"/>
      <c r="TOO527" s="901"/>
      <c r="TOP527" s="901"/>
      <c r="TOQ527" s="901"/>
      <c r="TOR527" s="901"/>
      <c r="TOS527" s="901"/>
      <c r="TOT527" s="901"/>
      <c r="TOU527" s="901"/>
      <c r="TOV527" s="901"/>
      <c r="TOW527" s="901"/>
      <c r="TOX527" s="901"/>
      <c r="TOY527" s="901"/>
      <c r="TOZ527" s="901"/>
      <c r="TPA527" s="901"/>
      <c r="TPB527" s="901"/>
      <c r="TPC527" s="901"/>
      <c r="TPD527" s="901"/>
      <c r="TPE527" s="901"/>
      <c r="TPF527" s="901"/>
      <c r="TPG527" s="901"/>
      <c r="TPH527" s="901"/>
      <c r="TPI527" s="901"/>
      <c r="TPJ527" s="901"/>
      <c r="TPK527" s="901"/>
      <c r="TPL527" s="901"/>
      <c r="TPM527" s="901"/>
      <c r="TPN527" s="901"/>
      <c r="TPO527" s="901"/>
      <c r="TPP527" s="901"/>
      <c r="TPQ527" s="901"/>
      <c r="TPR527" s="901"/>
      <c r="TPS527" s="901"/>
      <c r="TPT527" s="901"/>
      <c r="TPU527" s="901"/>
      <c r="TPV527" s="901"/>
      <c r="TPW527" s="901"/>
      <c r="TPX527" s="901"/>
      <c r="TPY527" s="901"/>
      <c r="TPZ527" s="901"/>
      <c r="TQA527" s="901"/>
      <c r="TQB527" s="901"/>
      <c r="TQC527" s="901"/>
      <c r="TQD527" s="901"/>
      <c r="TQE527" s="901"/>
      <c r="TQF527" s="901"/>
      <c r="TQG527" s="901"/>
      <c r="TQH527" s="901"/>
      <c r="TQI527" s="901"/>
      <c r="TQJ527" s="901"/>
      <c r="TQK527" s="901"/>
      <c r="TQL527" s="901"/>
      <c r="TQM527" s="901"/>
      <c r="TQN527" s="901"/>
      <c r="TQO527" s="901"/>
      <c r="TQP527" s="901"/>
      <c r="TQQ527" s="901"/>
      <c r="TQR527" s="901"/>
      <c r="TQS527" s="901"/>
      <c r="TQT527" s="901"/>
      <c r="TQU527" s="901"/>
      <c r="TQV527" s="901"/>
      <c r="TQW527" s="901"/>
      <c r="TQX527" s="901"/>
      <c r="TQY527" s="901"/>
      <c r="TQZ527" s="901"/>
      <c r="TRA527" s="901"/>
      <c r="TRB527" s="901"/>
      <c r="TRC527" s="901"/>
      <c r="TRD527" s="901"/>
      <c r="TRE527" s="901"/>
      <c r="TRF527" s="901"/>
      <c r="TRG527" s="901"/>
      <c r="TRH527" s="901"/>
      <c r="TRI527" s="901"/>
      <c r="TRJ527" s="901"/>
      <c r="TRK527" s="901"/>
      <c r="TRL527" s="901"/>
      <c r="TRM527" s="901"/>
      <c r="TRN527" s="901"/>
      <c r="TRO527" s="901"/>
      <c r="TRP527" s="901"/>
      <c r="TRQ527" s="901"/>
      <c r="TRR527" s="901"/>
      <c r="TRS527" s="901"/>
      <c r="TRT527" s="901"/>
      <c r="TRU527" s="901"/>
      <c r="TRV527" s="901"/>
      <c r="TRW527" s="901"/>
      <c r="TRX527" s="901"/>
      <c r="TRY527" s="901"/>
      <c r="TRZ527" s="901"/>
      <c r="TSA527" s="901"/>
      <c r="TSB527" s="901"/>
      <c r="TSC527" s="901"/>
      <c r="TSD527" s="901"/>
      <c r="TSE527" s="901"/>
      <c r="TSF527" s="901"/>
      <c r="TSG527" s="901"/>
      <c r="TSH527" s="901"/>
      <c r="TSI527" s="901"/>
      <c r="TSJ527" s="901"/>
      <c r="TSK527" s="901"/>
      <c r="TSL527" s="901"/>
      <c r="TSM527" s="901"/>
      <c r="TSN527" s="901"/>
      <c r="TSO527" s="901"/>
      <c r="TSP527" s="901"/>
      <c r="TSQ527" s="901"/>
      <c r="TSR527" s="901"/>
      <c r="TSS527" s="901"/>
      <c r="TST527" s="901"/>
      <c r="TSU527" s="901"/>
      <c r="TSV527" s="901"/>
      <c r="TSW527" s="901"/>
      <c r="TSX527" s="901"/>
      <c r="TSY527" s="901"/>
      <c r="TSZ527" s="901"/>
      <c r="TTA527" s="901"/>
      <c r="TTB527" s="901"/>
      <c r="TTC527" s="901"/>
      <c r="TTD527" s="901"/>
      <c r="TTE527" s="901"/>
      <c r="TTF527" s="901"/>
      <c r="TTG527" s="901"/>
      <c r="TTH527" s="901"/>
      <c r="TTI527" s="901"/>
      <c r="TTJ527" s="901"/>
      <c r="TTK527" s="901"/>
      <c r="TTL527" s="901"/>
      <c r="TTM527" s="901"/>
      <c r="TTN527" s="901"/>
      <c r="TTO527" s="901"/>
      <c r="TTP527" s="901"/>
      <c r="TTQ527" s="901"/>
      <c r="TTR527" s="901"/>
      <c r="TTS527" s="901"/>
      <c r="TTT527" s="901"/>
      <c r="TTU527" s="901"/>
      <c r="TTV527" s="901"/>
      <c r="TTW527" s="901"/>
      <c r="TTX527" s="901"/>
      <c r="TTY527" s="901"/>
      <c r="TTZ527" s="901"/>
      <c r="TUA527" s="901"/>
      <c r="TUB527" s="901"/>
      <c r="TUC527" s="901"/>
      <c r="TUD527" s="901"/>
      <c r="TUE527" s="901"/>
      <c r="TUF527" s="901"/>
      <c r="TUG527" s="901"/>
      <c r="TUH527" s="901"/>
      <c r="TUI527" s="901"/>
      <c r="TUJ527" s="901"/>
      <c r="TUK527" s="901"/>
      <c r="TUL527" s="901"/>
      <c r="TUM527" s="901"/>
      <c r="TUN527" s="901"/>
      <c r="TUO527" s="901"/>
      <c r="TUP527" s="901"/>
      <c r="TUQ527" s="901"/>
      <c r="TUR527" s="901"/>
      <c r="TUS527" s="901"/>
      <c r="TUT527" s="901"/>
      <c r="TUU527" s="901"/>
      <c r="TUV527" s="901"/>
      <c r="TUW527" s="901"/>
      <c r="TUX527" s="901"/>
      <c r="TUY527" s="901"/>
      <c r="TUZ527" s="901"/>
      <c r="TVA527" s="901"/>
      <c r="TVB527" s="901"/>
      <c r="TVC527" s="901"/>
      <c r="TVD527" s="901"/>
      <c r="TVE527" s="901"/>
      <c r="TVF527" s="901"/>
      <c r="TVG527" s="901"/>
      <c r="TVH527" s="901"/>
      <c r="TVI527" s="901"/>
      <c r="TVJ527" s="901"/>
      <c r="TVK527" s="901"/>
      <c r="TVL527" s="901"/>
      <c r="TVM527" s="901"/>
      <c r="TVN527" s="901"/>
      <c r="TVO527" s="901"/>
      <c r="TVP527" s="901"/>
      <c r="TVQ527" s="901"/>
      <c r="TVR527" s="901"/>
      <c r="TVS527" s="901"/>
      <c r="TVT527" s="901"/>
      <c r="TVU527" s="901"/>
      <c r="TVV527" s="901"/>
      <c r="TVW527" s="901"/>
      <c r="TVX527" s="901"/>
      <c r="TVY527" s="901"/>
      <c r="TVZ527" s="901"/>
      <c r="TWA527" s="901"/>
      <c r="TWB527" s="901"/>
      <c r="TWC527" s="901"/>
      <c r="TWD527" s="901"/>
      <c r="TWE527" s="901"/>
      <c r="TWF527" s="901"/>
      <c r="TWG527" s="901"/>
      <c r="TWH527" s="901"/>
      <c r="TWI527" s="901"/>
      <c r="TWJ527" s="901"/>
      <c r="TWK527" s="901"/>
      <c r="TWL527" s="901"/>
      <c r="TWM527" s="901"/>
      <c r="TWN527" s="901"/>
      <c r="TWO527" s="901"/>
      <c r="TWP527" s="901"/>
      <c r="TWQ527" s="901"/>
      <c r="TWR527" s="901"/>
      <c r="TWS527" s="901"/>
      <c r="TWT527" s="901"/>
      <c r="TWU527" s="901"/>
      <c r="TWV527" s="901"/>
      <c r="TWW527" s="901"/>
      <c r="TWX527" s="901"/>
      <c r="TWY527" s="901"/>
      <c r="TWZ527" s="901"/>
      <c r="TXA527" s="901"/>
      <c r="TXB527" s="901"/>
      <c r="TXC527" s="901"/>
      <c r="TXD527" s="901"/>
      <c r="TXE527" s="901"/>
      <c r="TXF527" s="901"/>
      <c r="TXG527" s="901"/>
      <c r="TXH527" s="901"/>
      <c r="TXI527" s="901"/>
      <c r="TXJ527" s="901"/>
      <c r="TXK527" s="901"/>
      <c r="TXL527" s="901"/>
      <c r="TXM527" s="901"/>
      <c r="TXN527" s="901"/>
      <c r="TXO527" s="901"/>
      <c r="TXP527" s="901"/>
      <c r="TXQ527" s="901"/>
      <c r="TXR527" s="901"/>
      <c r="TXS527" s="901"/>
      <c r="TXT527" s="901"/>
      <c r="TXU527" s="901"/>
      <c r="TXV527" s="901"/>
      <c r="TXW527" s="901"/>
      <c r="TXX527" s="901"/>
      <c r="TXY527" s="901"/>
      <c r="TXZ527" s="901"/>
      <c r="TYA527" s="901"/>
      <c r="TYB527" s="901"/>
      <c r="TYC527" s="901"/>
      <c r="TYD527" s="901"/>
      <c r="TYE527" s="901"/>
      <c r="TYF527" s="901"/>
      <c r="TYG527" s="901"/>
      <c r="TYH527" s="901"/>
      <c r="TYI527" s="901"/>
      <c r="TYJ527" s="901"/>
      <c r="TYK527" s="901"/>
      <c r="TYL527" s="901"/>
      <c r="TYM527" s="901"/>
      <c r="TYN527" s="901"/>
      <c r="TYO527" s="901"/>
      <c r="TYP527" s="901"/>
      <c r="TYQ527" s="901"/>
      <c r="TYR527" s="901"/>
      <c r="TYS527" s="901"/>
      <c r="TYT527" s="901"/>
      <c r="TYU527" s="901"/>
      <c r="TYV527" s="901"/>
      <c r="TYW527" s="901"/>
      <c r="TYX527" s="901"/>
      <c r="TYY527" s="901"/>
      <c r="TYZ527" s="901"/>
      <c r="TZA527" s="901"/>
      <c r="TZB527" s="901"/>
      <c r="TZC527" s="901"/>
      <c r="TZD527" s="901"/>
      <c r="TZE527" s="901"/>
      <c r="TZF527" s="901"/>
      <c r="TZG527" s="901"/>
      <c r="TZH527" s="901"/>
      <c r="TZI527" s="901"/>
      <c r="TZJ527" s="901"/>
      <c r="TZK527" s="901"/>
      <c r="TZL527" s="901"/>
      <c r="TZM527" s="901"/>
      <c r="TZN527" s="901"/>
      <c r="TZO527" s="901"/>
      <c r="TZP527" s="901"/>
      <c r="TZQ527" s="901"/>
      <c r="TZR527" s="901"/>
      <c r="TZS527" s="901"/>
      <c r="TZT527" s="901"/>
      <c r="TZU527" s="901"/>
      <c r="TZV527" s="901"/>
      <c r="TZW527" s="901"/>
      <c r="TZX527" s="901"/>
      <c r="TZY527" s="901"/>
      <c r="TZZ527" s="901"/>
      <c r="UAA527" s="901"/>
      <c r="UAB527" s="901"/>
      <c r="UAC527" s="901"/>
      <c r="UAD527" s="901"/>
      <c r="UAE527" s="901"/>
      <c r="UAF527" s="901"/>
      <c r="UAG527" s="901"/>
      <c r="UAH527" s="901"/>
      <c r="UAI527" s="901"/>
      <c r="UAJ527" s="901"/>
      <c r="UAK527" s="901"/>
      <c r="UAL527" s="901"/>
      <c r="UAM527" s="901"/>
      <c r="UAN527" s="901"/>
      <c r="UAO527" s="901"/>
      <c r="UAP527" s="901"/>
      <c r="UAQ527" s="901"/>
      <c r="UAR527" s="901"/>
      <c r="UAS527" s="901"/>
      <c r="UAT527" s="901"/>
      <c r="UAU527" s="901"/>
      <c r="UAV527" s="901"/>
      <c r="UAW527" s="901"/>
      <c r="UAX527" s="901"/>
      <c r="UAY527" s="901"/>
      <c r="UAZ527" s="901"/>
      <c r="UBA527" s="901"/>
      <c r="UBB527" s="901"/>
      <c r="UBC527" s="901"/>
      <c r="UBD527" s="901"/>
      <c r="UBE527" s="901"/>
      <c r="UBF527" s="901"/>
      <c r="UBG527" s="901"/>
      <c r="UBH527" s="901"/>
      <c r="UBI527" s="901"/>
      <c r="UBJ527" s="901"/>
      <c r="UBK527" s="901"/>
      <c r="UBL527" s="901"/>
      <c r="UBM527" s="901"/>
      <c r="UBN527" s="901"/>
      <c r="UBO527" s="901"/>
      <c r="UBP527" s="901"/>
      <c r="UBQ527" s="901"/>
      <c r="UBR527" s="901"/>
      <c r="UBS527" s="901"/>
      <c r="UBT527" s="901"/>
      <c r="UBU527" s="901"/>
      <c r="UBV527" s="901"/>
      <c r="UBW527" s="901"/>
      <c r="UBX527" s="901"/>
      <c r="UBY527" s="901"/>
      <c r="UBZ527" s="901"/>
      <c r="UCA527" s="901"/>
      <c r="UCB527" s="901"/>
      <c r="UCC527" s="901"/>
      <c r="UCD527" s="901"/>
      <c r="UCE527" s="901"/>
      <c r="UCF527" s="901"/>
      <c r="UCG527" s="901"/>
      <c r="UCH527" s="901"/>
      <c r="UCI527" s="901"/>
      <c r="UCJ527" s="901"/>
      <c r="UCK527" s="901"/>
      <c r="UCL527" s="901"/>
      <c r="UCM527" s="901"/>
      <c r="UCN527" s="901"/>
      <c r="UCO527" s="901"/>
      <c r="UCP527" s="901"/>
      <c r="UCQ527" s="901"/>
      <c r="UCR527" s="901"/>
      <c r="UCS527" s="901"/>
      <c r="UCT527" s="901"/>
      <c r="UCU527" s="901"/>
      <c r="UCV527" s="901"/>
      <c r="UCW527" s="901"/>
      <c r="UCX527" s="901"/>
      <c r="UCY527" s="901"/>
      <c r="UCZ527" s="901"/>
      <c r="UDA527" s="901"/>
      <c r="UDB527" s="901"/>
      <c r="UDC527" s="901"/>
      <c r="UDD527" s="901"/>
      <c r="UDE527" s="901"/>
      <c r="UDF527" s="901"/>
      <c r="UDG527" s="901"/>
      <c r="UDH527" s="901"/>
      <c r="UDI527" s="901"/>
      <c r="UDJ527" s="901"/>
      <c r="UDK527" s="901"/>
      <c r="UDL527" s="901"/>
      <c r="UDM527" s="901"/>
      <c r="UDN527" s="901"/>
      <c r="UDO527" s="901"/>
      <c r="UDP527" s="901"/>
      <c r="UDQ527" s="901"/>
      <c r="UDR527" s="901"/>
      <c r="UDS527" s="901"/>
      <c r="UDT527" s="901"/>
      <c r="UDU527" s="901"/>
      <c r="UDV527" s="901"/>
      <c r="UDW527" s="901"/>
      <c r="UDX527" s="901"/>
      <c r="UDY527" s="901"/>
      <c r="UDZ527" s="901"/>
      <c r="UEA527" s="901"/>
      <c r="UEB527" s="901"/>
      <c r="UEC527" s="901"/>
      <c r="UED527" s="901"/>
      <c r="UEE527" s="901"/>
      <c r="UEF527" s="901"/>
      <c r="UEG527" s="901"/>
      <c r="UEH527" s="901"/>
      <c r="UEI527" s="901"/>
      <c r="UEJ527" s="901"/>
      <c r="UEK527" s="901"/>
      <c r="UEL527" s="901"/>
      <c r="UEM527" s="901"/>
      <c r="UEN527" s="901"/>
      <c r="UEO527" s="901"/>
      <c r="UEP527" s="901"/>
      <c r="UEQ527" s="901"/>
      <c r="UER527" s="901"/>
      <c r="UES527" s="901"/>
      <c r="UET527" s="901"/>
      <c r="UEU527" s="901"/>
      <c r="UEV527" s="901"/>
      <c r="UEW527" s="901"/>
      <c r="UEX527" s="901"/>
      <c r="UEY527" s="901"/>
      <c r="UEZ527" s="901"/>
      <c r="UFA527" s="901"/>
      <c r="UFB527" s="901"/>
      <c r="UFC527" s="901"/>
      <c r="UFD527" s="901"/>
      <c r="UFE527" s="901"/>
      <c r="UFF527" s="901"/>
      <c r="UFG527" s="901"/>
      <c r="UFH527" s="901"/>
      <c r="UFI527" s="901"/>
      <c r="UFJ527" s="901"/>
      <c r="UFK527" s="901"/>
      <c r="UFL527" s="901"/>
      <c r="UFM527" s="901"/>
      <c r="UFN527" s="901"/>
      <c r="UFO527" s="901"/>
      <c r="UFP527" s="901"/>
      <c r="UFQ527" s="901"/>
      <c r="UFR527" s="901"/>
      <c r="UFS527" s="901"/>
      <c r="UFT527" s="901"/>
      <c r="UFU527" s="901"/>
      <c r="UFV527" s="901"/>
      <c r="UFW527" s="901"/>
      <c r="UFX527" s="901"/>
      <c r="UFY527" s="901"/>
      <c r="UFZ527" s="901"/>
      <c r="UGA527" s="901"/>
      <c r="UGB527" s="901"/>
      <c r="UGC527" s="901"/>
      <c r="UGD527" s="901"/>
      <c r="UGE527" s="901"/>
      <c r="UGF527" s="901"/>
      <c r="UGG527" s="901"/>
      <c r="UGH527" s="901"/>
      <c r="UGI527" s="901"/>
      <c r="UGJ527" s="901"/>
      <c r="UGK527" s="901"/>
      <c r="UGL527" s="901"/>
      <c r="UGM527" s="901"/>
      <c r="UGN527" s="901"/>
      <c r="UGO527" s="901"/>
      <c r="UGP527" s="901"/>
      <c r="UGQ527" s="901"/>
      <c r="UGR527" s="901"/>
      <c r="UGS527" s="901"/>
      <c r="UGT527" s="901"/>
      <c r="UGU527" s="901"/>
      <c r="UGV527" s="901"/>
      <c r="UGW527" s="901"/>
      <c r="UGX527" s="901"/>
      <c r="UGY527" s="901"/>
      <c r="UGZ527" s="901"/>
      <c r="UHA527" s="901"/>
      <c r="UHB527" s="901"/>
      <c r="UHC527" s="901"/>
      <c r="UHD527" s="901"/>
      <c r="UHE527" s="901"/>
      <c r="UHF527" s="901"/>
      <c r="UHG527" s="901"/>
      <c r="UHH527" s="901"/>
      <c r="UHI527" s="901"/>
      <c r="UHJ527" s="901"/>
      <c r="UHK527" s="901"/>
      <c r="UHL527" s="901"/>
      <c r="UHM527" s="901"/>
      <c r="UHN527" s="901"/>
      <c r="UHO527" s="901"/>
      <c r="UHP527" s="901"/>
      <c r="UHQ527" s="901"/>
      <c r="UHR527" s="901"/>
      <c r="UHS527" s="901"/>
      <c r="UHT527" s="901"/>
      <c r="UHU527" s="901"/>
      <c r="UHV527" s="901"/>
      <c r="UHW527" s="901"/>
      <c r="UHX527" s="901"/>
      <c r="UHY527" s="901"/>
      <c r="UHZ527" s="901"/>
      <c r="UIA527" s="901"/>
      <c r="UIB527" s="901"/>
      <c r="UIC527" s="901"/>
      <c r="UID527" s="901"/>
      <c r="UIE527" s="901"/>
      <c r="UIF527" s="901"/>
      <c r="UIG527" s="901"/>
      <c r="UIH527" s="901"/>
      <c r="UII527" s="901"/>
      <c r="UIJ527" s="901"/>
      <c r="UIK527" s="901"/>
      <c r="UIL527" s="901"/>
      <c r="UIM527" s="901"/>
      <c r="UIN527" s="901"/>
      <c r="UIO527" s="901"/>
      <c r="UIP527" s="901"/>
      <c r="UIQ527" s="901"/>
      <c r="UIR527" s="901"/>
      <c r="UIS527" s="901"/>
      <c r="UIT527" s="901"/>
      <c r="UIU527" s="901"/>
      <c r="UIV527" s="901"/>
      <c r="UIW527" s="901"/>
      <c r="UIX527" s="901"/>
      <c r="UIY527" s="901"/>
      <c r="UIZ527" s="901"/>
      <c r="UJA527" s="901"/>
      <c r="UJB527" s="901"/>
      <c r="UJC527" s="901"/>
      <c r="UJD527" s="901"/>
      <c r="UJE527" s="901"/>
      <c r="UJF527" s="901"/>
      <c r="UJG527" s="901"/>
      <c r="UJH527" s="901"/>
      <c r="UJI527" s="901"/>
      <c r="UJJ527" s="901"/>
      <c r="UJK527" s="901"/>
      <c r="UJL527" s="901"/>
      <c r="UJM527" s="901"/>
      <c r="UJN527" s="901"/>
      <c r="UJO527" s="901"/>
      <c r="UJP527" s="901"/>
      <c r="UJQ527" s="901"/>
      <c r="UJR527" s="901"/>
      <c r="UJS527" s="901"/>
      <c r="UJT527" s="901"/>
      <c r="UJU527" s="901"/>
      <c r="UJV527" s="901"/>
      <c r="UJW527" s="901"/>
      <c r="UJX527" s="901"/>
      <c r="UJY527" s="901"/>
      <c r="UJZ527" s="901"/>
      <c r="UKA527" s="901"/>
      <c r="UKB527" s="901"/>
      <c r="UKC527" s="901"/>
      <c r="UKD527" s="901"/>
      <c r="UKE527" s="901"/>
      <c r="UKF527" s="901"/>
      <c r="UKG527" s="901"/>
      <c r="UKH527" s="901"/>
      <c r="UKI527" s="901"/>
      <c r="UKJ527" s="901"/>
      <c r="UKK527" s="901"/>
      <c r="UKL527" s="901"/>
      <c r="UKM527" s="901"/>
      <c r="UKN527" s="901"/>
      <c r="UKO527" s="901"/>
      <c r="UKP527" s="901"/>
      <c r="UKQ527" s="901"/>
      <c r="UKR527" s="901"/>
      <c r="UKS527" s="901"/>
      <c r="UKT527" s="901"/>
      <c r="UKU527" s="901"/>
      <c r="UKV527" s="901"/>
      <c r="UKW527" s="901"/>
      <c r="UKX527" s="901"/>
      <c r="UKY527" s="901"/>
      <c r="UKZ527" s="901"/>
      <c r="ULA527" s="901"/>
      <c r="ULB527" s="901"/>
      <c r="ULC527" s="901"/>
      <c r="ULD527" s="901"/>
      <c r="ULE527" s="901"/>
      <c r="ULF527" s="901"/>
      <c r="ULG527" s="901"/>
      <c r="ULH527" s="901"/>
      <c r="ULI527" s="901"/>
      <c r="ULJ527" s="901"/>
      <c r="ULK527" s="901"/>
      <c r="ULL527" s="901"/>
      <c r="ULM527" s="901"/>
      <c r="ULN527" s="901"/>
      <c r="ULO527" s="901"/>
      <c r="ULP527" s="901"/>
      <c r="ULQ527" s="901"/>
      <c r="ULR527" s="901"/>
      <c r="ULS527" s="901"/>
      <c r="ULT527" s="901"/>
      <c r="ULU527" s="901"/>
      <c r="ULV527" s="901"/>
      <c r="ULW527" s="901"/>
      <c r="ULX527" s="901"/>
      <c r="ULY527" s="901"/>
      <c r="ULZ527" s="901"/>
      <c r="UMA527" s="901"/>
      <c r="UMB527" s="901"/>
      <c r="UMC527" s="901"/>
      <c r="UMD527" s="901"/>
      <c r="UME527" s="901"/>
      <c r="UMF527" s="901"/>
      <c r="UMG527" s="901"/>
      <c r="UMH527" s="901"/>
      <c r="UMI527" s="901"/>
      <c r="UMJ527" s="901"/>
      <c r="UMK527" s="901"/>
      <c r="UML527" s="901"/>
      <c r="UMM527" s="901"/>
      <c r="UMN527" s="901"/>
      <c r="UMO527" s="901"/>
      <c r="UMP527" s="901"/>
      <c r="UMQ527" s="901"/>
      <c r="UMR527" s="901"/>
      <c r="UMS527" s="901"/>
      <c r="UMT527" s="901"/>
      <c r="UMU527" s="901"/>
      <c r="UMV527" s="901"/>
      <c r="UMW527" s="901"/>
      <c r="UMX527" s="901"/>
      <c r="UMY527" s="901"/>
      <c r="UMZ527" s="901"/>
      <c r="UNA527" s="901"/>
      <c r="UNB527" s="901"/>
      <c r="UNC527" s="901"/>
      <c r="UND527" s="901"/>
      <c r="UNE527" s="901"/>
      <c r="UNF527" s="901"/>
      <c r="UNG527" s="901"/>
      <c r="UNH527" s="901"/>
      <c r="UNI527" s="901"/>
      <c r="UNJ527" s="901"/>
      <c r="UNK527" s="901"/>
      <c r="UNL527" s="901"/>
      <c r="UNM527" s="901"/>
      <c r="UNN527" s="901"/>
      <c r="UNO527" s="901"/>
      <c r="UNP527" s="901"/>
      <c r="UNQ527" s="901"/>
      <c r="UNR527" s="901"/>
      <c r="UNS527" s="901"/>
      <c r="UNT527" s="901"/>
      <c r="UNU527" s="901"/>
      <c r="UNV527" s="901"/>
      <c r="UNW527" s="901"/>
      <c r="UNX527" s="901"/>
      <c r="UNY527" s="901"/>
      <c r="UNZ527" s="901"/>
      <c r="UOA527" s="901"/>
      <c r="UOB527" s="901"/>
      <c r="UOC527" s="901"/>
      <c r="UOD527" s="901"/>
      <c r="UOE527" s="901"/>
      <c r="UOF527" s="901"/>
      <c r="UOG527" s="901"/>
      <c r="UOH527" s="901"/>
      <c r="UOI527" s="901"/>
      <c r="UOJ527" s="901"/>
      <c r="UOK527" s="901"/>
      <c r="UOL527" s="901"/>
      <c r="UOM527" s="901"/>
      <c r="UON527" s="901"/>
      <c r="UOO527" s="901"/>
      <c r="UOP527" s="901"/>
      <c r="UOQ527" s="901"/>
      <c r="UOR527" s="901"/>
      <c r="UOS527" s="901"/>
      <c r="UOT527" s="901"/>
      <c r="UOU527" s="901"/>
      <c r="UOV527" s="901"/>
      <c r="UOW527" s="901"/>
      <c r="UOX527" s="901"/>
      <c r="UOY527" s="901"/>
      <c r="UOZ527" s="901"/>
      <c r="UPA527" s="901"/>
      <c r="UPB527" s="901"/>
      <c r="UPC527" s="901"/>
      <c r="UPD527" s="901"/>
      <c r="UPE527" s="901"/>
      <c r="UPF527" s="901"/>
      <c r="UPG527" s="901"/>
      <c r="UPH527" s="901"/>
      <c r="UPI527" s="901"/>
      <c r="UPJ527" s="901"/>
      <c r="UPK527" s="901"/>
      <c r="UPL527" s="901"/>
      <c r="UPM527" s="901"/>
      <c r="UPN527" s="901"/>
      <c r="UPO527" s="901"/>
      <c r="UPP527" s="901"/>
      <c r="UPQ527" s="901"/>
      <c r="UPR527" s="901"/>
      <c r="UPS527" s="901"/>
      <c r="UPT527" s="901"/>
      <c r="UPU527" s="901"/>
      <c r="UPV527" s="901"/>
      <c r="UPW527" s="901"/>
      <c r="UPX527" s="901"/>
      <c r="UPY527" s="901"/>
      <c r="UPZ527" s="901"/>
      <c r="UQA527" s="901"/>
      <c r="UQB527" s="901"/>
      <c r="UQC527" s="901"/>
      <c r="UQD527" s="901"/>
      <c r="UQE527" s="901"/>
      <c r="UQF527" s="901"/>
      <c r="UQG527" s="901"/>
      <c r="UQH527" s="901"/>
      <c r="UQI527" s="901"/>
      <c r="UQJ527" s="901"/>
      <c r="UQK527" s="901"/>
      <c r="UQL527" s="901"/>
      <c r="UQM527" s="901"/>
      <c r="UQN527" s="901"/>
      <c r="UQO527" s="901"/>
      <c r="UQP527" s="901"/>
      <c r="UQQ527" s="901"/>
      <c r="UQR527" s="901"/>
      <c r="UQS527" s="901"/>
      <c r="UQT527" s="901"/>
      <c r="UQU527" s="901"/>
      <c r="UQV527" s="901"/>
      <c r="UQW527" s="901"/>
      <c r="UQX527" s="901"/>
      <c r="UQY527" s="901"/>
      <c r="UQZ527" s="901"/>
      <c r="URA527" s="901"/>
      <c r="URB527" s="901"/>
      <c r="URC527" s="901"/>
      <c r="URD527" s="901"/>
      <c r="URE527" s="901"/>
      <c r="URF527" s="901"/>
      <c r="URG527" s="901"/>
      <c r="URH527" s="901"/>
      <c r="URI527" s="901"/>
      <c r="URJ527" s="901"/>
      <c r="URK527" s="901"/>
      <c r="URL527" s="901"/>
      <c r="URM527" s="901"/>
      <c r="URN527" s="901"/>
      <c r="URO527" s="901"/>
      <c r="URP527" s="901"/>
      <c r="URQ527" s="901"/>
      <c r="URR527" s="901"/>
      <c r="URS527" s="901"/>
      <c r="URT527" s="901"/>
      <c r="URU527" s="901"/>
      <c r="URV527" s="901"/>
      <c r="URW527" s="901"/>
      <c r="URX527" s="901"/>
      <c r="URY527" s="901"/>
      <c r="URZ527" s="901"/>
      <c r="USA527" s="901"/>
      <c r="USB527" s="901"/>
      <c r="USC527" s="901"/>
      <c r="USD527" s="901"/>
      <c r="USE527" s="901"/>
      <c r="USF527" s="901"/>
      <c r="USG527" s="901"/>
      <c r="USH527" s="901"/>
      <c r="USI527" s="901"/>
      <c r="USJ527" s="901"/>
      <c r="USK527" s="901"/>
      <c r="USL527" s="901"/>
      <c r="USM527" s="901"/>
      <c r="USN527" s="901"/>
      <c r="USO527" s="901"/>
      <c r="USP527" s="901"/>
      <c r="USQ527" s="901"/>
      <c r="USR527" s="901"/>
      <c r="USS527" s="901"/>
      <c r="UST527" s="901"/>
      <c r="USU527" s="901"/>
      <c r="USV527" s="901"/>
      <c r="USW527" s="901"/>
      <c r="USX527" s="901"/>
      <c r="USY527" s="901"/>
      <c r="USZ527" s="901"/>
      <c r="UTA527" s="901"/>
      <c r="UTB527" s="901"/>
      <c r="UTC527" s="901"/>
      <c r="UTD527" s="901"/>
      <c r="UTE527" s="901"/>
      <c r="UTF527" s="901"/>
      <c r="UTG527" s="901"/>
      <c r="UTH527" s="901"/>
      <c r="UTI527" s="901"/>
      <c r="UTJ527" s="901"/>
      <c r="UTK527" s="901"/>
      <c r="UTL527" s="901"/>
      <c r="UTM527" s="901"/>
      <c r="UTN527" s="901"/>
      <c r="UTO527" s="901"/>
      <c r="UTP527" s="901"/>
      <c r="UTQ527" s="901"/>
      <c r="UTR527" s="901"/>
      <c r="UTS527" s="901"/>
      <c r="UTT527" s="901"/>
      <c r="UTU527" s="901"/>
      <c r="UTV527" s="901"/>
      <c r="UTW527" s="901"/>
      <c r="UTX527" s="901"/>
      <c r="UTY527" s="901"/>
      <c r="UTZ527" s="901"/>
      <c r="UUA527" s="901"/>
      <c r="UUB527" s="901"/>
      <c r="UUC527" s="901"/>
      <c r="UUD527" s="901"/>
      <c r="UUE527" s="901"/>
      <c r="UUF527" s="901"/>
      <c r="UUG527" s="901"/>
      <c r="UUH527" s="901"/>
      <c r="UUI527" s="901"/>
      <c r="UUJ527" s="901"/>
      <c r="UUK527" s="901"/>
      <c r="UUL527" s="901"/>
      <c r="UUM527" s="901"/>
      <c r="UUN527" s="901"/>
      <c r="UUO527" s="901"/>
      <c r="UUP527" s="901"/>
      <c r="UUQ527" s="901"/>
      <c r="UUR527" s="901"/>
      <c r="UUS527" s="901"/>
      <c r="UUT527" s="901"/>
      <c r="UUU527" s="901"/>
      <c r="UUV527" s="901"/>
      <c r="UUW527" s="901"/>
      <c r="UUX527" s="901"/>
      <c r="UUY527" s="901"/>
      <c r="UUZ527" s="901"/>
      <c r="UVA527" s="901"/>
      <c r="UVB527" s="901"/>
      <c r="UVC527" s="901"/>
      <c r="UVD527" s="901"/>
      <c r="UVE527" s="901"/>
      <c r="UVF527" s="901"/>
      <c r="UVG527" s="901"/>
      <c r="UVH527" s="901"/>
      <c r="UVI527" s="901"/>
      <c r="UVJ527" s="901"/>
      <c r="UVK527" s="901"/>
      <c r="UVL527" s="901"/>
      <c r="UVM527" s="901"/>
      <c r="UVN527" s="901"/>
      <c r="UVO527" s="901"/>
      <c r="UVP527" s="901"/>
      <c r="UVQ527" s="901"/>
      <c r="UVR527" s="901"/>
      <c r="UVS527" s="901"/>
      <c r="UVT527" s="901"/>
      <c r="UVU527" s="901"/>
      <c r="UVV527" s="901"/>
      <c r="UVW527" s="901"/>
      <c r="UVX527" s="901"/>
      <c r="UVY527" s="901"/>
      <c r="UVZ527" s="901"/>
      <c r="UWA527" s="901"/>
      <c r="UWB527" s="901"/>
      <c r="UWC527" s="901"/>
      <c r="UWD527" s="901"/>
      <c r="UWE527" s="901"/>
      <c r="UWF527" s="901"/>
      <c r="UWG527" s="901"/>
      <c r="UWH527" s="901"/>
      <c r="UWI527" s="901"/>
      <c r="UWJ527" s="901"/>
      <c r="UWK527" s="901"/>
      <c r="UWL527" s="901"/>
      <c r="UWM527" s="901"/>
      <c r="UWN527" s="901"/>
      <c r="UWO527" s="901"/>
      <c r="UWP527" s="901"/>
      <c r="UWQ527" s="901"/>
      <c r="UWR527" s="901"/>
      <c r="UWS527" s="901"/>
      <c r="UWT527" s="901"/>
      <c r="UWU527" s="901"/>
      <c r="UWV527" s="901"/>
      <c r="UWW527" s="901"/>
      <c r="UWX527" s="901"/>
      <c r="UWY527" s="901"/>
      <c r="UWZ527" s="901"/>
      <c r="UXA527" s="901"/>
      <c r="UXB527" s="901"/>
      <c r="UXC527" s="901"/>
      <c r="UXD527" s="901"/>
      <c r="UXE527" s="901"/>
      <c r="UXF527" s="901"/>
      <c r="UXG527" s="901"/>
      <c r="UXH527" s="901"/>
      <c r="UXI527" s="901"/>
      <c r="UXJ527" s="901"/>
      <c r="UXK527" s="901"/>
      <c r="UXL527" s="901"/>
      <c r="UXM527" s="901"/>
      <c r="UXN527" s="901"/>
      <c r="UXO527" s="901"/>
      <c r="UXP527" s="901"/>
      <c r="UXQ527" s="901"/>
      <c r="UXR527" s="901"/>
      <c r="UXS527" s="901"/>
      <c r="UXT527" s="901"/>
      <c r="UXU527" s="901"/>
      <c r="UXV527" s="901"/>
      <c r="UXW527" s="901"/>
      <c r="UXX527" s="901"/>
      <c r="UXY527" s="901"/>
      <c r="UXZ527" s="901"/>
      <c r="UYA527" s="901"/>
      <c r="UYB527" s="901"/>
      <c r="UYC527" s="901"/>
      <c r="UYD527" s="901"/>
      <c r="UYE527" s="901"/>
      <c r="UYF527" s="901"/>
      <c r="UYG527" s="901"/>
      <c r="UYH527" s="901"/>
      <c r="UYI527" s="901"/>
      <c r="UYJ527" s="901"/>
      <c r="UYK527" s="901"/>
      <c r="UYL527" s="901"/>
      <c r="UYM527" s="901"/>
      <c r="UYN527" s="901"/>
      <c r="UYO527" s="901"/>
      <c r="UYP527" s="901"/>
      <c r="UYQ527" s="901"/>
      <c r="UYR527" s="901"/>
      <c r="UYS527" s="901"/>
      <c r="UYT527" s="901"/>
      <c r="UYU527" s="901"/>
      <c r="UYV527" s="901"/>
      <c r="UYW527" s="901"/>
      <c r="UYX527" s="901"/>
      <c r="UYY527" s="901"/>
      <c r="UYZ527" s="901"/>
      <c r="UZA527" s="901"/>
      <c r="UZB527" s="901"/>
      <c r="UZC527" s="901"/>
      <c r="UZD527" s="901"/>
      <c r="UZE527" s="901"/>
      <c r="UZF527" s="901"/>
      <c r="UZG527" s="901"/>
      <c r="UZH527" s="901"/>
      <c r="UZI527" s="901"/>
      <c r="UZJ527" s="901"/>
      <c r="UZK527" s="901"/>
      <c r="UZL527" s="901"/>
      <c r="UZM527" s="901"/>
      <c r="UZN527" s="901"/>
      <c r="UZO527" s="901"/>
      <c r="UZP527" s="901"/>
      <c r="UZQ527" s="901"/>
      <c r="UZR527" s="901"/>
      <c r="UZS527" s="901"/>
      <c r="UZT527" s="901"/>
      <c r="UZU527" s="901"/>
      <c r="UZV527" s="901"/>
      <c r="UZW527" s="901"/>
      <c r="UZX527" s="901"/>
      <c r="UZY527" s="901"/>
      <c r="UZZ527" s="901"/>
      <c r="VAA527" s="901"/>
      <c r="VAB527" s="901"/>
      <c r="VAC527" s="901"/>
      <c r="VAD527" s="901"/>
      <c r="VAE527" s="901"/>
      <c r="VAF527" s="901"/>
      <c r="VAG527" s="901"/>
      <c r="VAH527" s="901"/>
      <c r="VAI527" s="901"/>
      <c r="VAJ527" s="901"/>
      <c r="VAK527" s="901"/>
      <c r="VAL527" s="901"/>
      <c r="VAM527" s="901"/>
      <c r="VAN527" s="901"/>
      <c r="VAO527" s="901"/>
      <c r="VAP527" s="901"/>
      <c r="VAQ527" s="901"/>
      <c r="VAR527" s="901"/>
      <c r="VAS527" s="901"/>
      <c r="VAT527" s="901"/>
      <c r="VAU527" s="901"/>
      <c r="VAV527" s="901"/>
      <c r="VAW527" s="901"/>
      <c r="VAX527" s="901"/>
      <c r="VAY527" s="901"/>
      <c r="VAZ527" s="901"/>
      <c r="VBA527" s="901"/>
      <c r="VBB527" s="901"/>
      <c r="VBC527" s="901"/>
      <c r="VBD527" s="901"/>
      <c r="VBE527" s="901"/>
      <c r="VBF527" s="901"/>
      <c r="VBG527" s="901"/>
      <c r="VBH527" s="901"/>
      <c r="VBI527" s="901"/>
      <c r="VBJ527" s="901"/>
      <c r="VBK527" s="901"/>
      <c r="VBL527" s="901"/>
      <c r="VBM527" s="901"/>
      <c r="VBN527" s="901"/>
      <c r="VBO527" s="901"/>
      <c r="VBP527" s="901"/>
      <c r="VBQ527" s="901"/>
      <c r="VBR527" s="901"/>
      <c r="VBS527" s="901"/>
      <c r="VBT527" s="901"/>
      <c r="VBU527" s="901"/>
      <c r="VBV527" s="901"/>
      <c r="VBW527" s="901"/>
      <c r="VBX527" s="901"/>
      <c r="VBY527" s="901"/>
      <c r="VBZ527" s="901"/>
      <c r="VCA527" s="901"/>
      <c r="VCB527" s="901"/>
      <c r="VCC527" s="901"/>
      <c r="VCD527" s="901"/>
      <c r="VCE527" s="901"/>
      <c r="VCF527" s="901"/>
      <c r="VCG527" s="901"/>
      <c r="VCH527" s="901"/>
      <c r="VCI527" s="901"/>
      <c r="VCJ527" s="901"/>
      <c r="VCK527" s="901"/>
      <c r="VCL527" s="901"/>
      <c r="VCM527" s="901"/>
      <c r="VCN527" s="901"/>
      <c r="VCO527" s="901"/>
      <c r="VCP527" s="901"/>
      <c r="VCQ527" s="901"/>
      <c r="VCR527" s="901"/>
      <c r="VCS527" s="901"/>
      <c r="VCT527" s="901"/>
      <c r="VCU527" s="901"/>
      <c r="VCV527" s="901"/>
      <c r="VCW527" s="901"/>
      <c r="VCX527" s="901"/>
      <c r="VCY527" s="901"/>
      <c r="VCZ527" s="901"/>
      <c r="VDA527" s="901"/>
      <c r="VDB527" s="901"/>
      <c r="VDC527" s="901"/>
      <c r="VDD527" s="901"/>
      <c r="VDE527" s="901"/>
      <c r="VDF527" s="901"/>
      <c r="VDG527" s="901"/>
      <c r="VDH527" s="901"/>
      <c r="VDI527" s="901"/>
      <c r="VDJ527" s="901"/>
      <c r="VDK527" s="901"/>
      <c r="VDL527" s="901"/>
      <c r="VDM527" s="901"/>
      <c r="VDN527" s="901"/>
      <c r="VDO527" s="901"/>
      <c r="VDP527" s="901"/>
      <c r="VDQ527" s="901"/>
      <c r="VDR527" s="901"/>
      <c r="VDS527" s="901"/>
      <c r="VDT527" s="901"/>
      <c r="VDU527" s="901"/>
      <c r="VDV527" s="901"/>
      <c r="VDW527" s="901"/>
      <c r="VDX527" s="901"/>
      <c r="VDY527" s="901"/>
      <c r="VDZ527" s="901"/>
      <c r="VEA527" s="901"/>
      <c r="VEB527" s="901"/>
      <c r="VEC527" s="901"/>
      <c r="VED527" s="901"/>
      <c r="VEE527" s="901"/>
      <c r="VEF527" s="901"/>
      <c r="VEG527" s="901"/>
      <c r="VEH527" s="901"/>
      <c r="VEI527" s="901"/>
      <c r="VEJ527" s="901"/>
      <c r="VEK527" s="901"/>
      <c r="VEL527" s="901"/>
      <c r="VEM527" s="901"/>
      <c r="VEN527" s="901"/>
      <c r="VEO527" s="901"/>
      <c r="VEP527" s="901"/>
      <c r="VEQ527" s="901"/>
      <c r="VER527" s="901"/>
      <c r="VES527" s="901"/>
      <c r="VET527" s="901"/>
      <c r="VEU527" s="901"/>
      <c r="VEV527" s="901"/>
      <c r="VEW527" s="901"/>
      <c r="VEX527" s="901"/>
      <c r="VEY527" s="901"/>
      <c r="VEZ527" s="901"/>
      <c r="VFA527" s="901"/>
      <c r="VFB527" s="901"/>
      <c r="VFC527" s="901"/>
      <c r="VFD527" s="901"/>
      <c r="VFE527" s="901"/>
      <c r="VFF527" s="901"/>
      <c r="VFG527" s="901"/>
      <c r="VFH527" s="901"/>
      <c r="VFI527" s="901"/>
      <c r="VFJ527" s="901"/>
      <c r="VFK527" s="901"/>
      <c r="VFL527" s="901"/>
      <c r="VFM527" s="901"/>
      <c r="VFN527" s="901"/>
      <c r="VFO527" s="901"/>
      <c r="VFP527" s="901"/>
      <c r="VFQ527" s="901"/>
      <c r="VFR527" s="901"/>
      <c r="VFS527" s="901"/>
      <c r="VFT527" s="901"/>
      <c r="VFU527" s="901"/>
      <c r="VFV527" s="901"/>
      <c r="VFW527" s="901"/>
      <c r="VFX527" s="901"/>
      <c r="VFY527" s="901"/>
      <c r="VFZ527" s="901"/>
      <c r="VGA527" s="901"/>
      <c r="VGB527" s="901"/>
      <c r="VGC527" s="901"/>
      <c r="VGD527" s="901"/>
      <c r="VGE527" s="901"/>
      <c r="VGF527" s="901"/>
      <c r="VGG527" s="901"/>
      <c r="VGH527" s="901"/>
      <c r="VGI527" s="901"/>
      <c r="VGJ527" s="901"/>
      <c r="VGK527" s="901"/>
      <c r="VGL527" s="901"/>
      <c r="VGM527" s="901"/>
      <c r="VGN527" s="901"/>
      <c r="VGO527" s="901"/>
      <c r="VGP527" s="901"/>
      <c r="VGQ527" s="901"/>
      <c r="VGR527" s="901"/>
      <c r="VGS527" s="901"/>
      <c r="VGT527" s="901"/>
      <c r="VGU527" s="901"/>
      <c r="VGV527" s="901"/>
      <c r="VGW527" s="901"/>
      <c r="VGX527" s="901"/>
      <c r="VGY527" s="901"/>
      <c r="VGZ527" s="901"/>
      <c r="VHA527" s="901"/>
      <c r="VHB527" s="901"/>
      <c r="VHC527" s="901"/>
      <c r="VHD527" s="901"/>
      <c r="VHE527" s="901"/>
      <c r="VHF527" s="901"/>
      <c r="VHG527" s="901"/>
      <c r="VHH527" s="901"/>
      <c r="VHI527" s="901"/>
      <c r="VHJ527" s="901"/>
      <c r="VHK527" s="901"/>
      <c r="VHL527" s="901"/>
      <c r="VHM527" s="901"/>
      <c r="VHN527" s="901"/>
      <c r="VHO527" s="901"/>
      <c r="VHP527" s="901"/>
      <c r="VHQ527" s="901"/>
      <c r="VHR527" s="901"/>
      <c r="VHS527" s="901"/>
      <c r="VHT527" s="901"/>
      <c r="VHU527" s="901"/>
      <c r="VHV527" s="901"/>
      <c r="VHW527" s="901"/>
      <c r="VHX527" s="901"/>
      <c r="VHY527" s="901"/>
      <c r="VHZ527" s="901"/>
      <c r="VIA527" s="901"/>
      <c r="VIB527" s="901"/>
      <c r="VIC527" s="901"/>
      <c r="VID527" s="901"/>
      <c r="VIE527" s="901"/>
      <c r="VIF527" s="901"/>
      <c r="VIG527" s="901"/>
      <c r="VIH527" s="901"/>
      <c r="VII527" s="901"/>
      <c r="VIJ527" s="901"/>
      <c r="VIK527" s="901"/>
      <c r="VIL527" s="901"/>
      <c r="VIM527" s="901"/>
      <c r="VIN527" s="901"/>
      <c r="VIO527" s="901"/>
      <c r="VIP527" s="901"/>
      <c r="VIQ527" s="901"/>
      <c r="VIR527" s="901"/>
      <c r="VIS527" s="901"/>
      <c r="VIT527" s="901"/>
      <c r="VIU527" s="901"/>
      <c r="VIV527" s="901"/>
      <c r="VIW527" s="901"/>
      <c r="VIX527" s="901"/>
      <c r="VIY527" s="901"/>
      <c r="VIZ527" s="901"/>
      <c r="VJA527" s="901"/>
      <c r="VJB527" s="901"/>
      <c r="VJC527" s="901"/>
      <c r="VJD527" s="901"/>
      <c r="VJE527" s="901"/>
      <c r="VJF527" s="901"/>
      <c r="VJG527" s="901"/>
      <c r="VJH527" s="901"/>
      <c r="VJI527" s="901"/>
      <c r="VJJ527" s="901"/>
      <c r="VJK527" s="901"/>
      <c r="VJL527" s="901"/>
      <c r="VJM527" s="901"/>
      <c r="VJN527" s="901"/>
      <c r="VJO527" s="901"/>
      <c r="VJP527" s="901"/>
      <c r="VJQ527" s="901"/>
      <c r="VJR527" s="901"/>
      <c r="VJS527" s="901"/>
      <c r="VJT527" s="901"/>
      <c r="VJU527" s="901"/>
      <c r="VJV527" s="901"/>
      <c r="VJW527" s="901"/>
      <c r="VJX527" s="901"/>
      <c r="VJY527" s="901"/>
      <c r="VJZ527" s="901"/>
      <c r="VKA527" s="901"/>
      <c r="VKB527" s="901"/>
      <c r="VKC527" s="901"/>
      <c r="VKD527" s="901"/>
      <c r="VKE527" s="901"/>
      <c r="VKF527" s="901"/>
      <c r="VKG527" s="901"/>
      <c r="VKH527" s="901"/>
      <c r="VKI527" s="901"/>
      <c r="VKJ527" s="901"/>
      <c r="VKK527" s="901"/>
      <c r="VKL527" s="901"/>
      <c r="VKM527" s="901"/>
      <c r="VKN527" s="901"/>
      <c r="VKO527" s="901"/>
      <c r="VKP527" s="901"/>
      <c r="VKQ527" s="901"/>
      <c r="VKR527" s="901"/>
      <c r="VKS527" s="901"/>
      <c r="VKT527" s="901"/>
      <c r="VKU527" s="901"/>
      <c r="VKV527" s="901"/>
      <c r="VKW527" s="901"/>
      <c r="VKX527" s="901"/>
      <c r="VKY527" s="901"/>
      <c r="VKZ527" s="901"/>
      <c r="VLA527" s="901"/>
      <c r="VLB527" s="901"/>
      <c r="VLC527" s="901"/>
      <c r="VLD527" s="901"/>
      <c r="VLE527" s="901"/>
      <c r="VLF527" s="901"/>
      <c r="VLG527" s="901"/>
      <c r="VLH527" s="901"/>
      <c r="VLI527" s="901"/>
      <c r="VLJ527" s="901"/>
      <c r="VLK527" s="901"/>
      <c r="VLL527" s="901"/>
      <c r="VLM527" s="901"/>
      <c r="VLN527" s="901"/>
      <c r="VLO527" s="901"/>
      <c r="VLP527" s="901"/>
      <c r="VLQ527" s="901"/>
      <c r="VLR527" s="901"/>
      <c r="VLS527" s="901"/>
      <c r="VLT527" s="901"/>
      <c r="VLU527" s="901"/>
      <c r="VLV527" s="901"/>
      <c r="VLW527" s="901"/>
      <c r="VLX527" s="901"/>
      <c r="VLY527" s="901"/>
      <c r="VLZ527" s="901"/>
      <c r="VMA527" s="901"/>
      <c r="VMB527" s="901"/>
      <c r="VMC527" s="901"/>
      <c r="VMD527" s="901"/>
      <c r="VME527" s="901"/>
      <c r="VMF527" s="901"/>
      <c r="VMG527" s="901"/>
      <c r="VMH527" s="901"/>
      <c r="VMI527" s="901"/>
      <c r="VMJ527" s="901"/>
      <c r="VMK527" s="901"/>
      <c r="VML527" s="901"/>
      <c r="VMM527" s="901"/>
      <c r="VMN527" s="901"/>
      <c r="VMO527" s="901"/>
      <c r="VMP527" s="901"/>
      <c r="VMQ527" s="901"/>
      <c r="VMR527" s="901"/>
      <c r="VMS527" s="901"/>
      <c r="VMT527" s="901"/>
      <c r="VMU527" s="901"/>
      <c r="VMV527" s="901"/>
      <c r="VMW527" s="901"/>
      <c r="VMX527" s="901"/>
      <c r="VMY527" s="901"/>
      <c r="VMZ527" s="901"/>
      <c r="VNA527" s="901"/>
      <c r="VNB527" s="901"/>
      <c r="VNC527" s="901"/>
      <c r="VND527" s="901"/>
      <c r="VNE527" s="901"/>
      <c r="VNF527" s="901"/>
      <c r="VNG527" s="901"/>
      <c r="VNH527" s="901"/>
      <c r="VNI527" s="901"/>
      <c r="VNJ527" s="901"/>
      <c r="VNK527" s="901"/>
      <c r="VNL527" s="901"/>
      <c r="VNM527" s="901"/>
      <c r="VNN527" s="901"/>
      <c r="VNO527" s="901"/>
      <c r="VNP527" s="901"/>
      <c r="VNQ527" s="901"/>
      <c r="VNR527" s="901"/>
      <c r="VNS527" s="901"/>
      <c r="VNT527" s="901"/>
      <c r="VNU527" s="901"/>
      <c r="VNV527" s="901"/>
      <c r="VNW527" s="901"/>
      <c r="VNX527" s="901"/>
      <c r="VNY527" s="901"/>
      <c r="VNZ527" s="901"/>
      <c r="VOA527" s="901"/>
      <c r="VOB527" s="901"/>
      <c r="VOC527" s="901"/>
      <c r="VOD527" s="901"/>
      <c r="VOE527" s="901"/>
      <c r="VOF527" s="901"/>
      <c r="VOG527" s="901"/>
      <c r="VOH527" s="901"/>
      <c r="VOI527" s="901"/>
      <c r="VOJ527" s="901"/>
      <c r="VOK527" s="901"/>
      <c r="VOL527" s="901"/>
      <c r="VOM527" s="901"/>
      <c r="VON527" s="901"/>
      <c r="VOO527" s="901"/>
      <c r="VOP527" s="901"/>
      <c r="VOQ527" s="901"/>
      <c r="VOR527" s="901"/>
      <c r="VOS527" s="901"/>
      <c r="VOT527" s="901"/>
      <c r="VOU527" s="901"/>
      <c r="VOV527" s="901"/>
      <c r="VOW527" s="901"/>
      <c r="VOX527" s="901"/>
      <c r="VOY527" s="901"/>
      <c r="VOZ527" s="901"/>
      <c r="VPA527" s="901"/>
      <c r="VPB527" s="901"/>
      <c r="VPC527" s="901"/>
      <c r="VPD527" s="901"/>
      <c r="VPE527" s="901"/>
      <c r="VPF527" s="901"/>
      <c r="VPG527" s="901"/>
      <c r="VPH527" s="901"/>
      <c r="VPI527" s="901"/>
      <c r="VPJ527" s="901"/>
      <c r="VPK527" s="901"/>
      <c r="VPL527" s="901"/>
      <c r="VPM527" s="901"/>
      <c r="VPN527" s="901"/>
      <c r="VPO527" s="901"/>
      <c r="VPP527" s="901"/>
      <c r="VPQ527" s="901"/>
      <c r="VPR527" s="901"/>
      <c r="VPS527" s="901"/>
      <c r="VPT527" s="901"/>
      <c r="VPU527" s="901"/>
      <c r="VPV527" s="901"/>
      <c r="VPW527" s="901"/>
      <c r="VPX527" s="901"/>
      <c r="VPY527" s="901"/>
      <c r="VPZ527" s="901"/>
      <c r="VQA527" s="901"/>
      <c r="VQB527" s="901"/>
      <c r="VQC527" s="901"/>
      <c r="VQD527" s="901"/>
      <c r="VQE527" s="901"/>
      <c r="VQF527" s="901"/>
      <c r="VQG527" s="901"/>
      <c r="VQH527" s="901"/>
      <c r="VQI527" s="901"/>
      <c r="VQJ527" s="901"/>
      <c r="VQK527" s="901"/>
      <c r="VQL527" s="901"/>
      <c r="VQM527" s="901"/>
      <c r="VQN527" s="901"/>
      <c r="VQO527" s="901"/>
      <c r="VQP527" s="901"/>
      <c r="VQQ527" s="901"/>
      <c r="VQR527" s="901"/>
      <c r="VQS527" s="901"/>
      <c r="VQT527" s="901"/>
      <c r="VQU527" s="901"/>
      <c r="VQV527" s="901"/>
      <c r="VQW527" s="901"/>
      <c r="VQX527" s="901"/>
      <c r="VQY527" s="901"/>
      <c r="VQZ527" s="901"/>
      <c r="VRA527" s="901"/>
      <c r="VRB527" s="901"/>
      <c r="VRC527" s="901"/>
      <c r="VRD527" s="901"/>
      <c r="VRE527" s="901"/>
      <c r="VRF527" s="901"/>
      <c r="VRG527" s="901"/>
      <c r="VRH527" s="901"/>
      <c r="VRI527" s="901"/>
      <c r="VRJ527" s="901"/>
      <c r="VRK527" s="901"/>
      <c r="VRL527" s="901"/>
      <c r="VRM527" s="901"/>
      <c r="VRN527" s="901"/>
      <c r="VRO527" s="901"/>
      <c r="VRP527" s="901"/>
      <c r="VRQ527" s="901"/>
      <c r="VRR527" s="901"/>
      <c r="VRS527" s="901"/>
      <c r="VRT527" s="901"/>
      <c r="VRU527" s="901"/>
      <c r="VRV527" s="901"/>
      <c r="VRW527" s="901"/>
      <c r="VRX527" s="901"/>
      <c r="VRY527" s="901"/>
      <c r="VRZ527" s="901"/>
      <c r="VSA527" s="901"/>
      <c r="VSB527" s="901"/>
      <c r="VSC527" s="901"/>
      <c r="VSD527" s="901"/>
      <c r="VSE527" s="901"/>
      <c r="VSF527" s="901"/>
      <c r="VSG527" s="901"/>
      <c r="VSH527" s="901"/>
      <c r="VSI527" s="901"/>
      <c r="VSJ527" s="901"/>
      <c r="VSK527" s="901"/>
      <c r="VSL527" s="901"/>
      <c r="VSM527" s="901"/>
      <c r="VSN527" s="901"/>
      <c r="VSO527" s="901"/>
      <c r="VSP527" s="901"/>
      <c r="VSQ527" s="901"/>
      <c r="VSR527" s="901"/>
      <c r="VSS527" s="901"/>
      <c r="VST527" s="901"/>
      <c r="VSU527" s="901"/>
      <c r="VSV527" s="901"/>
      <c r="VSW527" s="901"/>
      <c r="VSX527" s="901"/>
      <c r="VSY527" s="901"/>
      <c r="VSZ527" s="901"/>
      <c r="VTA527" s="901"/>
      <c r="VTB527" s="901"/>
      <c r="VTC527" s="901"/>
      <c r="VTD527" s="901"/>
      <c r="VTE527" s="901"/>
      <c r="VTF527" s="901"/>
      <c r="VTG527" s="901"/>
      <c r="VTH527" s="901"/>
      <c r="VTI527" s="901"/>
      <c r="VTJ527" s="901"/>
      <c r="VTK527" s="901"/>
      <c r="VTL527" s="901"/>
      <c r="VTM527" s="901"/>
      <c r="VTN527" s="901"/>
      <c r="VTO527" s="901"/>
      <c r="VTP527" s="901"/>
      <c r="VTQ527" s="901"/>
      <c r="VTR527" s="901"/>
      <c r="VTS527" s="901"/>
      <c r="VTT527" s="901"/>
      <c r="VTU527" s="901"/>
      <c r="VTV527" s="901"/>
      <c r="VTW527" s="901"/>
      <c r="VTX527" s="901"/>
      <c r="VTY527" s="901"/>
      <c r="VTZ527" s="901"/>
      <c r="VUA527" s="901"/>
      <c r="VUB527" s="901"/>
      <c r="VUC527" s="901"/>
      <c r="VUD527" s="901"/>
      <c r="VUE527" s="901"/>
      <c r="VUF527" s="901"/>
      <c r="VUG527" s="901"/>
      <c r="VUH527" s="901"/>
      <c r="VUI527" s="901"/>
      <c r="VUJ527" s="901"/>
      <c r="VUK527" s="901"/>
      <c r="VUL527" s="901"/>
      <c r="VUM527" s="901"/>
      <c r="VUN527" s="901"/>
      <c r="VUO527" s="901"/>
      <c r="VUP527" s="901"/>
      <c r="VUQ527" s="901"/>
      <c r="VUR527" s="901"/>
      <c r="VUS527" s="901"/>
      <c r="VUT527" s="901"/>
      <c r="VUU527" s="901"/>
      <c r="VUV527" s="901"/>
      <c r="VUW527" s="901"/>
      <c r="VUX527" s="901"/>
      <c r="VUY527" s="901"/>
      <c r="VUZ527" s="901"/>
      <c r="VVA527" s="901"/>
      <c r="VVB527" s="901"/>
      <c r="VVC527" s="901"/>
      <c r="VVD527" s="901"/>
      <c r="VVE527" s="901"/>
      <c r="VVF527" s="901"/>
      <c r="VVG527" s="901"/>
      <c r="VVH527" s="901"/>
      <c r="VVI527" s="901"/>
      <c r="VVJ527" s="901"/>
      <c r="VVK527" s="901"/>
      <c r="VVL527" s="901"/>
      <c r="VVM527" s="901"/>
      <c r="VVN527" s="901"/>
      <c r="VVO527" s="901"/>
      <c r="VVP527" s="901"/>
      <c r="VVQ527" s="901"/>
      <c r="VVR527" s="901"/>
      <c r="VVS527" s="901"/>
      <c r="VVT527" s="901"/>
      <c r="VVU527" s="901"/>
      <c r="VVV527" s="901"/>
      <c r="VVW527" s="901"/>
      <c r="VVX527" s="901"/>
      <c r="VVY527" s="901"/>
      <c r="VVZ527" s="901"/>
      <c r="VWA527" s="901"/>
      <c r="VWB527" s="901"/>
      <c r="VWC527" s="901"/>
      <c r="VWD527" s="901"/>
      <c r="VWE527" s="901"/>
      <c r="VWF527" s="901"/>
      <c r="VWG527" s="901"/>
      <c r="VWH527" s="901"/>
      <c r="VWI527" s="901"/>
      <c r="VWJ527" s="901"/>
      <c r="VWK527" s="901"/>
      <c r="VWL527" s="901"/>
      <c r="VWM527" s="901"/>
      <c r="VWN527" s="901"/>
      <c r="VWO527" s="901"/>
      <c r="VWP527" s="901"/>
      <c r="VWQ527" s="901"/>
      <c r="VWR527" s="901"/>
      <c r="VWS527" s="901"/>
      <c r="VWT527" s="901"/>
      <c r="VWU527" s="901"/>
      <c r="VWV527" s="901"/>
      <c r="VWW527" s="901"/>
      <c r="VWX527" s="901"/>
      <c r="VWY527" s="901"/>
      <c r="VWZ527" s="901"/>
      <c r="VXA527" s="901"/>
      <c r="VXB527" s="901"/>
      <c r="VXC527" s="901"/>
      <c r="VXD527" s="901"/>
      <c r="VXE527" s="901"/>
      <c r="VXF527" s="901"/>
      <c r="VXG527" s="901"/>
      <c r="VXH527" s="901"/>
      <c r="VXI527" s="901"/>
      <c r="VXJ527" s="901"/>
      <c r="VXK527" s="901"/>
      <c r="VXL527" s="901"/>
      <c r="VXM527" s="901"/>
      <c r="VXN527" s="901"/>
      <c r="VXO527" s="901"/>
      <c r="VXP527" s="901"/>
      <c r="VXQ527" s="901"/>
      <c r="VXR527" s="901"/>
      <c r="VXS527" s="901"/>
      <c r="VXT527" s="901"/>
      <c r="VXU527" s="901"/>
      <c r="VXV527" s="901"/>
      <c r="VXW527" s="901"/>
      <c r="VXX527" s="901"/>
      <c r="VXY527" s="901"/>
      <c r="VXZ527" s="901"/>
      <c r="VYA527" s="901"/>
      <c r="VYB527" s="901"/>
      <c r="VYC527" s="901"/>
      <c r="VYD527" s="901"/>
      <c r="VYE527" s="901"/>
      <c r="VYF527" s="901"/>
      <c r="VYG527" s="901"/>
      <c r="VYH527" s="901"/>
      <c r="VYI527" s="901"/>
      <c r="VYJ527" s="901"/>
      <c r="VYK527" s="901"/>
      <c r="VYL527" s="901"/>
      <c r="VYM527" s="901"/>
      <c r="VYN527" s="901"/>
      <c r="VYO527" s="901"/>
      <c r="VYP527" s="901"/>
      <c r="VYQ527" s="901"/>
      <c r="VYR527" s="901"/>
      <c r="VYS527" s="901"/>
      <c r="VYT527" s="901"/>
      <c r="VYU527" s="901"/>
      <c r="VYV527" s="901"/>
      <c r="VYW527" s="901"/>
      <c r="VYX527" s="901"/>
      <c r="VYY527" s="901"/>
      <c r="VYZ527" s="901"/>
      <c r="VZA527" s="901"/>
      <c r="VZB527" s="901"/>
      <c r="VZC527" s="901"/>
      <c r="VZD527" s="901"/>
      <c r="VZE527" s="901"/>
      <c r="VZF527" s="901"/>
      <c r="VZG527" s="901"/>
      <c r="VZH527" s="901"/>
      <c r="VZI527" s="901"/>
      <c r="VZJ527" s="901"/>
      <c r="VZK527" s="901"/>
      <c r="VZL527" s="901"/>
      <c r="VZM527" s="901"/>
      <c r="VZN527" s="901"/>
      <c r="VZO527" s="901"/>
      <c r="VZP527" s="901"/>
      <c r="VZQ527" s="901"/>
      <c r="VZR527" s="901"/>
      <c r="VZS527" s="901"/>
      <c r="VZT527" s="901"/>
      <c r="VZU527" s="901"/>
      <c r="VZV527" s="901"/>
      <c r="VZW527" s="901"/>
      <c r="VZX527" s="901"/>
      <c r="VZY527" s="901"/>
      <c r="VZZ527" s="901"/>
      <c r="WAA527" s="901"/>
      <c r="WAB527" s="901"/>
      <c r="WAC527" s="901"/>
      <c r="WAD527" s="901"/>
      <c r="WAE527" s="901"/>
      <c r="WAF527" s="901"/>
      <c r="WAG527" s="901"/>
      <c r="WAH527" s="901"/>
      <c r="WAI527" s="901"/>
      <c r="WAJ527" s="901"/>
      <c r="WAK527" s="901"/>
      <c r="WAL527" s="901"/>
      <c r="WAM527" s="901"/>
      <c r="WAN527" s="901"/>
      <c r="WAO527" s="901"/>
      <c r="WAP527" s="901"/>
      <c r="WAQ527" s="901"/>
      <c r="WAR527" s="901"/>
      <c r="WAS527" s="901"/>
      <c r="WAT527" s="901"/>
      <c r="WAU527" s="901"/>
      <c r="WAV527" s="901"/>
      <c r="WAW527" s="901"/>
      <c r="WAX527" s="901"/>
      <c r="WAY527" s="901"/>
      <c r="WAZ527" s="901"/>
      <c r="WBA527" s="901"/>
      <c r="WBB527" s="901"/>
      <c r="WBC527" s="901"/>
      <c r="WBD527" s="901"/>
      <c r="WBE527" s="901"/>
      <c r="WBF527" s="901"/>
      <c r="WBG527" s="901"/>
      <c r="WBH527" s="901"/>
      <c r="WBI527" s="901"/>
      <c r="WBJ527" s="901"/>
      <c r="WBK527" s="901"/>
      <c r="WBL527" s="901"/>
      <c r="WBM527" s="901"/>
      <c r="WBN527" s="901"/>
      <c r="WBO527" s="901"/>
      <c r="WBP527" s="901"/>
      <c r="WBQ527" s="901"/>
      <c r="WBR527" s="901"/>
      <c r="WBS527" s="901"/>
      <c r="WBT527" s="901"/>
      <c r="WBU527" s="901"/>
      <c r="WBV527" s="901"/>
      <c r="WBW527" s="901"/>
      <c r="WBX527" s="901"/>
      <c r="WBY527" s="901"/>
      <c r="WBZ527" s="901"/>
      <c r="WCA527" s="901"/>
      <c r="WCB527" s="901"/>
      <c r="WCC527" s="901"/>
      <c r="WCD527" s="901"/>
      <c r="WCE527" s="901"/>
      <c r="WCF527" s="901"/>
      <c r="WCG527" s="901"/>
      <c r="WCH527" s="901"/>
      <c r="WCI527" s="901"/>
      <c r="WCJ527" s="901"/>
      <c r="WCK527" s="901"/>
      <c r="WCL527" s="901"/>
      <c r="WCM527" s="901"/>
      <c r="WCN527" s="901"/>
      <c r="WCO527" s="901"/>
      <c r="WCP527" s="901"/>
      <c r="WCQ527" s="901"/>
      <c r="WCR527" s="901"/>
      <c r="WCS527" s="901"/>
      <c r="WCT527" s="901"/>
      <c r="WCU527" s="901"/>
      <c r="WCV527" s="901"/>
      <c r="WCW527" s="901"/>
      <c r="WCX527" s="901"/>
      <c r="WCY527" s="901"/>
      <c r="WCZ527" s="901"/>
      <c r="WDA527" s="901"/>
      <c r="WDB527" s="901"/>
      <c r="WDC527" s="901"/>
      <c r="WDD527" s="901"/>
      <c r="WDE527" s="901"/>
      <c r="WDF527" s="901"/>
      <c r="WDG527" s="901"/>
      <c r="WDH527" s="901"/>
      <c r="WDI527" s="901"/>
      <c r="WDJ527" s="901"/>
      <c r="WDK527" s="901"/>
      <c r="WDL527" s="901"/>
      <c r="WDM527" s="901"/>
      <c r="WDN527" s="901"/>
      <c r="WDO527" s="901"/>
      <c r="WDP527" s="901"/>
      <c r="WDQ527" s="901"/>
      <c r="WDR527" s="901"/>
      <c r="WDS527" s="901"/>
      <c r="WDT527" s="901"/>
      <c r="WDU527" s="901"/>
      <c r="WDV527" s="901"/>
      <c r="WDW527" s="901"/>
      <c r="WDX527" s="901"/>
      <c r="WDY527" s="901"/>
      <c r="WDZ527" s="901"/>
      <c r="WEA527" s="901"/>
      <c r="WEB527" s="901"/>
      <c r="WEC527" s="901"/>
      <c r="WED527" s="901"/>
      <c r="WEE527" s="901"/>
      <c r="WEF527" s="901"/>
      <c r="WEG527" s="901"/>
      <c r="WEH527" s="901"/>
      <c r="WEI527" s="901"/>
      <c r="WEJ527" s="901"/>
      <c r="WEK527" s="901"/>
      <c r="WEL527" s="901"/>
      <c r="WEM527" s="901"/>
      <c r="WEN527" s="901"/>
      <c r="WEO527" s="901"/>
      <c r="WEP527" s="901"/>
      <c r="WEQ527" s="901"/>
      <c r="WER527" s="901"/>
      <c r="WES527" s="901"/>
      <c r="WET527" s="901"/>
      <c r="WEU527" s="901"/>
      <c r="WEV527" s="901"/>
      <c r="WEW527" s="901"/>
      <c r="WEX527" s="901"/>
      <c r="WEY527" s="901"/>
      <c r="WEZ527" s="901"/>
      <c r="WFA527" s="901"/>
      <c r="WFB527" s="901"/>
      <c r="WFC527" s="901"/>
      <c r="WFD527" s="901"/>
      <c r="WFE527" s="901"/>
      <c r="WFF527" s="901"/>
      <c r="WFG527" s="901"/>
      <c r="WFH527" s="901"/>
      <c r="WFI527" s="901"/>
      <c r="WFJ527" s="901"/>
      <c r="WFK527" s="901"/>
      <c r="WFL527" s="901"/>
      <c r="WFM527" s="901"/>
      <c r="WFN527" s="901"/>
      <c r="WFO527" s="901"/>
      <c r="WFP527" s="901"/>
      <c r="WFQ527" s="901"/>
      <c r="WFR527" s="901"/>
      <c r="WFS527" s="901"/>
      <c r="WFT527" s="901"/>
      <c r="WFU527" s="901"/>
      <c r="WFV527" s="901"/>
      <c r="WFW527" s="901"/>
      <c r="WFX527" s="901"/>
      <c r="WFY527" s="901"/>
      <c r="WFZ527" s="901"/>
      <c r="WGA527" s="901"/>
      <c r="WGB527" s="901"/>
      <c r="WGC527" s="901"/>
      <c r="WGD527" s="901"/>
      <c r="WGE527" s="901"/>
      <c r="WGF527" s="901"/>
      <c r="WGG527" s="901"/>
      <c r="WGH527" s="901"/>
      <c r="WGI527" s="901"/>
      <c r="WGJ527" s="901"/>
      <c r="WGK527" s="901"/>
      <c r="WGL527" s="901"/>
      <c r="WGM527" s="901"/>
      <c r="WGN527" s="901"/>
      <c r="WGO527" s="901"/>
      <c r="WGP527" s="901"/>
      <c r="WGQ527" s="901"/>
      <c r="WGR527" s="901"/>
      <c r="WGS527" s="901"/>
      <c r="WGT527" s="901"/>
      <c r="WGU527" s="901"/>
      <c r="WGV527" s="901"/>
      <c r="WGW527" s="901"/>
      <c r="WGX527" s="901"/>
      <c r="WGY527" s="901"/>
      <c r="WGZ527" s="901"/>
      <c r="WHA527" s="901"/>
      <c r="WHB527" s="901"/>
      <c r="WHC527" s="901"/>
      <c r="WHD527" s="901"/>
      <c r="WHE527" s="901"/>
      <c r="WHF527" s="901"/>
      <c r="WHG527" s="901"/>
      <c r="WHH527" s="901"/>
      <c r="WHI527" s="901"/>
      <c r="WHJ527" s="901"/>
      <c r="WHK527" s="901"/>
      <c r="WHL527" s="901"/>
      <c r="WHM527" s="901"/>
      <c r="WHN527" s="901"/>
      <c r="WHO527" s="901"/>
      <c r="WHP527" s="901"/>
      <c r="WHQ527" s="901"/>
      <c r="WHR527" s="901"/>
      <c r="WHS527" s="901"/>
      <c r="WHT527" s="901"/>
      <c r="WHU527" s="901"/>
      <c r="WHV527" s="901"/>
      <c r="WHW527" s="901"/>
      <c r="WHX527" s="901"/>
      <c r="WHY527" s="901"/>
      <c r="WHZ527" s="901"/>
      <c r="WIA527" s="901"/>
      <c r="WIB527" s="901"/>
      <c r="WIC527" s="901"/>
      <c r="WID527" s="901"/>
      <c r="WIE527" s="901"/>
      <c r="WIF527" s="901"/>
      <c r="WIG527" s="901"/>
      <c r="WIH527" s="901"/>
      <c r="WII527" s="901"/>
      <c r="WIJ527" s="901"/>
      <c r="WIK527" s="901"/>
      <c r="WIL527" s="901"/>
      <c r="WIM527" s="901"/>
      <c r="WIN527" s="901"/>
      <c r="WIO527" s="901"/>
      <c r="WIP527" s="901"/>
      <c r="WIQ527" s="901"/>
      <c r="WIR527" s="901"/>
      <c r="WIS527" s="901"/>
      <c r="WIT527" s="901"/>
      <c r="WIU527" s="901"/>
      <c r="WIV527" s="901"/>
      <c r="WIW527" s="901"/>
      <c r="WIX527" s="901"/>
      <c r="WIY527" s="901"/>
      <c r="WIZ527" s="901"/>
      <c r="WJA527" s="901"/>
      <c r="WJB527" s="901"/>
      <c r="WJC527" s="901"/>
      <c r="WJD527" s="901"/>
      <c r="WJE527" s="901"/>
      <c r="WJF527" s="901"/>
      <c r="WJG527" s="901"/>
      <c r="WJH527" s="901"/>
      <c r="WJI527" s="901"/>
      <c r="WJJ527" s="901"/>
      <c r="WJK527" s="901"/>
      <c r="WJL527" s="901"/>
      <c r="WJM527" s="901"/>
      <c r="WJN527" s="901"/>
      <c r="WJO527" s="901"/>
      <c r="WJP527" s="901"/>
      <c r="WJQ527" s="901"/>
      <c r="WJR527" s="901"/>
      <c r="WJS527" s="901"/>
      <c r="WJT527" s="901"/>
      <c r="WJU527" s="901"/>
      <c r="WJV527" s="901"/>
      <c r="WJW527" s="901"/>
      <c r="WJX527" s="901"/>
      <c r="WJY527" s="901"/>
      <c r="WJZ527" s="901"/>
      <c r="WKA527" s="901"/>
      <c r="WKB527" s="901"/>
      <c r="WKC527" s="901"/>
      <c r="WKD527" s="901"/>
      <c r="WKE527" s="901"/>
      <c r="WKF527" s="901"/>
      <c r="WKG527" s="901"/>
      <c r="WKH527" s="901"/>
      <c r="WKI527" s="901"/>
      <c r="WKJ527" s="901"/>
      <c r="WKK527" s="901"/>
      <c r="WKL527" s="901"/>
      <c r="WKM527" s="901"/>
      <c r="WKN527" s="901"/>
      <c r="WKO527" s="901"/>
      <c r="WKP527" s="901"/>
      <c r="WKQ527" s="901"/>
      <c r="WKR527" s="901"/>
      <c r="WKS527" s="901"/>
      <c r="WKT527" s="901"/>
      <c r="WKU527" s="901"/>
      <c r="WKV527" s="901"/>
      <c r="WKW527" s="901"/>
      <c r="WKX527" s="901"/>
      <c r="WKY527" s="901"/>
      <c r="WKZ527" s="901"/>
      <c r="WLA527" s="901"/>
      <c r="WLB527" s="901"/>
      <c r="WLC527" s="901"/>
      <c r="WLD527" s="901"/>
      <c r="WLE527" s="901"/>
      <c r="WLF527" s="901"/>
      <c r="WLG527" s="901"/>
      <c r="WLH527" s="901"/>
      <c r="WLI527" s="901"/>
      <c r="WLJ527" s="901"/>
      <c r="WLK527" s="901"/>
      <c r="WLL527" s="901"/>
      <c r="WLM527" s="901"/>
      <c r="WLN527" s="901"/>
      <c r="WLO527" s="901"/>
      <c r="WLP527" s="901"/>
      <c r="WLQ527" s="901"/>
      <c r="WLR527" s="901"/>
      <c r="WLS527" s="901"/>
      <c r="WLT527" s="901"/>
      <c r="WLU527" s="901"/>
      <c r="WLV527" s="901"/>
      <c r="WLW527" s="901"/>
      <c r="WLX527" s="901"/>
      <c r="WLY527" s="901"/>
      <c r="WLZ527" s="901"/>
      <c r="WMA527" s="901"/>
      <c r="WMB527" s="901"/>
      <c r="WMC527" s="901"/>
      <c r="WMD527" s="901"/>
      <c r="WME527" s="901"/>
      <c r="WMF527" s="901"/>
      <c r="WMG527" s="901"/>
      <c r="WMH527" s="901"/>
      <c r="WMI527" s="901"/>
      <c r="WMJ527" s="901"/>
      <c r="WMK527" s="901"/>
      <c r="WML527" s="901"/>
      <c r="WMM527" s="901"/>
      <c r="WMN527" s="901"/>
      <c r="WMO527" s="901"/>
      <c r="WMP527" s="901"/>
      <c r="WMQ527" s="901"/>
      <c r="WMR527" s="901"/>
      <c r="WMS527" s="901"/>
      <c r="WMT527" s="901"/>
      <c r="WMU527" s="901"/>
      <c r="WMV527" s="901"/>
      <c r="WMW527" s="901"/>
      <c r="WMX527" s="901"/>
      <c r="WMY527" s="901"/>
      <c r="WMZ527" s="901"/>
      <c r="WNA527" s="901"/>
      <c r="WNB527" s="901"/>
      <c r="WNC527" s="901"/>
      <c r="WND527" s="901"/>
      <c r="WNE527" s="901"/>
      <c r="WNF527" s="901"/>
      <c r="WNG527" s="901"/>
      <c r="WNH527" s="901"/>
      <c r="WNI527" s="901"/>
      <c r="WNJ527" s="901"/>
      <c r="WNK527" s="901"/>
      <c r="WNL527" s="901"/>
      <c r="WNM527" s="901"/>
      <c r="WNN527" s="901"/>
      <c r="WNO527" s="901"/>
      <c r="WNP527" s="901"/>
      <c r="WNQ527" s="901"/>
      <c r="WNR527" s="901"/>
      <c r="WNS527" s="901"/>
      <c r="WNT527" s="901"/>
      <c r="WNU527" s="901"/>
      <c r="WNV527" s="901"/>
      <c r="WNW527" s="901"/>
      <c r="WNX527" s="901"/>
      <c r="WNY527" s="901"/>
      <c r="WNZ527" s="901"/>
      <c r="WOA527" s="901"/>
      <c r="WOB527" s="901"/>
      <c r="WOC527" s="901"/>
      <c r="WOD527" s="901"/>
      <c r="WOE527" s="901"/>
      <c r="WOF527" s="901"/>
      <c r="WOG527" s="901"/>
      <c r="WOH527" s="901"/>
      <c r="WOI527" s="901"/>
      <c r="WOJ527" s="901"/>
      <c r="WOK527" s="901"/>
      <c r="WOL527" s="901"/>
      <c r="WOM527" s="901"/>
      <c r="WON527" s="901"/>
      <c r="WOO527" s="901"/>
      <c r="WOP527" s="901"/>
      <c r="WOQ527" s="901"/>
      <c r="WOR527" s="901"/>
      <c r="WOS527" s="901"/>
      <c r="WOT527" s="901"/>
      <c r="WOU527" s="901"/>
      <c r="WOV527" s="901"/>
      <c r="WOW527" s="901"/>
      <c r="WOX527" s="901"/>
      <c r="WOY527" s="901"/>
      <c r="WOZ527" s="901"/>
      <c r="WPA527" s="901"/>
      <c r="WPB527" s="901"/>
      <c r="WPC527" s="901"/>
      <c r="WPD527" s="901"/>
      <c r="WPE527" s="901"/>
      <c r="WPF527" s="901"/>
      <c r="WPG527" s="901"/>
      <c r="WPH527" s="901"/>
      <c r="WPI527" s="901"/>
      <c r="WPJ527" s="901"/>
      <c r="WPK527" s="901"/>
      <c r="WPL527" s="901"/>
      <c r="WPM527" s="901"/>
      <c r="WPN527" s="901"/>
      <c r="WPO527" s="901"/>
      <c r="WPP527" s="901"/>
      <c r="WPQ527" s="901"/>
      <c r="WPR527" s="901"/>
      <c r="WPS527" s="901"/>
      <c r="WPT527" s="901"/>
      <c r="WPU527" s="901"/>
      <c r="WPV527" s="901"/>
      <c r="WPW527" s="901"/>
      <c r="WPX527" s="901"/>
      <c r="WPY527" s="901"/>
      <c r="WPZ527" s="901"/>
      <c r="WQA527" s="901"/>
      <c r="WQB527" s="901"/>
      <c r="WQC527" s="901"/>
      <c r="WQD527" s="901"/>
      <c r="WQE527" s="901"/>
      <c r="WQF527" s="901"/>
      <c r="WQG527" s="901"/>
      <c r="WQH527" s="901"/>
      <c r="WQI527" s="901"/>
      <c r="WQJ527" s="901"/>
      <c r="WQK527" s="901"/>
      <c r="WQL527" s="901"/>
      <c r="WQM527" s="901"/>
      <c r="WQN527" s="901"/>
      <c r="WQO527" s="901"/>
      <c r="WQP527" s="901"/>
      <c r="WQQ527" s="901"/>
      <c r="WQR527" s="901"/>
      <c r="WQS527" s="901"/>
      <c r="WQT527" s="901"/>
      <c r="WQU527" s="901"/>
      <c r="WQV527" s="901"/>
      <c r="WQW527" s="901"/>
      <c r="WQX527" s="901"/>
      <c r="WQY527" s="901"/>
      <c r="WQZ527" s="901"/>
      <c r="WRA527" s="901"/>
      <c r="WRB527" s="901"/>
      <c r="WRC527" s="901"/>
      <c r="WRD527" s="901"/>
      <c r="WRE527" s="901"/>
      <c r="WRF527" s="901"/>
      <c r="WRG527" s="901"/>
      <c r="WRH527" s="901"/>
      <c r="WRI527" s="901"/>
      <c r="WRJ527" s="901"/>
      <c r="WRK527" s="901"/>
      <c r="WRL527" s="901"/>
      <c r="WRM527" s="901"/>
      <c r="WRN527" s="901"/>
      <c r="WRO527" s="901"/>
      <c r="WRP527" s="901"/>
      <c r="WRQ527" s="901"/>
      <c r="WRR527" s="901"/>
      <c r="WRS527" s="901"/>
      <c r="WRT527" s="901"/>
      <c r="WRU527" s="901"/>
      <c r="WRV527" s="901"/>
      <c r="WRW527" s="901"/>
      <c r="WRX527" s="901"/>
      <c r="WRY527" s="901"/>
      <c r="WRZ527" s="901"/>
      <c r="WSA527" s="901"/>
      <c r="WSB527" s="901"/>
      <c r="WSC527" s="901"/>
      <c r="WSD527" s="901"/>
      <c r="WSE527" s="901"/>
      <c r="WSF527" s="901"/>
      <c r="WSG527" s="901"/>
      <c r="WSH527" s="901"/>
      <c r="WSI527" s="901"/>
      <c r="WSJ527" s="901"/>
      <c r="WSK527" s="901"/>
      <c r="WSL527" s="901"/>
      <c r="WSM527" s="901"/>
      <c r="WSN527" s="901"/>
      <c r="WSO527" s="901"/>
      <c r="WSP527" s="901"/>
      <c r="WSQ527" s="901"/>
      <c r="WSR527" s="901"/>
      <c r="WSS527" s="901"/>
      <c r="WST527" s="901"/>
      <c r="WSU527" s="901"/>
      <c r="WSV527" s="901"/>
      <c r="WSW527" s="901"/>
      <c r="WSX527" s="901"/>
      <c r="WSY527" s="901"/>
      <c r="WSZ527" s="901"/>
      <c r="WTA527" s="901"/>
      <c r="WTB527" s="901"/>
      <c r="WTC527" s="901"/>
      <c r="WTD527" s="901"/>
      <c r="WTE527" s="901"/>
      <c r="WTF527" s="901"/>
      <c r="WTG527" s="901"/>
      <c r="WTH527" s="901"/>
      <c r="WTI527" s="901"/>
      <c r="WTJ527" s="901"/>
      <c r="WTK527" s="901"/>
      <c r="WTL527" s="901"/>
      <c r="WTM527" s="901"/>
      <c r="WTN527" s="901"/>
      <c r="WTO527" s="901"/>
      <c r="WTP527" s="901"/>
      <c r="WTQ527" s="901"/>
      <c r="WTR527" s="901"/>
      <c r="WTS527" s="901"/>
      <c r="WTT527" s="901"/>
      <c r="WTU527" s="901"/>
      <c r="WTV527" s="901"/>
      <c r="WTW527" s="901"/>
      <c r="WTX527" s="901"/>
      <c r="WTY527" s="901"/>
      <c r="WTZ527" s="901"/>
      <c r="WUA527" s="901"/>
      <c r="WUB527" s="901"/>
      <c r="WUC527" s="901"/>
      <c r="WUD527" s="901"/>
      <c r="WUE527" s="901"/>
      <c r="WUF527" s="901"/>
      <c r="WUG527" s="901"/>
      <c r="WUH527" s="901"/>
      <c r="WUI527" s="901"/>
      <c r="WUJ527" s="901"/>
      <c r="WUK527" s="901"/>
      <c r="WUL527" s="901"/>
      <c r="WUM527" s="901"/>
      <c r="WUN527" s="901"/>
      <c r="WUO527" s="901"/>
      <c r="WUP527" s="901"/>
      <c r="WUQ527" s="901"/>
      <c r="WUR527" s="901"/>
      <c r="WUS527" s="901"/>
      <c r="WUT527" s="901"/>
      <c r="WUU527" s="901"/>
      <c r="WUV527" s="901"/>
      <c r="WUW527" s="901"/>
      <c r="WUX527" s="901"/>
      <c r="WUY527" s="901"/>
      <c r="WUZ527" s="901"/>
      <c r="WVA527" s="901"/>
      <c r="WVB527" s="901"/>
      <c r="WVC527" s="901"/>
      <c r="WVD527" s="901"/>
      <c r="WVE527" s="901"/>
      <c r="WVF527" s="901"/>
      <c r="WVG527" s="901"/>
      <c r="WVH527" s="901"/>
      <c r="WVI527" s="901"/>
      <c r="WVJ527" s="901"/>
      <c r="WVK527" s="901"/>
      <c r="WVL527" s="901"/>
      <c r="WVM527" s="901"/>
      <c r="WVN527" s="901"/>
      <c r="WVO527" s="901"/>
      <c r="WVP527" s="901"/>
      <c r="WVQ527" s="901"/>
      <c r="WVR527" s="901"/>
      <c r="WVS527" s="901"/>
      <c r="WVT527" s="901"/>
      <c r="WVU527" s="901"/>
      <c r="WVV527" s="901"/>
      <c r="WVW527" s="901"/>
      <c r="WVX527" s="901"/>
      <c r="WVY527" s="901"/>
      <c r="WVZ527" s="901"/>
      <c r="WWA527" s="901"/>
    </row>
    <row r="528" spans="1:16147" ht="18" customHeight="1">
      <c r="A528" s="878"/>
      <c r="B528" s="879"/>
      <c r="C528" s="898"/>
      <c r="D528" s="898"/>
      <c r="E528" s="898"/>
      <c r="F528" s="898"/>
      <c r="G528" s="879"/>
      <c r="H528" s="764"/>
      <c r="I528" s="764"/>
      <c r="J528" s="474"/>
      <c r="K528" s="1140" t="s">
        <v>1459</v>
      </c>
      <c r="L528" s="880" t="s">
        <v>6</v>
      </c>
      <c r="M528" s="1789" t="s">
        <v>1460</v>
      </c>
      <c r="N528" s="4"/>
      <c r="Q528" s="882"/>
      <c r="R528" s="882"/>
      <c r="S528" s="882"/>
      <c r="T528" s="45"/>
      <c r="U528" s="883"/>
      <c r="V528" s="900"/>
      <c r="W528" s="900"/>
      <c r="X528" s="900"/>
      <c r="Y528" s="901"/>
      <c r="Z528" s="901"/>
      <c r="AA528" s="901"/>
      <c r="AB528" s="901"/>
      <c r="AC528" s="901"/>
      <c r="AD528" s="901"/>
      <c r="AE528" s="901"/>
      <c r="AF528" s="901"/>
      <c r="AG528" s="901"/>
      <c r="AH528" s="901"/>
      <c r="AI528" s="901"/>
      <c r="AJ528" s="901"/>
      <c r="AK528" s="901"/>
      <c r="AL528" s="901"/>
      <c r="AM528" s="901"/>
      <c r="AN528" s="901"/>
      <c r="AO528" s="901"/>
      <c r="AP528" s="901"/>
      <c r="AQ528" s="901"/>
      <c r="AR528" s="901"/>
      <c r="AS528" s="901"/>
      <c r="AT528" s="901"/>
      <c r="AU528" s="901"/>
      <c r="AV528" s="901"/>
      <c r="AW528" s="901"/>
      <c r="AX528" s="901"/>
      <c r="AY528" s="901"/>
      <c r="AZ528" s="901"/>
      <c r="BA528" s="901"/>
      <c r="BB528" s="901"/>
      <c r="BC528" s="901"/>
      <c r="BD528" s="901"/>
      <c r="BE528" s="901"/>
      <c r="BF528" s="901"/>
      <c r="BG528" s="901"/>
      <c r="BH528" s="901"/>
      <c r="BI528" s="901"/>
      <c r="BJ528" s="901"/>
      <c r="BK528" s="901"/>
      <c r="BL528" s="901"/>
      <c r="BM528" s="901"/>
      <c r="BN528" s="901"/>
      <c r="BO528" s="901"/>
      <c r="BP528" s="901"/>
      <c r="BQ528" s="901"/>
      <c r="BR528" s="901"/>
      <c r="BS528" s="901"/>
      <c r="BT528" s="901"/>
      <c r="BU528" s="901"/>
      <c r="BV528" s="901"/>
      <c r="BW528" s="901"/>
      <c r="BX528" s="901"/>
      <c r="BY528" s="901"/>
      <c r="BZ528" s="901"/>
      <c r="CA528" s="901"/>
      <c r="CB528" s="901"/>
      <c r="CC528" s="901"/>
      <c r="CD528" s="901"/>
      <c r="CE528" s="901"/>
      <c r="CF528" s="901"/>
      <c r="CG528" s="901"/>
      <c r="CH528" s="901"/>
      <c r="CI528" s="901"/>
      <c r="CJ528" s="901"/>
      <c r="CK528" s="901"/>
      <c r="CL528" s="901"/>
      <c r="CM528" s="901"/>
      <c r="CN528" s="901"/>
      <c r="CO528" s="901"/>
      <c r="CP528" s="901"/>
      <c r="CQ528" s="901"/>
      <c r="CR528" s="901"/>
      <c r="CS528" s="901"/>
      <c r="CT528" s="901"/>
      <c r="CU528" s="901"/>
      <c r="CV528" s="901"/>
      <c r="CW528" s="901"/>
      <c r="CX528" s="901"/>
      <c r="CY528" s="901"/>
      <c r="CZ528" s="901"/>
      <c r="DA528" s="901"/>
      <c r="DB528" s="901"/>
      <c r="DC528" s="901"/>
      <c r="DD528" s="901"/>
      <c r="DE528" s="901"/>
      <c r="DF528" s="901"/>
      <c r="DG528" s="901"/>
      <c r="DH528" s="901"/>
      <c r="DI528" s="901"/>
      <c r="DJ528" s="901"/>
      <c r="DK528" s="901"/>
      <c r="DL528" s="901"/>
      <c r="DM528" s="901"/>
      <c r="DN528" s="901"/>
      <c r="DO528" s="901"/>
      <c r="DP528" s="901"/>
      <c r="DQ528" s="901"/>
      <c r="DR528" s="901"/>
      <c r="DS528" s="901"/>
      <c r="DT528" s="901"/>
      <c r="DU528" s="901"/>
      <c r="DV528" s="901"/>
      <c r="DW528" s="901"/>
      <c r="DX528" s="901"/>
      <c r="DY528" s="901"/>
      <c r="DZ528" s="901"/>
      <c r="EA528" s="901"/>
      <c r="EB528" s="901"/>
      <c r="EC528" s="901"/>
      <c r="ED528" s="901"/>
      <c r="EE528" s="901"/>
      <c r="EF528" s="901"/>
      <c r="EG528" s="901"/>
      <c r="EH528" s="901"/>
      <c r="EI528" s="901"/>
      <c r="EJ528" s="901"/>
      <c r="EK528" s="901"/>
      <c r="EL528" s="901"/>
      <c r="EM528" s="901"/>
      <c r="EN528" s="901"/>
      <c r="EO528" s="901"/>
      <c r="EP528" s="901"/>
      <c r="EQ528" s="901"/>
      <c r="ER528" s="901"/>
      <c r="ES528" s="901"/>
      <c r="ET528" s="901"/>
      <c r="EU528" s="901"/>
      <c r="EV528" s="901"/>
      <c r="EW528" s="901"/>
      <c r="EX528" s="901"/>
      <c r="EY528" s="901"/>
      <c r="EZ528" s="901"/>
      <c r="FA528" s="901"/>
      <c r="FB528" s="901"/>
      <c r="FC528" s="901"/>
      <c r="FD528" s="901"/>
      <c r="FE528" s="901"/>
      <c r="FF528" s="901"/>
      <c r="FG528" s="901"/>
      <c r="FH528" s="901"/>
      <c r="FI528" s="901"/>
      <c r="FJ528" s="901"/>
      <c r="FK528" s="901"/>
      <c r="FL528" s="901"/>
      <c r="FM528" s="901"/>
      <c r="FN528" s="901"/>
      <c r="FO528" s="901"/>
      <c r="FP528" s="901"/>
      <c r="FQ528" s="901"/>
      <c r="FR528" s="901"/>
      <c r="FS528" s="901"/>
      <c r="FT528" s="901"/>
      <c r="FU528" s="901"/>
      <c r="FV528" s="901"/>
      <c r="FW528" s="901"/>
      <c r="FX528" s="901"/>
      <c r="FY528" s="901"/>
      <c r="FZ528" s="901"/>
      <c r="GA528" s="901"/>
      <c r="GB528" s="901"/>
      <c r="GC528" s="901"/>
      <c r="GD528" s="901"/>
      <c r="GE528" s="901"/>
      <c r="GF528" s="901"/>
      <c r="GG528" s="901"/>
      <c r="GH528" s="901"/>
      <c r="GI528" s="901"/>
      <c r="GJ528" s="901"/>
      <c r="GK528" s="901"/>
      <c r="GL528" s="901"/>
      <c r="GM528" s="901"/>
      <c r="GN528" s="901"/>
      <c r="GO528" s="901"/>
      <c r="GP528" s="901"/>
      <c r="GQ528" s="901"/>
      <c r="GR528" s="901"/>
      <c r="GS528" s="901"/>
      <c r="GT528" s="901"/>
      <c r="GU528" s="901"/>
      <c r="GV528" s="901"/>
      <c r="GW528" s="901"/>
      <c r="GX528" s="901"/>
      <c r="GY528" s="901"/>
      <c r="GZ528" s="901"/>
      <c r="HA528" s="901"/>
      <c r="HB528" s="901"/>
      <c r="HC528" s="901"/>
      <c r="HD528" s="901"/>
      <c r="HE528" s="901"/>
      <c r="HF528" s="901"/>
      <c r="HG528" s="901"/>
      <c r="HH528" s="901"/>
      <c r="HI528" s="901"/>
      <c r="HJ528" s="901"/>
      <c r="HK528" s="901"/>
      <c r="HL528" s="901"/>
      <c r="HM528" s="901"/>
      <c r="HN528" s="901"/>
      <c r="HO528" s="901"/>
      <c r="HP528" s="901"/>
      <c r="HQ528" s="901"/>
      <c r="HR528" s="901"/>
      <c r="HS528" s="901"/>
      <c r="HT528" s="901"/>
      <c r="HU528" s="901"/>
      <c r="HV528" s="901"/>
      <c r="HW528" s="901"/>
      <c r="HX528" s="901"/>
      <c r="HY528" s="901"/>
      <c r="HZ528" s="901"/>
      <c r="IA528" s="901"/>
      <c r="IB528" s="901"/>
      <c r="IC528" s="901"/>
      <c r="ID528" s="901"/>
      <c r="IE528" s="901"/>
      <c r="IF528" s="901"/>
      <c r="IG528" s="901"/>
      <c r="IH528" s="901"/>
      <c r="II528" s="901"/>
      <c r="IJ528" s="901"/>
      <c r="IK528" s="901"/>
      <c r="IL528" s="901"/>
      <c r="IM528" s="901"/>
      <c r="IN528" s="901"/>
      <c r="IO528" s="901"/>
      <c r="IP528" s="901"/>
      <c r="IQ528" s="901"/>
      <c r="IR528" s="901"/>
      <c r="IS528" s="901"/>
      <c r="IT528" s="901"/>
      <c r="IU528" s="901"/>
      <c r="IV528" s="901"/>
      <c r="IW528" s="901"/>
      <c r="IX528" s="901"/>
      <c r="IY528" s="901"/>
      <c r="IZ528" s="901"/>
      <c r="JA528" s="901"/>
      <c r="JB528" s="901"/>
      <c r="JC528" s="901"/>
      <c r="JD528" s="901"/>
      <c r="JE528" s="901"/>
      <c r="JF528" s="901"/>
      <c r="JG528" s="901"/>
      <c r="JH528" s="901"/>
      <c r="JI528" s="901"/>
      <c r="JJ528" s="901"/>
      <c r="JK528" s="901"/>
      <c r="JL528" s="901"/>
      <c r="JM528" s="901"/>
      <c r="JN528" s="901"/>
      <c r="JO528" s="901"/>
      <c r="JP528" s="901"/>
      <c r="JQ528" s="901"/>
      <c r="JR528" s="901"/>
      <c r="JS528" s="901"/>
      <c r="JT528" s="901"/>
      <c r="JU528" s="901"/>
      <c r="JV528" s="901"/>
      <c r="JW528" s="901"/>
      <c r="JX528" s="901"/>
      <c r="JY528" s="901"/>
      <c r="JZ528" s="901"/>
      <c r="KA528" s="901"/>
      <c r="KB528" s="901"/>
      <c r="KC528" s="901"/>
      <c r="KD528" s="901"/>
      <c r="KE528" s="901"/>
      <c r="KF528" s="901"/>
      <c r="KG528" s="901"/>
      <c r="KH528" s="901"/>
      <c r="KI528" s="901"/>
      <c r="KJ528" s="901"/>
      <c r="KK528" s="901"/>
      <c r="KL528" s="901"/>
      <c r="KM528" s="901"/>
      <c r="KN528" s="901"/>
      <c r="KO528" s="901"/>
      <c r="KP528" s="901"/>
      <c r="KQ528" s="901"/>
      <c r="KR528" s="901"/>
      <c r="KS528" s="901"/>
      <c r="KT528" s="901"/>
      <c r="KU528" s="901"/>
      <c r="KV528" s="901"/>
      <c r="KW528" s="901"/>
      <c r="KX528" s="901"/>
      <c r="KY528" s="901"/>
      <c r="KZ528" s="901"/>
      <c r="LA528" s="901"/>
      <c r="LB528" s="901"/>
      <c r="LC528" s="901"/>
      <c r="LD528" s="901"/>
      <c r="LE528" s="901"/>
      <c r="LF528" s="901"/>
      <c r="LG528" s="901"/>
      <c r="LH528" s="901"/>
      <c r="LI528" s="901"/>
      <c r="LJ528" s="901"/>
      <c r="LK528" s="901"/>
      <c r="LL528" s="901"/>
      <c r="LM528" s="901"/>
      <c r="LN528" s="901"/>
      <c r="LO528" s="901"/>
      <c r="LP528" s="901"/>
      <c r="LQ528" s="901"/>
      <c r="LR528" s="901"/>
      <c r="LS528" s="901"/>
      <c r="LT528" s="901"/>
      <c r="LU528" s="901"/>
      <c r="LV528" s="901"/>
      <c r="LW528" s="901"/>
      <c r="LX528" s="901"/>
      <c r="LY528" s="901"/>
      <c r="LZ528" s="901"/>
      <c r="MA528" s="901"/>
      <c r="MB528" s="901"/>
      <c r="MC528" s="901"/>
      <c r="MD528" s="901"/>
      <c r="ME528" s="901"/>
      <c r="MF528" s="901"/>
      <c r="MG528" s="901"/>
      <c r="MH528" s="901"/>
      <c r="MI528" s="901"/>
      <c r="MJ528" s="901"/>
      <c r="MK528" s="901"/>
      <c r="ML528" s="901"/>
      <c r="MM528" s="901"/>
      <c r="MN528" s="901"/>
      <c r="MO528" s="901"/>
      <c r="MP528" s="901"/>
      <c r="MQ528" s="901"/>
      <c r="MR528" s="901"/>
      <c r="MS528" s="901"/>
      <c r="MT528" s="901"/>
      <c r="MU528" s="901"/>
      <c r="MV528" s="901"/>
      <c r="MW528" s="901"/>
      <c r="MX528" s="901"/>
      <c r="MY528" s="901"/>
      <c r="MZ528" s="901"/>
      <c r="NA528" s="901"/>
      <c r="NB528" s="901"/>
      <c r="NC528" s="901"/>
      <c r="ND528" s="901"/>
      <c r="NE528" s="901"/>
      <c r="NF528" s="901"/>
      <c r="NG528" s="901"/>
      <c r="NH528" s="901"/>
      <c r="NI528" s="901"/>
      <c r="NJ528" s="901"/>
      <c r="NK528" s="901"/>
      <c r="NL528" s="901"/>
      <c r="NM528" s="901"/>
      <c r="NN528" s="901"/>
      <c r="NO528" s="901"/>
      <c r="NP528" s="901"/>
      <c r="NQ528" s="901"/>
      <c r="NR528" s="901"/>
      <c r="NS528" s="901"/>
      <c r="NT528" s="901"/>
      <c r="NU528" s="901"/>
      <c r="NV528" s="901"/>
      <c r="NW528" s="901"/>
      <c r="NX528" s="901"/>
      <c r="NY528" s="901"/>
      <c r="NZ528" s="901"/>
      <c r="OA528" s="901"/>
      <c r="OB528" s="901"/>
      <c r="OC528" s="901"/>
      <c r="OD528" s="901"/>
      <c r="OE528" s="901"/>
      <c r="OF528" s="901"/>
      <c r="OG528" s="901"/>
      <c r="OH528" s="901"/>
      <c r="OI528" s="901"/>
      <c r="OJ528" s="901"/>
      <c r="OK528" s="901"/>
      <c r="OL528" s="901"/>
      <c r="OM528" s="901"/>
      <c r="ON528" s="901"/>
      <c r="OO528" s="901"/>
      <c r="OP528" s="901"/>
      <c r="OQ528" s="901"/>
      <c r="OR528" s="901"/>
      <c r="OS528" s="901"/>
      <c r="OT528" s="901"/>
      <c r="OU528" s="901"/>
      <c r="OV528" s="901"/>
      <c r="OW528" s="901"/>
      <c r="OX528" s="901"/>
      <c r="OY528" s="901"/>
      <c r="OZ528" s="901"/>
      <c r="PA528" s="901"/>
      <c r="PB528" s="901"/>
      <c r="PC528" s="901"/>
      <c r="PD528" s="901"/>
      <c r="PE528" s="901"/>
      <c r="PF528" s="901"/>
      <c r="PG528" s="901"/>
      <c r="PH528" s="901"/>
      <c r="PI528" s="901"/>
      <c r="PJ528" s="901"/>
      <c r="PK528" s="901"/>
      <c r="PL528" s="901"/>
      <c r="PM528" s="901"/>
      <c r="PN528" s="901"/>
      <c r="PO528" s="901"/>
      <c r="PP528" s="901"/>
      <c r="PQ528" s="901"/>
      <c r="PR528" s="901"/>
      <c r="PS528" s="901"/>
      <c r="PT528" s="901"/>
      <c r="PU528" s="901"/>
      <c r="PV528" s="901"/>
      <c r="PW528" s="901"/>
      <c r="PX528" s="901"/>
      <c r="PY528" s="901"/>
      <c r="PZ528" s="901"/>
      <c r="QA528" s="901"/>
      <c r="QB528" s="901"/>
      <c r="QC528" s="901"/>
      <c r="QD528" s="901"/>
      <c r="QE528" s="901"/>
      <c r="QF528" s="901"/>
      <c r="QG528" s="901"/>
      <c r="QH528" s="901"/>
      <c r="QI528" s="901"/>
      <c r="QJ528" s="901"/>
      <c r="QK528" s="901"/>
      <c r="QL528" s="901"/>
      <c r="QM528" s="901"/>
      <c r="QN528" s="901"/>
      <c r="QO528" s="901"/>
      <c r="QP528" s="901"/>
      <c r="QQ528" s="901"/>
      <c r="QR528" s="901"/>
      <c r="QS528" s="901"/>
      <c r="QT528" s="901"/>
      <c r="QU528" s="901"/>
      <c r="QV528" s="901"/>
      <c r="QW528" s="901"/>
      <c r="QX528" s="901"/>
      <c r="QY528" s="901"/>
      <c r="QZ528" s="901"/>
      <c r="RA528" s="901"/>
      <c r="RB528" s="901"/>
      <c r="RC528" s="901"/>
      <c r="RD528" s="901"/>
      <c r="RE528" s="901"/>
      <c r="RF528" s="901"/>
      <c r="RG528" s="901"/>
      <c r="RH528" s="901"/>
      <c r="RI528" s="901"/>
      <c r="RJ528" s="901"/>
      <c r="RK528" s="901"/>
      <c r="RL528" s="901"/>
      <c r="RM528" s="901"/>
      <c r="RN528" s="901"/>
      <c r="RO528" s="901"/>
      <c r="RP528" s="901"/>
      <c r="RQ528" s="901"/>
      <c r="RR528" s="901"/>
      <c r="RS528" s="901"/>
      <c r="RT528" s="901"/>
      <c r="RU528" s="901"/>
      <c r="RV528" s="901"/>
      <c r="RW528" s="901"/>
      <c r="RX528" s="901"/>
      <c r="RY528" s="901"/>
      <c r="RZ528" s="901"/>
      <c r="SA528" s="901"/>
      <c r="SB528" s="901"/>
      <c r="SC528" s="901"/>
      <c r="SD528" s="901"/>
      <c r="SE528" s="901"/>
      <c r="SF528" s="901"/>
      <c r="SG528" s="901"/>
      <c r="SH528" s="901"/>
      <c r="SI528" s="901"/>
      <c r="SJ528" s="901"/>
      <c r="SK528" s="901"/>
      <c r="SL528" s="901"/>
      <c r="SM528" s="901"/>
      <c r="SN528" s="901"/>
      <c r="SO528" s="901"/>
      <c r="SP528" s="901"/>
      <c r="SQ528" s="901"/>
      <c r="SR528" s="901"/>
      <c r="SS528" s="901"/>
      <c r="ST528" s="901"/>
      <c r="SU528" s="901"/>
      <c r="SV528" s="901"/>
      <c r="SW528" s="901"/>
      <c r="SX528" s="901"/>
      <c r="SY528" s="901"/>
      <c r="SZ528" s="901"/>
      <c r="TA528" s="901"/>
      <c r="TB528" s="901"/>
      <c r="TC528" s="901"/>
      <c r="TD528" s="901"/>
      <c r="TE528" s="901"/>
      <c r="TF528" s="901"/>
      <c r="TG528" s="901"/>
      <c r="TH528" s="901"/>
      <c r="TI528" s="901"/>
      <c r="TJ528" s="901"/>
      <c r="TK528" s="901"/>
      <c r="TL528" s="901"/>
      <c r="TM528" s="901"/>
      <c r="TN528" s="901"/>
      <c r="TO528" s="901"/>
      <c r="TP528" s="901"/>
      <c r="TQ528" s="901"/>
      <c r="TR528" s="901"/>
      <c r="TS528" s="901"/>
      <c r="TT528" s="901"/>
      <c r="TU528" s="901"/>
      <c r="TV528" s="901"/>
      <c r="TW528" s="901"/>
      <c r="TX528" s="901"/>
      <c r="TY528" s="901"/>
      <c r="TZ528" s="901"/>
      <c r="UA528" s="901"/>
      <c r="UB528" s="901"/>
      <c r="UC528" s="901"/>
      <c r="UD528" s="901"/>
      <c r="UE528" s="901"/>
      <c r="UF528" s="901"/>
      <c r="UG528" s="901"/>
      <c r="UH528" s="901"/>
      <c r="UI528" s="901"/>
      <c r="UJ528" s="901"/>
      <c r="UK528" s="901"/>
      <c r="UL528" s="901"/>
      <c r="UM528" s="901"/>
      <c r="UN528" s="901"/>
      <c r="UO528" s="901"/>
      <c r="UP528" s="901"/>
      <c r="UQ528" s="901"/>
      <c r="UR528" s="901"/>
      <c r="US528" s="901"/>
      <c r="UT528" s="901"/>
      <c r="UU528" s="901"/>
      <c r="UV528" s="901"/>
      <c r="UW528" s="901"/>
      <c r="UX528" s="901"/>
      <c r="UY528" s="901"/>
      <c r="UZ528" s="901"/>
      <c r="VA528" s="901"/>
      <c r="VB528" s="901"/>
      <c r="VC528" s="901"/>
      <c r="VD528" s="901"/>
      <c r="VE528" s="901"/>
      <c r="VF528" s="901"/>
      <c r="VG528" s="901"/>
      <c r="VH528" s="901"/>
      <c r="VI528" s="901"/>
      <c r="VJ528" s="901"/>
      <c r="VK528" s="901"/>
      <c r="VL528" s="901"/>
      <c r="VM528" s="901"/>
      <c r="VN528" s="901"/>
      <c r="VO528" s="901"/>
      <c r="VP528" s="901"/>
      <c r="VQ528" s="901"/>
      <c r="VR528" s="901"/>
      <c r="VS528" s="901"/>
      <c r="VT528" s="901"/>
      <c r="VU528" s="901"/>
      <c r="VV528" s="901"/>
      <c r="VW528" s="901"/>
      <c r="VX528" s="901"/>
      <c r="VY528" s="901"/>
      <c r="VZ528" s="901"/>
      <c r="WA528" s="901"/>
      <c r="WB528" s="901"/>
      <c r="WC528" s="901"/>
      <c r="WD528" s="901"/>
      <c r="WE528" s="901"/>
      <c r="WF528" s="901"/>
      <c r="WG528" s="901"/>
      <c r="WH528" s="901"/>
      <c r="WI528" s="901"/>
      <c r="WJ528" s="901"/>
      <c r="WK528" s="901"/>
      <c r="WL528" s="901"/>
      <c r="WM528" s="901"/>
      <c r="WN528" s="901"/>
      <c r="WO528" s="901"/>
      <c r="WP528" s="901"/>
      <c r="WQ528" s="901"/>
      <c r="WR528" s="901"/>
      <c r="WS528" s="901"/>
      <c r="WT528" s="901"/>
      <c r="WU528" s="901"/>
      <c r="WV528" s="901"/>
      <c r="WW528" s="901"/>
      <c r="WX528" s="901"/>
      <c r="WY528" s="901"/>
      <c r="WZ528" s="901"/>
      <c r="XA528" s="901"/>
      <c r="XB528" s="901"/>
      <c r="XC528" s="901"/>
      <c r="XD528" s="901"/>
      <c r="XE528" s="901"/>
      <c r="XF528" s="901"/>
      <c r="XG528" s="901"/>
      <c r="XH528" s="901"/>
      <c r="XI528" s="901"/>
      <c r="XJ528" s="901"/>
      <c r="XK528" s="901"/>
      <c r="XL528" s="901"/>
      <c r="XM528" s="901"/>
      <c r="XN528" s="901"/>
      <c r="XO528" s="901"/>
      <c r="XP528" s="901"/>
      <c r="XQ528" s="901"/>
      <c r="XR528" s="901"/>
      <c r="XS528" s="901"/>
      <c r="XT528" s="901"/>
      <c r="XU528" s="901"/>
      <c r="XV528" s="901"/>
      <c r="XW528" s="901"/>
      <c r="XX528" s="901"/>
      <c r="XY528" s="901"/>
      <c r="XZ528" s="901"/>
      <c r="YA528" s="901"/>
      <c r="YB528" s="901"/>
      <c r="YC528" s="901"/>
      <c r="YD528" s="901"/>
      <c r="YE528" s="901"/>
      <c r="YF528" s="901"/>
      <c r="YG528" s="901"/>
      <c r="YH528" s="901"/>
      <c r="YI528" s="901"/>
      <c r="YJ528" s="901"/>
      <c r="YK528" s="901"/>
      <c r="YL528" s="901"/>
      <c r="YM528" s="901"/>
      <c r="YN528" s="901"/>
      <c r="YO528" s="901"/>
      <c r="YP528" s="901"/>
      <c r="YQ528" s="901"/>
      <c r="YR528" s="901"/>
      <c r="YS528" s="901"/>
      <c r="YT528" s="901"/>
      <c r="YU528" s="901"/>
      <c r="YV528" s="901"/>
      <c r="YW528" s="901"/>
      <c r="YX528" s="901"/>
      <c r="YY528" s="901"/>
      <c r="YZ528" s="901"/>
      <c r="ZA528" s="901"/>
      <c r="ZB528" s="901"/>
      <c r="ZC528" s="901"/>
      <c r="ZD528" s="901"/>
      <c r="ZE528" s="901"/>
      <c r="ZF528" s="901"/>
      <c r="ZG528" s="901"/>
      <c r="ZH528" s="901"/>
      <c r="ZI528" s="901"/>
      <c r="ZJ528" s="901"/>
      <c r="ZK528" s="901"/>
      <c r="ZL528" s="901"/>
      <c r="ZM528" s="901"/>
      <c r="ZN528" s="901"/>
      <c r="ZO528" s="901"/>
      <c r="ZP528" s="901"/>
      <c r="ZQ528" s="901"/>
      <c r="ZR528" s="901"/>
      <c r="ZS528" s="901"/>
      <c r="ZT528" s="901"/>
      <c r="ZU528" s="901"/>
      <c r="ZV528" s="901"/>
      <c r="ZW528" s="901"/>
      <c r="ZX528" s="901"/>
      <c r="ZY528" s="901"/>
      <c r="ZZ528" s="901"/>
      <c r="AAA528" s="901"/>
      <c r="AAB528" s="901"/>
      <c r="AAC528" s="901"/>
      <c r="AAD528" s="901"/>
      <c r="AAE528" s="901"/>
      <c r="AAF528" s="901"/>
      <c r="AAG528" s="901"/>
      <c r="AAH528" s="901"/>
      <c r="AAI528" s="901"/>
      <c r="AAJ528" s="901"/>
      <c r="AAK528" s="901"/>
      <c r="AAL528" s="901"/>
      <c r="AAM528" s="901"/>
      <c r="AAN528" s="901"/>
      <c r="AAO528" s="901"/>
      <c r="AAP528" s="901"/>
      <c r="AAQ528" s="901"/>
      <c r="AAR528" s="901"/>
      <c r="AAS528" s="901"/>
      <c r="AAT528" s="901"/>
      <c r="AAU528" s="901"/>
      <c r="AAV528" s="901"/>
      <c r="AAW528" s="901"/>
      <c r="AAX528" s="901"/>
      <c r="AAY528" s="901"/>
      <c r="AAZ528" s="901"/>
      <c r="ABA528" s="901"/>
      <c r="ABB528" s="901"/>
      <c r="ABC528" s="901"/>
      <c r="ABD528" s="901"/>
      <c r="ABE528" s="901"/>
      <c r="ABF528" s="901"/>
      <c r="ABG528" s="901"/>
      <c r="ABH528" s="901"/>
      <c r="ABI528" s="901"/>
      <c r="ABJ528" s="901"/>
      <c r="ABK528" s="901"/>
      <c r="ABL528" s="901"/>
      <c r="ABM528" s="901"/>
      <c r="ABN528" s="901"/>
      <c r="ABO528" s="901"/>
      <c r="ABP528" s="901"/>
      <c r="ABQ528" s="901"/>
      <c r="ABR528" s="901"/>
      <c r="ABS528" s="901"/>
      <c r="ABT528" s="901"/>
      <c r="ABU528" s="901"/>
      <c r="ABV528" s="901"/>
      <c r="ABW528" s="901"/>
      <c r="ABX528" s="901"/>
      <c r="ABY528" s="901"/>
      <c r="ABZ528" s="901"/>
      <c r="ACA528" s="901"/>
      <c r="ACB528" s="901"/>
      <c r="ACC528" s="901"/>
      <c r="ACD528" s="901"/>
      <c r="ACE528" s="901"/>
      <c r="ACF528" s="901"/>
      <c r="ACG528" s="901"/>
      <c r="ACH528" s="901"/>
      <c r="ACI528" s="901"/>
      <c r="ACJ528" s="901"/>
      <c r="ACK528" s="901"/>
      <c r="ACL528" s="901"/>
      <c r="ACM528" s="901"/>
      <c r="ACN528" s="901"/>
      <c r="ACO528" s="901"/>
      <c r="ACP528" s="901"/>
      <c r="ACQ528" s="901"/>
      <c r="ACR528" s="901"/>
      <c r="ACS528" s="901"/>
      <c r="ACT528" s="901"/>
      <c r="ACU528" s="901"/>
      <c r="ACV528" s="901"/>
      <c r="ACW528" s="901"/>
      <c r="ACX528" s="901"/>
      <c r="ACY528" s="901"/>
      <c r="ACZ528" s="901"/>
      <c r="ADA528" s="901"/>
      <c r="ADB528" s="901"/>
      <c r="ADC528" s="901"/>
      <c r="ADD528" s="901"/>
      <c r="ADE528" s="901"/>
      <c r="ADF528" s="901"/>
      <c r="ADG528" s="901"/>
      <c r="ADH528" s="901"/>
      <c r="ADI528" s="901"/>
      <c r="ADJ528" s="901"/>
      <c r="ADK528" s="901"/>
      <c r="ADL528" s="901"/>
      <c r="ADM528" s="901"/>
      <c r="ADN528" s="901"/>
      <c r="ADO528" s="901"/>
      <c r="ADP528" s="901"/>
      <c r="ADQ528" s="901"/>
      <c r="ADR528" s="901"/>
      <c r="ADS528" s="901"/>
      <c r="ADT528" s="901"/>
      <c r="ADU528" s="901"/>
      <c r="ADV528" s="901"/>
      <c r="ADW528" s="901"/>
      <c r="ADX528" s="901"/>
      <c r="ADY528" s="901"/>
      <c r="ADZ528" s="901"/>
      <c r="AEA528" s="901"/>
      <c r="AEB528" s="901"/>
      <c r="AEC528" s="901"/>
      <c r="AED528" s="901"/>
      <c r="AEE528" s="901"/>
      <c r="AEF528" s="901"/>
      <c r="AEG528" s="901"/>
      <c r="AEH528" s="901"/>
      <c r="AEI528" s="901"/>
      <c r="AEJ528" s="901"/>
      <c r="AEK528" s="901"/>
      <c r="AEL528" s="901"/>
      <c r="AEM528" s="901"/>
      <c r="AEN528" s="901"/>
      <c r="AEO528" s="901"/>
      <c r="AEP528" s="901"/>
      <c r="AEQ528" s="901"/>
      <c r="AER528" s="901"/>
      <c r="AES528" s="901"/>
      <c r="AET528" s="901"/>
      <c r="AEU528" s="901"/>
      <c r="AEV528" s="901"/>
      <c r="AEW528" s="901"/>
      <c r="AEX528" s="901"/>
      <c r="AEY528" s="901"/>
      <c r="AEZ528" s="901"/>
      <c r="AFA528" s="901"/>
      <c r="AFB528" s="901"/>
      <c r="AFC528" s="901"/>
      <c r="AFD528" s="901"/>
      <c r="AFE528" s="901"/>
      <c r="AFF528" s="901"/>
      <c r="AFG528" s="901"/>
      <c r="AFH528" s="901"/>
      <c r="AFI528" s="901"/>
      <c r="AFJ528" s="901"/>
      <c r="AFK528" s="901"/>
      <c r="AFL528" s="901"/>
      <c r="AFM528" s="901"/>
      <c r="AFN528" s="901"/>
      <c r="AFO528" s="901"/>
      <c r="AFP528" s="901"/>
      <c r="AFQ528" s="901"/>
      <c r="AFR528" s="901"/>
      <c r="AFS528" s="901"/>
      <c r="AFT528" s="901"/>
      <c r="AFU528" s="901"/>
      <c r="AFV528" s="901"/>
      <c r="AFW528" s="901"/>
      <c r="AFX528" s="901"/>
      <c r="AFY528" s="901"/>
      <c r="AFZ528" s="901"/>
      <c r="AGA528" s="901"/>
      <c r="AGB528" s="901"/>
      <c r="AGC528" s="901"/>
      <c r="AGD528" s="901"/>
      <c r="AGE528" s="901"/>
      <c r="AGF528" s="901"/>
      <c r="AGG528" s="901"/>
      <c r="AGH528" s="901"/>
      <c r="AGI528" s="901"/>
      <c r="AGJ528" s="901"/>
      <c r="AGK528" s="901"/>
      <c r="AGL528" s="901"/>
      <c r="AGM528" s="901"/>
      <c r="AGN528" s="901"/>
      <c r="AGO528" s="901"/>
      <c r="AGP528" s="901"/>
      <c r="AGQ528" s="901"/>
      <c r="AGR528" s="901"/>
      <c r="AGS528" s="901"/>
      <c r="AGT528" s="901"/>
      <c r="AGU528" s="901"/>
      <c r="AGV528" s="901"/>
      <c r="AGW528" s="901"/>
      <c r="AGX528" s="901"/>
      <c r="AGY528" s="901"/>
      <c r="AGZ528" s="901"/>
      <c r="AHA528" s="901"/>
      <c r="AHB528" s="901"/>
      <c r="AHC528" s="901"/>
      <c r="AHD528" s="901"/>
      <c r="AHE528" s="901"/>
      <c r="AHF528" s="901"/>
      <c r="AHG528" s="901"/>
      <c r="AHH528" s="901"/>
      <c r="AHI528" s="901"/>
      <c r="AHJ528" s="901"/>
      <c r="AHK528" s="901"/>
      <c r="AHL528" s="901"/>
      <c r="AHM528" s="901"/>
      <c r="AHN528" s="901"/>
      <c r="AHO528" s="901"/>
      <c r="AHP528" s="901"/>
      <c r="AHQ528" s="901"/>
      <c r="AHR528" s="901"/>
      <c r="AHS528" s="901"/>
      <c r="AHT528" s="901"/>
      <c r="AHU528" s="901"/>
      <c r="AHV528" s="901"/>
      <c r="AHW528" s="901"/>
      <c r="AHX528" s="901"/>
      <c r="AHY528" s="901"/>
      <c r="AHZ528" s="901"/>
      <c r="AIA528" s="901"/>
      <c r="AIB528" s="901"/>
      <c r="AIC528" s="901"/>
      <c r="AID528" s="901"/>
      <c r="AIE528" s="901"/>
      <c r="AIF528" s="901"/>
      <c r="AIG528" s="901"/>
      <c r="AIH528" s="901"/>
      <c r="AII528" s="901"/>
      <c r="AIJ528" s="901"/>
      <c r="AIK528" s="901"/>
      <c r="AIL528" s="901"/>
      <c r="AIM528" s="901"/>
      <c r="AIN528" s="901"/>
      <c r="AIO528" s="901"/>
      <c r="AIP528" s="901"/>
      <c r="AIQ528" s="901"/>
      <c r="AIR528" s="901"/>
      <c r="AIS528" s="901"/>
      <c r="AIT528" s="901"/>
      <c r="AIU528" s="901"/>
      <c r="AIV528" s="901"/>
      <c r="AIW528" s="901"/>
      <c r="AIX528" s="901"/>
      <c r="AIY528" s="901"/>
      <c r="AIZ528" s="901"/>
      <c r="AJA528" s="901"/>
      <c r="AJB528" s="901"/>
      <c r="AJC528" s="901"/>
      <c r="AJD528" s="901"/>
      <c r="AJE528" s="901"/>
      <c r="AJF528" s="901"/>
      <c r="AJG528" s="901"/>
      <c r="AJH528" s="901"/>
      <c r="AJI528" s="901"/>
      <c r="AJJ528" s="901"/>
      <c r="AJK528" s="901"/>
      <c r="AJL528" s="901"/>
      <c r="AJM528" s="901"/>
      <c r="AJN528" s="901"/>
      <c r="AJO528" s="901"/>
      <c r="AJP528" s="901"/>
      <c r="AJQ528" s="901"/>
      <c r="AJR528" s="901"/>
      <c r="AJS528" s="901"/>
      <c r="AJT528" s="901"/>
      <c r="AJU528" s="901"/>
      <c r="AJV528" s="901"/>
      <c r="AJW528" s="901"/>
      <c r="AJX528" s="901"/>
      <c r="AJY528" s="901"/>
      <c r="AJZ528" s="901"/>
      <c r="AKA528" s="901"/>
      <c r="AKB528" s="901"/>
      <c r="AKC528" s="901"/>
      <c r="AKD528" s="901"/>
      <c r="AKE528" s="901"/>
      <c r="AKF528" s="901"/>
      <c r="AKG528" s="901"/>
      <c r="AKH528" s="901"/>
      <c r="AKI528" s="901"/>
      <c r="AKJ528" s="901"/>
      <c r="AKK528" s="901"/>
      <c r="AKL528" s="901"/>
      <c r="AKM528" s="901"/>
      <c r="AKN528" s="901"/>
      <c r="AKO528" s="901"/>
      <c r="AKP528" s="901"/>
      <c r="AKQ528" s="901"/>
      <c r="AKR528" s="901"/>
      <c r="AKS528" s="901"/>
      <c r="AKT528" s="901"/>
      <c r="AKU528" s="901"/>
      <c r="AKV528" s="901"/>
      <c r="AKW528" s="901"/>
      <c r="AKX528" s="901"/>
      <c r="AKY528" s="901"/>
      <c r="AKZ528" s="901"/>
      <c r="ALA528" s="901"/>
      <c r="ALB528" s="901"/>
      <c r="ALC528" s="901"/>
      <c r="ALD528" s="901"/>
      <c r="ALE528" s="901"/>
      <c r="ALF528" s="901"/>
      <c r="ALG528" s="901"/>
      <c r="ALH528" s="901"/>
      <c r="ALI528" s="901"/>
      <c r="ALJ528" s="901"/>
      <c r="ALK528" s="901"/>
      <c r="ALL528" s="901"/>
      <c r="ALM528" s="901"/>
      <c r="ALN528" s="901"/>
      <c r="ALO528" s="901"/>
      <c r="ALP528" s="901"/>
      <c r="ALQ528" s="901"/>
      <c r="ALR528" s="901"/>
      <c r="ALS528" s="901"/>
      <c r="ALT528" s="901"/>
      <c r="ALU528" s="901"/>
      <c r="ALV528" s="901"/>
      <c r="ALW528" s="901"/>
      <c r="ALX528" s="901"/>
      <c r="ALY528" s="901"/>
      <c r="ALZ528" s="901"/>
      <c r="AMA528" s="901"/>
      <c r="AMB528" s="901"/>
      <c r="AMC528" s="901"/>
      <c r="AMD528" s="901"/>
      <c r="AME528" s="901"/>
      <c r="AMF528" s="901"/>
      <c r="AMG528" s="901"/>
      <c r="AMH528" s="901"/>
      <c r="AMI528" s="901"/>
      <c r="AMJ528" s="901"/>
      <c r="AMK528" s="901"/>
      <c r="AML528" s="901"/>
      <c r="AMM528" s="901"/>
      <c r="AMN528" s="901"/>
      <c r="AMO528" s="901"/>
      <c r="AMP528" s="901"/>
      <c r="AMQ528" s="901"/>
      <c r="AMR528" s="901"/>
      <c r="AMS528" s="901"/>
      <c r="AMT528" s="901"/>
      <c r="AMU528" s="901"/>
      <c r="AMV528" s="901"/>
      <c r="AMW528" s="901"/>
      <c r="AMX528" s="901"/>
      <c r="AMY528" s="901"/>
      <c r="AMZ528" s="901"/>
      <c r="ANA528" s="901"/>
      <c r="ANB528" s="901"/>
      <c r="ANC528" s="901"/>
      <c r="AND528" s="901"/>
      <c r="ANE528" s="901"/>
      <c r="ANF528" s="901"/>
      <c r="ANG528" s="901"/>
      <c r="ANH528" s="901"/>
      <c r="ANI528" s="901"/>
      <c r="ANJ528" s="901"/>
      <c r="ANK528" s="901"/>
      <c r="ANL528" s="901"/>
      <c r="ANM528" s="901"/>
      <c r="ANN528" s="901"/>
      <c r="ANO528" s="901"/>
      <c r="ANP528" s="901"/>
      <c r="ANQ528" s="901"/>
      <c r="ANR528" s="901"/>
      <c r="ANS528" s="901"/>
      <c r="ANT528" s="901"/>
      <c r="ANU528" s="901"/>
      <c r="ANV528" s="901"/>
      <c r="ANW528" s="901"/>
      <c r="ANX528" s="901"/>
      <c r="ANY528" s="901"/>
      <c r="ANZ528" s="901"/>
      <c r="AOA528" s="901"/>
      <c r="AOB528" s="901"/>
      <c r="AOC528" s="901"/>
      <c r="AOD528" s="901"/>
      <c r="AOE528" s="901"/>
      <c r="AOF528" s="901"/>
      <c r="AOG528" s="901"/>
      <c r="AOH528" s="901"/>
      <c r="AOI528" s="901"/>
      <c r="AOJ528" s="901"/>
      <c r="AOK528" s="901"/>
      <c r="AOL528" s="901"/>
      <c r="AOM528" s="901"/>
      <c r="AON528" s="901"/>
      <c r="AOO528" s="901"/>
      <c r="AOP528" s="901"/>
      <c r="AOQ528" s="901"/>
      <c r="AOR528" s="901"/>
      <c r="AOS528" s="901"/>
      <c r="AOT528" s="901"/>
      <c r="AOU528" s="901"/>
      <c r="AOV528" s="901"/>
      <c r="AOW528" s="901"/>
      <c r="AOX528" s="901"/>
      <c r="AOY528" s="901"/>
      <c r="AOZ528" s="901"/>
      <c r="APA528" s="901"/>
      <c r="APB528" s="901"/>
      <c r="APC528" s="901"/>
      <c r="APD528" s="901"/>
      <c r="APE528" s="901"/>
      <c r="APF528" s="901"/>
      <c r="APG528" s="901"/>
      <c r="APH528" s="901"/>
      <c r="API528" s="901"/>
      <c r="APJ528" s="901"/>
      <c r="APK528" s="901"/>
      <c r="APL528" s="901"/>
      <c r="APM528" s="901"/>
      <c r="APN528" s="901"/>
      <c r="APO528" s="901"/>
      <c r="APP528" s="901"/>
      <c r="APQ528" s="901"/>
      <c r="APR528" s="901"/>
      <c r="APS528" s="901"/>
      <c r="APT528" s="901"/>
      <c r="APU528" s="901"/>
      <c r="APV528" s="901"/>
      <c r="APW528" s="901"/>
      <c r="APX528" s="901"/>
      <c r="APY528" s="901"/>
      <c r="APZ528" s="901"/>
      <c r="AQA528" s="901"/>
      <c r="AQB528" s="901"/>
      <c r="AQC528" s="901"/>
      <c r="AQD528" s="901"/>
      <c r="AQE528" s="901"/>
      <c r="AQF528" s="901"/>
      <c r="AQG528" s="901"/>
      <c r="AQH528" s="901"/>
      <c r="AQI528" s="901"/>
      <c r="AQJ528" s="901"/>
      <c r="AQK528" s="901"/>
      <c r="AQL528" s="901"/>
      <c r="AQM528" s="901"/>
      <c r="AQN528" s="901"/>
      <c r="AQO528" s="901"/>
      <c r="AQP528" s="901"/>
      <c r="AQQ528" s="901"/>
      <c r="AQR528" s="901"/>
      <c r="AQS528" s="901"/>
      <c r="AQT528" s="901"/>
      <c r="AQU528" s="901"/>
      <c r="AQV528" s="901"/>
      <c r="AQW528" s="901"/>
      <c r="AQX528" s="901"/>
      <c r="AQY528" s="901"/>
      <c r="AQZ528" s="901"/>
      <c r="ARA528" s="901"/>
      <c r="ARB528" s="901"/>
      <c r="ARC528" s="901"/>
      <c r="ARD528" s="901"/>
      <c r="ARE528" s="901"/>
      <c r="ARF528" s="901"/>
      <c r="ARG528" s="901"/>
      <c r="ARH528" s="901"/>
      <c r="ARI528" s="901"/>
      <c r="ARJ528" s="901"/>
      <c r="ARK528" s="901"/>
      <c r="ARL528" s="901"/>
      <c r="ARM528" s="901"/>
      <c r="ARN528" s="901"/>
      <c r="ARO528" s="901"/>
      <c r="ARP528" s="901"/>
      <c r="ARQ528" s="901"/>
      <c r="ARR528" s="901"/>
      <c r="ARS528" s="901"/>
      <c r="ART528" s="901"/>
      <c r="ARU528" s="901"/>
      <c r="ARV528" s="901"/>
      <c r="ARW528" s="901"/>
      <c r="ARX528" s="901"/>
      <c r="ARY528" s="901"/>
      <c r="ARZ528" s="901"/>
      <c r="ASA528" s="901"/>
      <c r="ASB528" s="901"/>
      <c r="ASC528" s="901"/>
      <c r="ASD528" s="901"/>
      <c r="ASE528" s="901"/>
      <c r="ASF528" s="901"/>
      <c r="ASG528" s="901"/>
      <c r="ASH528" s="901"/>
      <c r="ASI528" s="901"/>
      <c r="ASJ528" s="901"/>
      <c r="ASK528" s="901"/>
      <c r="ASL528" s="901"/>
      <c r="ASM528" s="901"/>
      <c r="ASN528" s="901"/>
      <c r="ASO528" s="901"/>
      <c r="ASP528" s="901"/>
      <c r="ASQ528" s="901"/>
      <c r="ASR528" s="901"/>
      <c r="ASS528" s="901"/>
      <c r="AST528" s="901"/>
      <c r="ASU528" s="901"/>
      <c r="ASV528" s="901"/>
      <c r="ASW528" s="901"/>
      <c r="ASX528" s="901"/>
      <c r="ASY528" s="901"/>
      <c r="ASZ528" s="901"/>
      <c r="ATA528" s="901"/>
      <c r="ATB528" s="901"/>
      <c r="ATC528" s="901"/>
      <c r="ATD528" s="901"/>
      <c r="ATE528" s="901"/>
      <c r="ATF528" s="901"/>
      <c r="ATG528" s="901"/>
      <c r="ATH528" s="901"/>
      <c r="ATI528" s="901"/>
      <c r="ATJ528" s="901"/>
      <c r="ATK528" s="901"/>
      <c r="ATL528" s="901"/>
      <c r="ATM528" s="901"/>
      <c r="ATN528" s="901"/>
      <c r="ATO528" s="901"/>
      <c r="ATP528" s="901"/>
      <c r="ATQ528" s="901"/>
      <c r="ATR528" s="901"/>
      <c r="ATS528" s="901"/>
      <c r="ATT528" s="901"/>
      <c r="ATU528" s="901"/>
      <c r="ATV528" s="901"/>
      <c r="ATW528" s="901"/>
      <c r="ATX528" s="901"/>
      <c r="ATY528" s="901"/>
      <c r="ATZ528" s="901"/>
      <c r="AUA528" s="901"/>
      <c r="AUB528" s="901"/>
      <c r="AUC528" s="901"/>
      <c r="AUD528" s="901"/>
      <c r="AUE528" s="901"/>
      <c r="AUF528" s="901"/>
      <c r="AUG528" s="901"/>
      <c r="AUH528" s="901"/>
      <c r="AUI528" s="901"/>
      <c r="AUJ528" s="901"/>
      <c r="AUK528" s="901"/>
      <c r="AUL528" s="901"/>
      <c r="AUM528" s="901"/>
      <c r="AUN528" s="901"/>
      <c r="AUO528" s="901"/>
      <c r="AUP528" s="901"/>
      <c r="AUQ528" s="901"/>
      <c r="AUR528" s="901"/>
      <c r="AUS528" s="901"/>
      <c r="AUT528" s="901"/>
      <c r="AUU528" s="901"/>
      <c r="AUV528" s="901"/>
      <c r="AUW528" s="901"/>
      <c r="AUX528" s="901"/>
      <c r="AUY528" s="901"/>
      <c r="AUZ528" s="901"/>
      <c r="AVA528" s="901"/>
      <c r="AVB528" s="901"/>
      <c r="AVC528" s="901"/>
      <c r="AVD528" s="901"/>
      <c r="AVE528" s="901"/>
      <c r="AVF528" s="901"/>
      <c r="AVG528" s="901"/>
      <c r="AVH528" s="901"/>
      <c r="AVI528" s="901"/>
      <c r="AVJ528" s="901"/>
      <c r="AVK528" s="901"/>
      <c r="AVL528" s="901"/>
      <c r="AVM528" s="901"/>
      <c r="AVN528" s="901"/>
      <c r="AVO528" s="901"/>
      <c r="AVP528" s="901"/>
      <c r="AVQ528" s="901"/>
      <c r="AVR528" s="901"/>
      <c r="AVS528" s="901"/>
      <c r="AVT528" s="901"/>
      <c r="AVU528" s="901"/>
      <c r="AVV528" s="901"/>
      <c r="AVW528" s="901"/>
      <c r="AVX528" s="901"/>
      <c r="AVY528" s="901"/>
      <c r="AVZ528" s="901"/>
      <c r="AWA528" s="901"/>
      <c r="AWB528" s="901"/>
      <c r="AWC528" s="901"/>
      <c r="AWD528" s="901"/>
      <c r="AWE528" s="901"/>
      <c r="AWF528" s="901"/>
      <c r="AWG528" s="901"/>
      <c r="AWH528" s="901"/>
      <c r="AWI528" s="901"/>
      <c r="AWJ528" s="901"/>
      <c r="AWK528" s="901"/>
      <c r="AWL528" s="901"/>
      <c r="AWM528" s="901"/>
      <c r="AWN528" s="901"/>
      <c r="AWO528" s="901"/>
      <c r="AWP528" s="901"/>
      <c r="AWQ528" s="901"/>
      <c r="AWR528" s="901"/>
      <c r="AWS528" s="901"/>
      <c r="AWT528" s="901"/>
      <c r="AWU528" s="901"/>
      <c r="AWV528" s="901"/>
      <c r="AWW528" s="901"/>
      <c r="AWX528" s="901"/>
      <c r="AWY528" s="901"/>
      <c r="AWZ528" s="901"/>
      <c r="AXA528" s="901"/>
      <c r="AXB528" s="901"/>
      <c r="AXC528" s="901"/>
      <c r="AXD528" s="901"/>
      <c r="AXE528" s="901"/>
      <c r="AXF528" s="901"/>
      <c r="AXG528" s="901"/>
      <c r="AXH528" s="901"/>
      <c r="AXI528" s="901"/>
      <c r="AXJ528" s="901"/>
      <c r="AXK528" s="901"/>
      <c r="AXL528" s="901"/>
      <c r="AXM528" s="901"/>
      <c r="AXN528" s="901"/>
      <c r="AXO528" s="901"/>
      <c r="AXP528" s="901"/>
      <c r="AXQ528" s="901"/>
      <c r="AXR528" s="901"/>
      <c r="AXS528" s="901"/>
      <c r="AXT528" s="901"/>
      <c r="AXU528" s="901"/>
      <c r="AXV528" s="901"/>
      <c r="AXW528" s="901"/>
      <c r="AXX528" s="901"/>
      <c r="AXY528" s="901"/>
      <c r="AXZ528" s="901"/>
      <c r="AYA528" s="901"/>
      <c r="AYB528" s="901"/>
      <c r="AYC528" s="901"/>
      <c r="AYD528" s="901"/>
      <c r="AYE528" s="901"/>
      <c r="AYF528" s="901"/>
      <c r="AYG528" s="901"/>
      <c r="AYH528" s="901"/>
      <c r="AYI528" s="901"/>
      <c r="AYJ528" s="901"/>
      <c r="AYK528" s="901"/>
      <c r="AYL528" s="901"/>
      <c r="AYM528" s="901"/>
      <c r="AYN528" s="901"/>
      <c r="AYO528" s="901"/>
      <c r="AYP528" s="901"/>
      <c r="AYQ528" s="901"/>
      <c r="AYR528" s="901"/>
      <c r="AYS528" s="901"/>
      <c r="AYT528" s="901"/>
      <c r="AYU528" s="901"/>
      <c r="AYV528" s="901"/>
      <c r="AYW528" s="901"/>
      <c r="AYX528" s="901"/>
      <c r="AYY528" s="901"/>
      <c r="AYZ528" s="901"/>
      <c r="AZA528" s="901"/>
      <c r="AZB528" s="901"/>
      <c r="AZC528" s="901"/>
      <c r="AZD528" s="901"/>
      <c r="AZE528" s="901"/>
      <c r="AZF528" s="901"/>
      <c r="AZG528" s="901"/>
      <c r="AZH528" s="901"/>
      <c r="AZI528" s="901"/>
      <c r="AZJ528" s="901"/>
      <c r="AZK528" s="901"/>
      <c r="AZL528" s="901"/>
      <c r="AZM528" s="901"/>
      <c r="AZN528" s="901"/>
      <c r="AZO528" s="901"/>
      <c r="AZP528" s="901"/>
      <c r="AZQ528" s="901"/>
      <c r="AZR528" s="901"/>
      <c r="AZS528" s="901"/>
      <c r="AZT528" s="901"/>
      <c r="AZU528" s="901"/>
      <c r="AZV528" s="901"/>
      <c r="AZW528" s="901"/>
      <c r="AZX528" s="901"/>
      <c r="AZY528" s="901"/>
      <c r="AZZ528" s="901"/>
      <c r="BAA528" s="901"/>
      <c r="BAB528" s="901"/>
      <c r="BAC528" s="901"/>
      <c r="BAD528" s="901"/>
      <c r="BAE528" s="901"/>
      <c r="BAF528" s="901"/>
      <c r="BAG528" s="901"/>
      <c r="BAH528" s="901"/>
      <c r="BAI528" s="901"/>
      <c r="BAJ528" s="901"/>
      <c r="BAK528" s="901"/>
      <c r="BAL528" s="901"/>
      <c r="BAM528" s="901"/>
      <c r="BAN528" s="901"/>
      <c r="BAO528" s="901"/>
      <c r="BAP528" s="901"/>
      <c r="BAQ528" s="901"/>
      <c r="BAR528" s="901"/>
      <c r="BAS528" s="901"/>
      <c r="BAT528" s="901"/>
      <c r="BAU528" s="901"/>
      <c r="BAV528" s="901"/>
      <c r="BAW528" s="901"/>
      <c r="BAX528" s="901"/>
      <c r="BAY528" s="901"/>
      <c r="BAZ528" s="901"/>
      <c r="BBA528" s="901"/>
      <c r="BBB528" s="901"/>
      <c r="BBC528" s="901"/>
      <c r="BBD528" s="901"/>
      <c r="BBE528" s="901"/>
      <c r="BBF528" s="901"/>
      <c r="BBG528" s="901"/>
      <c r="BBH528" s="901"/>
      <c r="BBI528" s="901"/>
      <c r="BBJ528" s="901"/>
      <c r="BBK528" s="901"/>
      <c r="BBL528" s="901"/>
      <c r="BBM528" s="901"/>
      <c r="BBN528" s="901"/>
      <c r="BBO528" s="901"/>
      <c r="BBP528" s="901"/>
      <c r="BBQ528" s="901"/>
      <c r="BBR528" s="901"/>
      <c r="BBS528" s="901"/>
      <c r="BBT528" s="901"/>
      <c r="BBU528" s="901"/>
      <c r="BBV528" s="901"/>
      <c r="BBW528" s="901"/>
      <c r="BBX528" s="901"/>
      <c r="BBY528" s="901"/>
      <c r="BBZ528" s="901"/>
      <c r="BCA528" s="901"/>
      <c r="BCB528" s="901"/>
      <c r="BCC528" s="901"/>
      <c r="BCD528" s="901"/>
      <c r="BCE528" s="901"/>
      <c r="BCF528" s="901"/>
      <c r="BCG528" s="901"/>
      <c r="BCH528" s="901"/>
      <c r="BCI528" s="901"/>
      <c r="BCJ528" s="901"/>
      <c r="BCK528" s="901"/>
      <c r="BCL528" s="901"/>
      <c r="BCM528" s="901"/>
      <c r="BCN528" s="901"/>
      <c r="BCO528" s="901"/>
      <c r="BCP528" s="901"/>
      <c r="BCQ528" s="901"/>
      <c r="BCR528" s="901"/>
      <c r="BCS528" s="901"/>
      <c r="BCT528" s="901"/>
      <c r="BCU528" s="901"/>
      <c r="BCV528" s="901"/>
      <c r="BCW528" s="901"/>
      <c r="BCX528" s="901"/>
      <c r="BCY528" s="901"/>
      <c r="BCZ528" s="901"/>
      <c r="BDA528" s="901"/>
      <c r="BDB528" s="901"/>
      <c r="BDC528" s="901"/>
      <c r="BDD528" s="901"/>
      <c r="BDE528" s="901"/>
      <c r="BDF528" s="901"/>
      <c r="BDG528" s="901"/>
      <c r="BDH528" s="901"/>
      <c r="BDI528" s="901"/>
      <c r="BDJ528" s="901"/>
      <c r="BDK528" s="901"/>
      <c r="BDL528" s="901"/>
      <c r="BDM528" s="901"/>
      <c r="BDN528" s="901"/>
      <c r="BDO528" s="901"/>
      <c r="BDP528" s="901"/>
      <c r="BDQ528" s="901"/>
      <c r="BDR528" s="901"/>
      <c r="BDS528" s="901"/>
      <c r="BDT528" s="901"/>
      <c r="BDU528" s="901"/>
      <c r="BDV528" s="901"/>
      <c r="BDW528" s="901"/>
      <c r="BDX528" s="901"/>
      <c r="BDY528" s="901"/>
      <c r="BDZ528" s="901"/>
      <c r="BEA528" s="901"/>
      <c r="BEB528" s="901"/>
      <c r="BEC528" s="901"/>
      <c r="BED528" s="901"/>
      <c r="BEE528" s="901"/>
      <c r="BEF528" s="901"/>
      <c r="BEG528" s="901"/>
      <c r="BEH528" s="901"/>
      <c r="BEI528" s="901"/>
      <c r="BEJ528" s="901"/>
      <c r="BEK528" s="901"/>
      <c r="BEL528" s="901"/>
      <c r="BEM528" s="901"/>
      <c r="BEN528" s="901"/>
      <c r="BEO528" s="901"/>
      <c r="BEP528" s="901"/>
      <c r="BEQ528" s="901"/>
      <c r="BER528" s="901"/>
      <c r="BES528" s="901"/>
      <c r="BET528" s="901"/>
      <c r="BEU528" s="901"/>
      <c r="BEV528" s="901"/>
      <c r="BEW528" s="901"/>
      <c r="BEX528" s="901"/>
      <c r="BEY528" s="901"/>
      <c r="BEZ528" s="901"/>
      <c r="BFA528" s="901"/>
      <c r="BFB528" s="901"/>
      <c r="BFC528" s="901"/>
      <c r="BFD528" s="901"/>
      <c r="BFE528" s="901"/>
      <c r="BFF528" s="901"/>
      <c r="BFG528" s="901"/>
      <c r="BFH528" s="901"/>
      <c r="BFI528" s="901"/>
      <c r="BFJ528" s="901"/>
      <c r="BFK528" s="901"/>
      <c r="BFL528" s="901"/>
      <c r="BFM528" s="901"/>
      <c r="BFN528" s="901"/>
      <c r="BFO528" s="901"/>
      <c r="BFP528" s="901"/>
      <c r="BFQ528" s="901"/>
      <c r="BFR528" s="901"/>
      <c r="BFS528" s="901"/>
      <c r="BFT528" s="901"/>
      <c r="BFU528" s="901"/>
      <c r="BFV528" s="901"/>
      <c r="BFW528" s="901"/>
      <c r="BFX528" s="901"/>
      <c r="BFY528" s="901"/>
      <c r="BFZ528" s="901"/>
      <c r="BGA528" s="901"/>
      <c r="BGB528" s="901"/>
      <c r="BGC528" s="901"/>
      <c r="BGD528" s="901"/>
      <c r="BGE528" s="901"/>
      <c r="BGF528" s="901"/>
      <c r="BGG528" s="901"/>
      <c r="BGH528" s="901"/>
      <c r="BGI528" s="901"/>
      <c r="BGJ528" s="901"/>
      <c r="BGK528" s="901"/>
      <c r="BGL528" s="901"/>
      <c r="BGM528" s="901"/>
      <c r="BGN528" s="901"/>
      <c r="BGO528" s="901"/>
      <c r="BGP528" s="901"/>
      <c r="BGQ528" s="901"/>
      <c r="BGR528" s="901"/>
      <c r="BGS528" s="901"/>
      <c r="BGT528" s="901"/>
      <c r="BGU528" s="901"/>
      <c r="BGV528" s="901"/>
      <c r="BGW528" s="901"/>
      <c r="BGX528" s="901"/>
      <c r="BGY528" s="901"/>
      <c r="BGZ528" s="901"/>
      <c r="BHA528" s="901"/>
      <c r="BHB528" s="901"/>
      <c r="BHC528" s="901"/>
      <c r="BHD528" s="901"/>
      <c r="BHE528" s="901"/>
      <c r="BHF528" s="901"/>
      <c r="BHG528" s="901"/>
      <c r="BHH528" s="901"/>
      <c r="BHI528" s="901"/>
      <c r="BHJ528" s="901"/>
      <c r="BHK528" s="901"/>
      <c r="BHL528" s="901"/>
      <c r="BHM528" s="901"/>
      <c r="BHN528" s="901"/>
      <c r="BHO528" s="901"/>
      <c r="BHP528" s="901"/>
      <c r="BHQ528" s="901"/>
      <c r="BHR528" s="901"/>
      <c r="BHS528" s="901"/>
      <c r="BHT528" s="901"/>
      <c r="BHU528" s="901"/>
      <c r="BHV528" s="901"/>
      <c r="BHW528" s="901"/>
      <c r="BHX528" s="901"/>
      <c r="BHY528" s="901"/>
      <c r="BHZ528" s="901"/>
      <c r="BIA528" s="901"/>
      <c r="BIB528" s="901"/>
      <c r="BIC528" s="901"/>
      <c r="BID528" s="901"/>
      <c r="BIE528" s="901"/>
      <c r="BIF528" s="901"/>
      <c r="BIG528" s="901"/>
      <c r="BIH528" s="901"/>
      <c r="BII528" s="901"/>
      <c r="BIJ528" s="901"/>
      <c r="BIK528" s="901"/>
      <c r="BIL528" s="901"/>
      <c r="BIM528" s="901"/>
      <c r="BIN528" s="901"/>
      <c r="BIO528" s="901"/>
      <c r="BIP528" s="901"/>
      <c r="BIQ528" s="901"/>
      <c r="BIR528" s="901"/>
      <c r="BIS528" s="901"/>
      <c r="BIT528" s="901"/>
      <c r="BIU528" s="901"/>
      <c r="BIV528" s="901"/>
      <c r="BIW528" s="901"/>
      <c r="BIX528" s="901"/>
      <c r="BIY528" s="901"/>
      <c r="BIZ528" s="901"/>
      <c r="BJA528" s="901"/>
      <c r="BJB528" s="901"/>
      <c r="BJC528" s="901"/>
      <c r="BJD528" s="901"/>
      <c r="BJE528" s="901"/>
      <c r="BJF528" s="901"/>
      <c r="BJG528" s="901"/>
      <c r="BJH528" s="901"/>
      <c r="BJI528" s="901"/>
      <c r="BJJ528" s="901"/>
      <c r="BJK528" s="901"/>
      <c r="BJL528" s="901"/>
      <c r="BJM528" s="901"/>
      <c r="BJN528" s="901"/>
      <c r="BJO528" s="901"/>
      <c r="BJP528" s="901"/>
      <c r="BJQ528" s="901"/>
      <c r="BJR528" s="901"/>
      <c r="BJS528" s="901"/>
      <c r="BJT528" s="901"/>
      <c r="BJU528" s="901"/>
      <c r="BJV528" s="901"/>
      <c r="BJW528" s="901"/>
      <c r="BJX528" s="901"/>
      <c r="BJY528" s="901"/>
      <c r="BJZ528" s="901"/>
      <c r="BKA528" s="901"/>
      <c r="BKB528" s="901"/>
      <c r="BKC528" s="901"/>
      <c r="BKD528" s="901"/>
      <c r="BKE528" s="901"/>
      <c r="BKF528" s="901"/>
      <c r="BKG528" s="901"/>
      <c r="BKH528" s="901"/>
      <c r="BKI528" s="901"/>
      <c r="BKJ528" s="901"/>
      <c r="BKK528" s="901"/>
      <c r="BKL528" s="901"/>
      <c r="BKM528" s="901"/>
      <c r="BKN528" s="901"/>
      <c r="BKO528" s="901"/>
      <c r="BKP528" s="901"/>
      <c r="BKQ528" s="901"/>
      <c r="BKR528" s="901"/>
      <c r="BKS528" s="901"/>
      <c r="BKT528" s="901"/>
      <c r="BKU528" s="901"/>
      <c r="BKV528" s="901"/>
      <c r="BKW528" s="901"/>
      <c r="BKX528" s="901"/>
      <c r="BKY528" s="901"/>
      <c r="BKZ528" s="901"/>
      <c r="BLA528" s="901"/>
      <c r="BLB528" s="901"/>
      <c r="BLC528" s="901"/>
      <c r="BLD528" s="901"/>
      <c r="BLE528" s="901"/>
      <c r="BLF528" s="901"/>
      <c r="BLG528" s="901"/>
      <c r="BLH528" s="901"/>
      <c r="BLI528" s="901"/>
      <c r="BLJ528" s="901"/>
      <c r="BLK528" s="901"/>
      <c r="BLL528" s="901"/>
      <c r="BLM528" s="901"/>
      <c r="BLN528" s="901"/>
      <c r="BLO528" s="901"/>
      <c r="BLP528" s="901"/>
      <c r="BLQ528" s="901"/>
      <c r="BLR528" s="901"/>
      <c r="BLS528" s="901"/>
      <c r="BLT528" s="901"/>
      <c r="BLU528" s="901"/>
      <c r="BLV528" s="901"/>
      <c r="BLW528" s="901"/>
      <c r="BLX528" s="901"/>
      <c r="BLY528" s="901"/>
      <c r="BLZ528" s="901"/>
      <c r="BMA528" s="901"/>
      <c r="BMB528" s="901"/>
      <c r="BMC528" s="901"/>
      <c r="BMD528" s="901"/>
      <c r="BME528" s="901"/>
      <c r="BMF528" s="901"/>
      <c r="BMG528" s="901"/>
      <c r="BMH528" s="901"/>
      <c r="BMI528" s="901"/>
      <c r="BMJ528" s="901"/>
      <c r="BMK528" s="901"/>
      <c r="BML528" s="901"/>
      <c r="BMM528" s="901"/>
      <c r="BMN528" s="901"/>
      <c r="BMO528" s="901"/>
      <c r="BMP528" s="901"/>
      <c r="BMQ528" s="901"/>
      <c r="BMR528" s="901"/>
      <c r="BMS528" s="901"/>
      <c r="BMT528" s="901"/>
      <c r="BMU528" s="901"/>
      <c r="BMV528" s="901"/>
      <c r="BMW528" s="901"/>
      <c r="BMX528" s="901"/>
      <c r="BMY528" s="901"/>
      <c r="BMZ528" s="901"/>
      <c r="BNA528" s="901"/>
      <c r="BNB528" s="901"/>
      <c r="BNC528" s="901"/>
      <c r="BND528" s="901"/>
      <c r="BNE528" s="901"/>
      <c r="BNF528" s="901"/>
      <c r="BNG528" s="901"/>
      <c r="BNH528" s="901"/>
      <c r="BNI528" s="901"/>
      <c r="BNJ528" s="901"/>
      <c r="BNK528" s="901"/>
      <c r="BNL528" s="901"/>
      <c r="BNM528" s="901"/>
      <c r="BNN528" s="901"/>
      <c r="BNO528" s="901"/>
      <c r="BNP528" s="901"/>
      <c r="BNQ528" s="901"/>
      <c r="BNR528" s="901"/>
      <c r="BNS528" s="901"/>
      <c r="BNT528" s="901"/>
      <c r="BNU528" s="901"/>
      <c r="BNV528" s="901"/>
      <c r="BNW528" s="901"/>
      <c r="BNX528" s="901"/>
      <c r="BNY528" s="901"/>
      <c r="BNZ528" s="901"/>
      <c r="BOA528" s="901"/>
      <c r="BOB528" s="901"/>
      <c r="BOC528" s="901"/>
      <c r="BOD528" s="901"/>
      <c r="BOE528" s="901"/>
      <c r="BOF528" s="901"/>
      <c r="BOG528" s="901"/>
      <c r="BOH528" s="901"/>
      <c r="BOI528" s="901"/>
      <c r="BOJ528" s="901"/>
      <c r="BOK528" s="901"/>
      <c r="BOL528" s="901"/>
      <c r="BOM528" s="901"/>
      <c r="BON528" s="901"/>
      <c r="BOO528" s="901"/>
      <c r="BOP528" s="901"/>
      <c r="BOQ528" s="901"/>
      <c r="BOR528" s="901"/>
      <c r="BOS528" s="901"/>
      <c r="BOT528" s="901"/>
      <c r="BOU528" s="901"/>
      <c r="BOV528" s="901"/>
      <c r="BOW528" s="901"/>
      <c r="BOX528" s="901"/>
      <c r="BOY528" s="901"/>
      <c r="BOZ528" s="901"/>
      <c r="BPA528" s="901"/>
      <c r="BPB528" s="901"/>
      <c r="BPC528" s="901"/>
      <c r="BPD528" s="901"/>
      <c r="BPE528" s="901"/>
      <c r="BPF528" s="901"/>
      <c r="BPG528" s="901"/>
      <c r="BPH528" s="901"/>
      <c r="BPI528" s="901"/>
      <c r="BPJ528" s="901"/>
      <c r="BPK528" s="901"/>
      <c r="BPL528" s="901"/>
      <c r="BPM528" s="901"/>
      <c r="BPN528" s="901"/>
      <c r="BPO528" s="901"/>
      <c r="BPP528" s="901"/>
      <c r="BPQ528" s="901"/>
      <c r="BPR528" s="901"/>
      <c r="BPS528" s="901"/>
      <c r="BPT528" s="901"/>
      <c r="BPU528" s="901"/>
      <c r="BPV528" s="901"/>
      <c r="BPW528" s="901"/>
      <c r="BPX528" s="901"/>
      <c r="BPY528" s="901"/>
      <c r="BPZ528" s="901"/>
      <c r="BQA528" s="901"/>
      <c r="BQB528" s="901"/>
      <c r="BQC528" s="901"/>
      <c r="BQD528" s="901"/>
      <c r="BQE528" s="901"/>
      <c r="BQF528" s="901"/>
      <c r="BQG528" s="901"/>
      <c r="BQH528" s="901"/>
      <c r="BQI528" s="901"/>
      <c r="BQJ528" s="901"/>
      <c r="BQK528" s="901"/>
      <c r="BQL528" s="901"/>
      <c r="BQM528" s="901"/>
      <c r="BQN528" s="901"/>
      <c r="BQO528" s="901"/>
      <c r="BQP528" s="901"/>
      <c r="BQQ528" s="901"/>
      <c r="BQR528" s="901"/>
      <c r="BQS528" s="901"/>
      <c r="BQT528" s="901"/>
      <c r="BQU528" s="901"/>
      <c r="BQV528" s="901"/>
      <c r="BQW528" s="901"/>
      <c r="BQX528" s="901"/>
      <c r="BQY528" s="901"/>
      <c r="BQZ528" s="901"/>
      <c r="BRA528" s="901"/>
      <c r="BRB528" s="901"/>
      <c r="BRC528" s="901"/>
      <c r="BRD528" s="901"/>
      <c r="BRE528" s="901"/>
      <c r="BRF528" s="901"/>
      <c r="BRG528" s="901"/>
      <c r="BRH528" s="901"/>
      <c r="BRI528" s="901"/>
      <c r="BRJ528" s="901"/>
      <c r="BRK528" s="901"/>
      <c r="BRL528" s="901"/>
      <c r="BRM528" s="901"/>
      <c r="BRN528" s="901"/>
      <c r="BRO528" s="901"/>
      <c r="BRP528" s="901"/>
      <c r="BRQ528" s="901"/>
      <c r="BRR528" s="901"/>
      <c r="BRS528" s="901"/>
      <c r="BRT528" s="901"/>
      <c r="BRU528" s="901"/>
      <c r="BRV528" s="901"/>
      <c r="BRW528" s="901"/>
      <c r="BRX528" s="901"/>
      <c r="BRY528" s="901"/>
      <c r="BRZ528" s="901"/>
      <c r="BSA528" s="901"/>
      <c r="BSB528" s="901"/>
      <c r="BSC528" s="901"/>
      <c r="BSD528" s="901"/>
      <c r="BSE528" s="901"/>
      <c r="BSF528" s="901"/>
      <c r="BSG528" s="901"/>
      <c r="BSH528" s="901"/>
      <c r="BSI528" s="901"/>
      <c r="BSJ528" s="901"/>
      <c r="BSK528" s="901"/>
      <c r="BSL528" s="901"/>
      <c r="BSM528" s="901"/>
      <c r="BSN528" s="901"/>
      <c r="BSO528" s="901"/>
      <c r="BSP528" s="901"/>
      <c r="BSQ528" s="901"/>
      <c r="BSR528" s="901"/>
      <c r="BSS528" s="901"/>
      <c r="BST528" s="901"/>
      <c r="BSU528" s="901"/>
      <c r="BSV528" s="901"/>
      <c r="BSW528" s="901"/>
      <c r="BSX528" s="901"/>
      <c r="BSY528" s="901"/>
      <c r="BSZ528" s="901"/>
      <c r="BTA528" s="901"/>
      <c r="BTB528" s="901"/>
      <c r="BTC528" s="901"/>
      <c r="BTD528" s="901"/>
      <c r="BTE528" s="901"/>
      <c r="BTF528" s="901"/>
      <c r="BTG528" s="901"/>
      <c r="BTH528" s="901"/>
      <c r="BTI528" s="901"/>
      <c r="BTJ528" s="901"/>
      <c r="BTK528" s="901"/>
      <c r="BTL528" s="901"/>
      <c r="BTM528" s="901"/>
      <c r="BTN528" s="901"/>
      <c r="BTO528" s="901"/>
      <c r="BTP528" s="901"/>
      <c r="BTQ528" s="901"/>
      <c r="BTR528" s="901"/>
      <c r="BTS528" s="901"/>
      <c r="BTT528" s="901"/>
      <c r="BTU528" s="901"/>
      <c r="BTV528" s="901"/>
      <c r="BTW528" s="901"/>
      <c r="BTX528" s="901"/>
      <c r="BTY528" s="901"/>
      <c r="BTZ528" s="901"/>
      <c r="BUA528" s="901"/>
      <c r="BUB528" s="901"/>
      <c r="BUC528" s="901"/>
      <c r="BUD528" s="901"/>
      <c r="BUE528" s="901"/>
      <c r="BUF528" s="901"/>
      <c r="BUG528" s="901"/>
      <c r="BUH528" s="901"/>
      <c r="BUI528" s="901"/>
      <c r="BUJ528" s="901"/>
      <c r="BUK528" s="901"/>
      <c r="BUL528" s="901"/>
      <c r="BUM528" s="901"/>
      <c r="BUN528" s="901"/>
      <c r="BUO528" s="901"/>
      <c r="BUP528" s="901"/>
      <c r="BUQ528" s="901"/>
      <c r="BUR528" s="901"/>
      <c r="BUS528" s="901"/>
      <c r="BUT528" s="901"/>
      <c r="BUU528" s="901"/>
      <c r="BUV528" s="901"/>
      <c r="BUW528" s="901"/>
      <c r="BUX528" s="901"/>
      <c r="BUY528" s="901"/>
      <c r="BUZ528" s="901"/>
      <c r="BVA528" s="901"/>
      <c r="BVB528" s="901"/>
      <c r="BVC528" s="901"/>
      <c r="BVD528" s="901"/>
      <c r="BVE528" s="901"/>
      <c r="BVF528" s="901"/>
      <c r="BVG528" s="901"/>
      <c r="BVH528" s="901"/>
      <c r="BVI528" s="901"/>
      <c r="BVJ528" s="901"/>
      <c r="BVK528" s="901"/>
      <c r="BVL528" s="901"/>
      <c r="BVM528" s="901"/>
      <c r="BVN528" s="901"/>
      <c r="BVO528" s="901"/>
      <c r="BVP528" s="901"/>
      <c r="BVQ528" s="901"/>
      <c r="BVR528" s="901"/>
      <c r="BVS528" s="901"/>
      <c r="BVT528" s="901"/>
      <c r="BVU528" s="901"/>
      <c r="BVV528" s="901"/>
      <c r="BVW528" s="901"/>
      <c r="BVX528" s="901"/>
      <c r="BVY528" s="901"/>
      <c r="BVZ528" s="901"/>
      <c r="BWA528" s="901"/>
      <c r="BWB528" s="901"/>
      <c r="BWC528" s="901"/>
      <c r="BWD528" s="901"/>
      <c r="BWE528" s="901"/>
      <c r="BWF528" s="901"/>
      <c r="BWG528" s="901"/>
      <c r="BWH528" s="901"/>
      <c r="BWI528" s="901"/>
      <c r="BWJ528" s="901"/>
      <c r="BWK528" s="901"/>
      <c r="BWL528" s="901"/>
      <c r="BWM528" s="901"/>
      <c r="BWN528" s="901"/>
      <c r="BWO528" s="901"/>
      <c r="BWP528" s="901"/>
      <c r="BWQ528" s="901"/>
      <c r="BWR528" s="901"/>
      <c r="BWS528" s="901"/>
      <c r="BWT528" s="901"/>
      <c r="BWU528" s="901"/>
      <c r="BWV528" s="901"/>
      <c r="BWW528" s="901"/>
      <c r="BWX528" s="901"/>
      <c r="BWY528" s="901"/>
      <c r="BWZ528" s="901"/>
      <c r="BXA528" s="901"/>
      <c r="BXB528" s="901"/>
      <c r="BXC528" s="901"/>
      <c r="BXD528" s="901"/>
      <c r="BXE528" s="901"/>
      <c r="BXF528" s="901"/>
      <c r="BXG528" s="901"/>
      <c r="BXH528" s="901"/>
      <c r="BXI528" s="901"/>
      <c r="BXJ528" s="901"/>
      <c r="BXK528" s="901"/>
      <c r="BXL528" s="901"/>
      <c r="BXM528" s="901"/>
      <c r="BXN528" s="901"/>
      <c r="BXO528" s="901"/>
      <c r="BXP528" s="901"/>
      <c r="BXQ528" s="901"/>
      <c r="BXR528" s="901"/>
      <c r="BXS528" s="901"/>
      <c r="BXT528" s="901"/>
      <c r="BXU528" s="901"/>
      <c r="BXV528" s="901"/>
      <c r="BXW528" s="901"/>
      <c r="BXX528" s="901"/>
      <c r="BXY528" s="901"/>
      <c r="BXZ528" s="901"/>
      <c r="BYA528" s="901"/>
      <c r="BYB528" s="901"/>
      <c r="BYC528" s="901"/>
      <c r="BYD528" s="901"/>
      <c r="BYE528" s="901"/>
      <c r="BYF528" s="901"/>
      <c r="BYG528" s="901"/>
      <c r="BYH528" s="901"/>
      <c r="BYI528" s="901"/>
      <c r="BYJ528" s="901"/>
      <c r="BYK528" s="901"/>
      <c r="BYL528" s="901"/>
      <c r="BYM528" s="901"/>
      <c r="BYN528" s="901"/>
      <c r="BYO528" s="901"/>
      <c r="BYP528" s="901"/>
      <c r="BYQ528" s="901"/>
      <c r="BYR528" s="901"/>
      <c r="BYS528" s="901"/>
      <c r="BYT528" s="901"/>
      <c r="BYU528" s="901"/>
      <c r="BYV528" s="901"/>
      <c r="BYW528" s="901"/>
      <c r="BYX528" s="901"/>
      <c r="BYY528" s="901"/>
      <c r="BYZ528" s="901"/>
      <c r="BZA528" s="901"/>
      <c r="BZB528" s="901"/>
      <c r="BZC528" s="901"/>
      <c r="BZD528" s="901"/>
      <c r="BZE528" s="901"/>
      <c r="BZF528" s="901"/>
      <c r="BZG528" s="901"/>
      <c r="BZH528" s="901"/>
      <c r="BZI528" s="901"/>
      <c r="BZJ528" s="901"/>
      <c r="BZK528" s="901"/>
      <c r="BZL528" s="901"/>
      <c r="BZM528" s="901"/>
      <c r="BZN528" s="901"/>
      <c r="BZO528" s="901"/>
      <c r="BZP528" s="901"/>
      <c r="BZQ528" s="901"/>
      <c r="BZR528" s="901"/>
      <c r="BZS528" s="901"/>
      <c r="BZT528" s="901"/>
      <c r="BZU528" s="901"/>
      <c r="BZV528" s="901"/>
      <c r="BZW528" s="901"/>
      <c r="BZX528" s="901"/>
      <c r="BZY528" s="901"/>
      <c r="BZZ528" s="901"/>
      <c r="CAA528" s="901"/>
      <c r="CAB528" s="901"/>
      <c r="CAC528" s="901"/>
      <c r="CAD528" s="901"/>
      <c r="CAE528" s="901"/>
      <c r="CAF528" s="901"/>
      <c r="CAG528" s="901"/>
      <c r="CAH528" s="901"/>
      <c r="CAI528" s="901"/>
      <c r="CAJ528" s="901"/>
      <c r="CAK528" s="901"/>
      <c r="CAL528" s="901"/>
      <c r="CAM528" s="901"/>
      <c r="CAN528" s="901"/>
      <c r="CAO528" s="901"/>
      <c r="CAP528" s="901"/>
      <c r="CAQ528" s="901"/>
      <c r="CAR528" s="901"/>
      <c r="CAS528" s="901"/>
      <c r="CAT528" s="901"/>
      <c r="CAU528" s="901"/>
      <c r="CAV528" s="901"/>
      <c r="CAW528" s="901"/>
      <c r="CAX528" s="901"/>
      <c r="CAY528" s="901"/>
      <c r="CAZ528" s="901"/>
      <c r="CBA528" s="901"/>
      <c r="CBB528" s="901"/>
      <c r="CBC528" s="901"/>
      <c r="CBD528" s="901"/>
      <c r="CBE528" s="901"/>
      <c r="CBF528" s="901"/>
      <c r="CBG528" s="901"/>
      <c r="CBH528" s="901"/>
      <c r="CBI528" s="901"/>
      <c r="CBJ528" s="901"/>
      <c r="CBK528" s="901"/>
      <c r="CBL528" s="901"/>
      <c r="CBM528" s="901"/>
      <c r="CBN528" s="901"/>
      <c r="CBO528" s="901"/>
      <c r="CBP528" s="901"/>
      <c r="CBQ528" s="901"/>
      <c r="CBR528" s="901"/>
      <c r="CBS528" s="901"/>
      <c r="CBT528" s="901"/>
      <c r="CBU528" s="901"/>
      <c r="CBV528" s="901"/>
      <c r="CBW528" s="901"/>
      <c r="CBX528" s="901"/>
      <c r="CBY528" s="901"/>
      <c r="CBZ528" s="901"/>
      <c r="CCA528" s="901"/>
      <c r="CCB528" s="901"/>
      <c r="CCC528" s="901"/>
      <c r="CCD528" s="901"/>
      <c r="CCE528" s="901"/>
      <c r="CCF528" s="901"/>
      <c r="CCG528" s="901"/>
      <c r="CCH528" s="901"/>
      <c r="CCI528" s="901"/>
      <c r="CCJ528" s="901"/>
      <c r="CCK528" s="901"/>
      <c r="CCL528" s="901"/>
      <c r="CCM528" s="901"/>
      <c r="CCN528" s="901"/>
      <c r="CCO528" s="901"/>
      <c r="CCP528" s="901"/>
      <c r="CCQ528" s="901"/>
      <c r="CCR528" s="901"/>
      <c r="CCS528" s="901"/>
      <c r="CCT528" s="901"/>
      <c r="CCU528" s="901"/>
      <c r="CCV528" s="901"/>
      <c r="CCW528" s="901"/>
      <c r="CCX528" s="901"/>
      <c r="CCY528" s="901"/>
      <c r="CCZ528" s="901"/>
      <c r="CDA528" s="901"/>
      <c r="CDB528" s="901"/>
      <c r="CDC528" s="901"/>
      <c r="CDD528" s="901"/>
      <c r="CDE528" s="901"/>
      <c r="CDF528" s="901"/>
      <c r="CDG528" s="901"/>
      <c r="CDH528" s="901"/>
      <c r="CDI528" s="901"/>
      <c r="CDJ528" s="901"/>
      <c r="CDK528" s="901"/>
      <c r="CDL528" s="901"/>
      <c r="CDM528" s="901"/>
      <c r="CDN528" s="901"/>
      <c r="CDO528" s="901"/>
      <c r="CDP528" s="901"/>
      <c r="CDQ528" s="901"/>
      <c r="CDR528" s="901"/>
      <c r="CDS528" s="901"/>
      <c r="CDT528" s="901"/>
      <c r="CDU528" s="901"/>
      <c r="CDV528" s="901"/>
      <c r="CDW528" s="901"/>
      <c r="CDX528" s="901"/>
      <c r="CDY528" s="901"/>
      <c r="CDZ528" s="901"/>
      <c r="CEA528" s="901"/>
      <c r="CEB528" s="901"/>
      <c r="CEC528" s="901"/>
      <c r="CED528" s="901"/>
      <c r="CEE528" s="901"/>
      <c r="CEF528" s="901"/>
      <c r="CEG528" s="901"/>
      <c r="CEH528" s="901"/>
      <c r="CEI528" s="901"/>
      <c r="CEJ528" s="901"/>
      <c r="CEK528" s="901"/>
      <c r="CEL528" s="901"/>
      <c r="CEM528" s="901"/>
      <c r="CEN528" s="901"/>
      <c r="CEO528" s="901"/>
      <c r="CEP528" s="901"/>
      <c r="CEQ528" s="901"/>
      <c r="CER528" s="901"/>
      <c r="CES528" s="901"/>
      <c r="CET528" s="901"/>
      <c r="CEU528" s="901"/>
      <c r="CEV528" s="901"/>
      <c r="CEW528" s="901"/>
      <c r="CEX528" s="901"/>
      <c r="CEY528" s="901"/>
      <c r="CEZ528" s="901"/>
      <c r="CFA528" s="901"/>
      <c r="CFB528" s="901"/>
      <c r="CFC528" s="901"/>
      <c r="CFD528" s="901"/>
      <c r="CFE528" s="901"/>
      <c r="CFF528" s="901"/>
      <c r="CFG528" s="901"/>
      <c r="CFH528" s="901"/>
      <c r="CFI528" s="901"/>
      <c r="CFJ528" s="901"/>
      <c r="CFK528" s="901"/>
      <c r="CFL528" s="901"/>
      <c r="CFM528" s="901"/>
      <c r="CFN528" s="901"/>
      <c r="CFO528" s="901"/>
      <c r="CFP528" s="901"/>
      <c r="CFQ528" s="901"/>
      <c r="CFR528" s="901"/>
      <c r="CFS528" s="901"/>
      <c r="CFT528" s="901"/>
      <c r="CFU528" s="901"/>
      <c r="CFV528" s="901"/>
      <c r="CFW528" s="901"/>
      <c r="CFX528" s="901"/>
      <c r="CFY528" s="901"/>
      <c r="CFZ528" s="901"/>
      <c r="CGA528" s="901"/>
      <c r="CGB528" s="901"/>
      <c r="CGC528" s="901"/>
      <c r="CGD528" s="901"/>
      <c r="CGE528" s="901"/>
      <c r="CGF528" s="901"/>
      <c r="CGG528" s="901"/>
      <c r="CGH528" s="901"/>
      <c r="CGI528" s="901"/>
      <c r="CGJ528" s="901"/>
      <c r="CGK528" s="901"/>
      <c r="CGL528" s="901"/>
      <c r="CGM528" s="901"/>
      <c r="CGN528" s="901"/>
      <c r="CGO528" s="901"/>
      <c r="CGP528" s="901"/>
      <c r="CGQ528" s="901"/>
      <c r="CGR528" s="901"/>
      <c r="CGS528" s="901"/>
      <c r="CGT528" s="901"/>
      <c r="CGU528" s="901"/>
      <c r="CGV528" s="901"/>
      <c r="CGW528" s="901"/>
      <c r="CGX528" s="901"/>
      <c r="CGY528" s="901"/>
      <c r="CGZ528" s="901"/>
      <c r="CHA528" s="901"/>
      <c r="CHB528" s="901"/>
      <c r="CHC528" s="901"/>
      <c r="CHD528" s="901"/>
      <c r="CHE528" s="901"/>
      <c r="CHF528" s="901"/>
      <c r="CHG528" s="901"/>
      <c r="CHH528" s="901"/>
      <c r="CHI528" s="901"/>
      <c r="CHJ528" s="901"/>
      <c r="CHK528" s="901"/>
      <c r="CHL528" s="901"/>
      <c r="CHM528" s="901"/>
      <c r="CHN528" s="901"/>
      <c r="CHO528" s="901"/>
      <c r="CHP528" s="901"/>
      <c r="CHQ528" s="901"/>
      <c r="CHR528" s="901"/>
      <c r="CHS528" s="901"/>
      <c r="CHT528" s="901"/>
      <c r="CHU528" s="901"/>
      <c r="CHV528" s="901"/>
      <c r="CHW528" s="901"/>
      <c r="CHX528" s="901"/>
      <c r="CHY528" s="901"/>
      <c r="CHZ528" s="901"/>
      <c r="CIA528" s="901"/>
      <c r="CIB528" s="901"/>
      <c r="CIC528" s="901"/>
      <c r="CID528" s="901"/>
      <c r="CIE528" s="901"/>
      <c r="CIF528" s="901"/>
      <c r="CIG528" s="901"/>
      <c r="CIH528" s="901"/>
      <c r="CII528" s="901"/>
      <c r="CIJ528" s="901"/>
      <c r="CIK528" s="901"/>
      <c r="CIL528" s="901"/>
      <c r="CIM528" s="901"/>
      <c r="CIN528" s="901"/>
      <c r="CIO528" s="901"/>
      <c r="CIP528" s="901"/>
      <c r="CIQ528" s="901"/>
      <c r="CIR528" s="901"/>
      <c r="CIS528" s="901"/>
      <c r="CIT528" s="901"/>
      <c r="CIU528" s="901"/>
      <c r="CIV528" s="901"/>
      <c r="CIW528" s="901"/>
      <c r="CIX528" s="901"/>
      <c r="CIY528" s="901"/>
      <c r="CIZ528" s="901"/>
      <c r="CJA528" s="901"/>
      <c r="CJB528" s="901"/>
      <c r="CJC528" s="901"/>
      <c r="CJD528" s="901"/>
      <c r="CJE528" s="901"/>
      <c r="CJF528" s="901"/>
      <c r="CJG528" s="901"/>
      <c r="CJH528" s="901"/>
      <c r="CJI528" s="901"/>
      <c r="CJJ528" s="901"/>
      <c r="CJK528" s="901"/>
      <c r="CJL528" s="901"/>
      <c r="CJM528" s="901"/>
      <c r="CJN528" s="901"/>
      <c r="CJO528" s="901"/>
      <c r="CJP528" s="901"/>
      <c r="CJQ528" s="901"/>
      <c r="CJR528" s="901"/>
      <c r="CJS528" s="901"/>
      <c r="CJT528" s="901"/>
      <c r="CJU528" s="901"/>
      <c r="CJV528" s="901"/>
      <c r="CJW528" s="901"/>
      <c r="CJX528" s="901"/>
      <c r="CJY528" s="901"/>
      <c r="CJZ528" s="901"/>
      <c r="CKA528" s="901"/>
      <c r="CKB528" s="901"/>
      <c r="CKC528" s="901"/>
      <c r="CKD528" s="901"/>
      <c r="CKE528" s="901"/>
      <c r="CKF528" s="901"/>
      <c r="CKG528" s="901"/>
      <c r="CKH528" s="901"/>
      <c r="CKI528" s="901"/>
      <c r="CKJ528" s="901"/>
      <c r="CKK528" s="901"/>
      <c r="CKL528" s="901"/>
      <c r="CKM528" s="901"/>
      <c r="CKN528" s="901"/>
      <c r="CKO528" s="901"/>
      <c r="CKP528" s="901"/>
      <c r="CKQ528" s="901"/>
      <c r="CKR528" s="901"/>
      <c r="CKS528" s="901"/>
      <c r="CKT528" s="901"/>
      <c r="CKU528" s="901"/>
      <c r="CKV528" s="901"/>
      <c r="CKW528" s="901"/>
      <c r="CKX528" s="901"/>
      <c r="CKY528" s="901"/>
      <c r="CKZ528" s="901"/>
      <c r="CLA528" s="901"/>
      <c r="CLB528" s="901"/>
      <c r="CLC528" s="901"/>
      <c r="CLD528" s="901"/>
      <c r="CLE528" s="901"/>
      <c r="CLF528" s="901"/>
      <c r="CLG528" s="901"/>
      <c r="CLH528" s="901"/>
      <c r="CLI528" s="901"/>
      <c r="CLJ528" s="901"/>
      <c r="CLK528" s="901"/>
      <c r="CLL528" s="901"/>
      <c r="CLM528" s="901"/>
      <c r="CLN528" s="901"/>
      <c r="CLO528" s="901"/>
      <c r="CLP528" s="901"/>
      <c r="CLQ528" s="901"/>
      <c r="CLR528" s="901"/>
      <c r="CLS528" s="901"/>
      <c r="CLT528" s="901"/>
      <c r="CLU528" s="901"/>
      <c r="CLV528" s="901"/>
      <c r="CLW528" s="901"/>
      <c r="CLX528" s="901"/>
      <c r="CLY528" s="901"/>
      <c r="CLZ528" s="901"/>
      <c r="CMA528" s="901"/>
      <c r="CMB528" s="901"/>
      <c r="CMC528" s="901"/>
      <c r="CMD528" s="901"/>
      <c r="CME528" s="901"/>
      <c r="CMF528" s="901"/>
      <c r="CMG528" s="901"/>
      <c r="CMH528" s="901"/>
      <c r="CMI528" s="901"/>
      <c r="CMJ528" s="901"/>
      <c r="CMK528" s="901"/>
      <c r="CML528" s="901"/>
      <c r="CMM528" s="901"/>
      <c r="CMN528" s="901"/>
      <c r="CMO528" s="901"/>
      <c r="CMP528" s="901"/>
      <c r="CMQ528" s="901"/>
      <c r="CMR528" s="901"/>
      <c r="CMS528" s="901"/>
      <c r="CMT528" s="901"/>
      <c r="CMU528" s="901"/>
      <c r="CMV528" s="901"/>
      <c r="CMW528" s="901"/>
      <c r="CMX528" s="901"/>
      <c r="CMY528" s="901"/>
      <c r="CMZ528" s="901"/>
      <c r="CNA528" s="901"/>
      <c r="CNB528" s="901"/>
      <c r="CNC528" s="901"/>
      <c r="CND528" s="901"/>
      <c r="CNE528" s="901"/>
      <c r="CNF528" s="901"/>
      <c r="CNG528" s="901"/>
      <c r="CNH528" s="901"/>
      <c r="CNI528" s="901"/>
      <c r="CNJ528" s="901"/>
      <c r="CNK528" s="901"/>
      <c r="CNL528" s="901"/>
      <c r="CNM528" s="901"/>
      <c r="CNN528" s="901"/>
      <c r="CNO528" s="901"/>
      <c r="CNP528" s="901"/>
      <c r="CNQ528" s="901"/>
      <c r="CNR528" s="901"/>
      <c r="CNS528" s="901"/>
      <c r="CNT528" s="901"/>
      <c r="CNU528" s="901"/>
      <c r="CNV528" s="901"/>
      <c r="CNW528" s="901"/>
      <c r="CNX528" s="901"/>
      <c r="CNY528" s="901"/>
      <c r="CNZ528" s="901"/>
      <c r="COA528" s="901"/>
      <c r="COB528" s="901"/>
      <c r="COC528" s="901"/>
      <c r="COD528" s="901"/>
      <c r="COE528" s="901"/>
      <c r="COF528" s="901"/>
      <c r="COG528" s="901"/>
      <c r="COH528" s="901"/>
      <c r="COI528" s="901"/>
      <c r="COJ528" s="901"/>
      <c r="COK528" s="901"/>
      <c r="COL528" s="901"/>
      <c r="COM528" s="901"/>
      <c r="CON528" s="901"/>
      <c r="COO528" s="901"/>
      <c r="COP528" s="901"/>
      <c r="COQ528" s="901"/>
      <c r="COR528" s="901"/>
      <c r="COS528" s="901"/>
      <c r="COT528" s="901"/>
      <c r="COU528" s="901"/>
      <c r="COV528" s="901"/>
      <c r="COW528" s="901"/>
      <c r="COX528" s="901"/>
      <c r="COY528" s="901"/>
      <c r="COZ528" s="901"/>
      <c r="CPA528" s="901"/>
      <c r="CPB528" s="901"/>
      <c r="CPC528" s="901"/>
      <c r="CPD528" s="901"/>
      <c r="CPE528" s="901"/>
      <c r="CPF528" s="901"/>
      <c r="CPG528" s="901"/>
      <c r="CPH528" s="901"/>
      <c r="CPI528" s="901"/>
      <c r="CPJ528" s="901"/>
      <c r="CPK528" s="901"/>
      <c r="CPL528" s="901"/>
      <c r="CPM528" s="901"/>
      <c r="CPN528" s="901"/>
      <c r="CPO528" s="901"/>
      <c r="CPP528" s="901"/>
      <c r="CPQ528" s="901"/>
      <c r="CPR528" s="901"/>
      <c r="CPS528" s="901"/>
      <c r="CPT528" s="901"/>
      <c r="CPU528" s="901"/>
      <c r="CPV528" s="901"/>
      <c r="CPW528" s="901"/>
      <c r="CPX528" s="901"/>
      <c r="CPY528" s="901"/>
      <c r="CPZ528" s="901"/>
      <c r="CQA528" s="901"/>
      <c r="CQB528" s="901"/>
      <c r="CQC528" s="901"/>
      <c r="CQD528" s="901"/>
      <c r="CQE528" s="901"/>
      <c r="CQF528" s="901"/>
      <c r="CQG528" s="901"/>
      <c r="CQH528" s="901"/>
      <c r="CQI528" s="901"/>
      <c r="CQJ528" s="901"/>
      <c r="CQK528" s="901"/>
      <c r="CQL528" s="901"/>
      <c r="CQM528" s="901"/>
      <c r="CQN528" s="901"/>
      <c r="CQO528" s="901"/>
      <c r="CQP528" s="901"/>
      <c r="CQQ528" s="901"/>
      <c r="CQR528" s="901"/>
      <c r="CQS528" s="901"/>
      <c r="CQT528" s="901"/>
      <c r="CQU528" s="901"/>
      <c r="CQV528" s="901"/>
      <c r="CQW528" s="901"/>
      <c r="CQX528" s="901"/>
      <c r="CQY528" s="901"/>
      <c r="CQZ528" s="901"/>
      <c r="CRA528" s="901"/>
      <c r="CRB528" s="901"/>
      <c r="CRC528" s="901"/>
      <c r="CRD528" s="901"/>
      <c r="CRE528" s="901"/>
      <c r="CRF528" s="901"/>
      <c r="CRG528" s="901"/>
      <c r="CRH528" s="901"/>
      <c r="CRI528" s="901"/>
      <c r="CRJ528" s="901"/>
      <c r="CRK528" s="901"/>
      <c r="CRL528" s="901"/>
      <c r="CRM528" s="901"/>
      <c r="CRN528" s="901"/>
      <c r="CRO528" s="901"/>
      <c r="CRP528" s="901"/>
      <c r="CRQ528" s="901"/>
      <c r="CRR528" s="901"/>
      <c r="CRS528" s="901"/>
      <c r="CRT528" s="901"/>
      <c r="CRU528" s="901"/>
      <c r="CRV528" s="901"/>
      <c r="CRW528" s="901"/>
      <c r="CRX528" s="901"/>
      <c r="CRY528" s="901"/>
      <c r="CRZ528" s="901"/>
      <c r="CSA528" s="901"/>
      <c r="CSB528" s="901"/>
      <c r="CSC528" s="901"/>
      <c r="CSD528" s="901"/>
      <c r="CSE528" s="901"/>
      <c r="CSF528" s="901"/>
      <c r="CSG528" s="901"/>
      <c r="CSH528" s="901"/>
      <c r="CSI528" s="901"/>
      <c r="CSJ528" s="901"/>
      <c r="CSK528" s="901"/>
      <c r="CSL528" s="901"/>
      <c r="CSM528" s="901"/>
      <c r="CSN528" s="901"/>
      <c r="CSO528" s="901"/>
      <c r="CSP528" s="901"/>
      <c r="CSQ528" s="901"/>
      <c r="CSR528" s="901"/>
      <c r="CSS528" s="901"/>
      <c r="CST528" s="901"/>
      <c r="CSU528" s="901"/>
      <c r="CSV528" s="901"/>
      <c r="CSW528" s="901"/>
      <c r="CSX528" s="901"/>
      <c r="CSY528" s="901"/>
      <c r="CSZ528" s="901"/>
      <c r="CTA528" s="901"/>
      <c r="CTB528" s="901"/>
      <c r="CTC528" s="901"/>
      <c r="CTD528" s="901"/>
      <c r="CTE528" s="901"/>
      <c r="CTF528" s="901"/>
      <c r="CTG528" s="901"/>
      <c r="CTH528" s="901"/>
      <c r="CTI528" s="901"/>
      <c r="CTJ528" s="901"/>
      <c r="CTK528" s="901"/>
      <c r="CTL528" s="901"/>
      <c r="CTM528" s="901"/>
      <c r="CTN528" s="901"/>
      <c r="CTO528" s="901"/>
      <c r="CTP528" s="901"/>
      <c r="CTQ528" s="901"/>
      <c r="CTR528" s="901"/>
      <c r="CTS528" s="901"/>
      <c r="CTT528" s="901"/>
      <c r="CTU528" s="901"/>
      <c r="CTV528" s="901"/>
      <c r="CTW528" s="901"/>
      <c r="CTX528" s="901"/>
      <c r="CTY528" s="901"/>
      <c r="CTZ528" s="901"/>
      <c r="CUA528" s="901"/>
      <c r="CUB528" s="901"/>
      <c r="CUC528" s="901"/>
      <c r="CUD528" s="901"/>
      <c r="CUE528" s="901"/>
      <c r="CUF528" s="901"/>
      <c r="CUG528" s="901"/>
      <c r="CUH528" s="901"/>
      <c r="CUI528" s="901"/>
      <c r="CUJ528" s="901"/>
      <c r="CUK528" s="901"/>
      <c r="CUL528" s="901"/>
      <c r="CUM528" s="901"/>
      <c r="CUN528" s="901"/>
      <c r="CUO528" s="901"/>
      <c r="CUP528" s="901"/>
      <c r="CUQ528" s="901"/>
      <c r="CUR528" s="901"/>
      <c r="CUS528" s="901"/>
      <c r="CUT528" s="901"/>
      <c r="CUU528" s="901"/>
      <c r="CUV528" s="901"/>
      <c r="CUW528" s="901"/>
      <c r="CUX528" s="901"/>
      <c r="CUY528" s="901"/>
      <c r="CUZ528" s="901"/>
      <c r="CVA528" s="901"/>
      <c r="CVB528" s="901"/>
      <c r="CVC528" s="901"/>
      <c r="CVD528" s="901"/>
      <c r="CVE528" s="901"/>
      <c r="CVF528" s="901"/>
      <c r="CVG528" s="901"/>
      <c r="CVH528" s="901"/>
      <c r="CVI528" s="901"/>
      <c r="CVJ528" s="901"/>
      <c r="CVK528" s="901"/>
      <c r="CVL528" s="901"/>
      <c r="CVM528" s="901"/>
      <c r="CVN528" s="901"/>
      <c r="CVO528" s="901"/>
      <c r="CVP528" s="901"/>
      <c r="CVQ528" s="901"/>
      <c r="CVR528" s="901"/>
      <c r="CVS528" s="901"/>
      <c r="CVT528" s="901"/>
      <c r="CVU528" s="901"/>
      <c r="CVV528" s="901"/>
      <c r="CVW528" s="901"/>
      <c r="CVX528" s="901"/>
      <c r="CVY528" s="901"/>
      <c r="CVZ528" s="901"/>
      <c r="CWA528" s="901"/>
      <c r="CWB528" s="901"/>
      <c r="CWC528" s="901"/>
      <c r="CWD528" s="901"/>
      <c r="CWE528" s="901"/>
      <c r="CWF528" s="901"/>
      <c r="CWG528" s="901"/>
      <c r="CWH528" s="901"/>
      <c r="CWI528" s="901"/>
      <c r="CWJ528" s="901"/>
      <c r="CWK528" s="901"/>
      <c r="CWL528" s="901"/>
      <c r="CWM528" s="901"/>
      <c r="CWN528" s="901"/>
      <c r="CWO528" s="901"/>
      <c r="CWP528" s="901"/>
      <c r="CWQ528" s="901"/>
      <c r="CWR528" s="901"/>
      <c r="CWS528" s="901"/>
      <c r="CWT528" s="901"/>
      <c r="CWU528" s="901"/>
      <c r="CWV528" s="901"/>
      <c r="CWW528" s="901"/>
      <c r="CWX528" s="901"/>
      <c r="CWY528" s="901"/>
      <c r="CWZ528" s="901"/>
      <c r="CXA528" s="901"/>
      <c r="CXB528" s="901"/>
      <c r="CXC528" s="901"/>
      <c r="CXD528" s="901"/>
      <c r="CXE528" s="901"/>
      <c r="CXF528" s="901"/>
      <c r="CXG528" s="901"/>
      <c r="CXH528" s="901"/>
      <c r="CXI528" s="901"/>
      <c r="CXJ528" s="901"/>
      <c r="CXK528" s="901"/>
      <c r="CXL528" s="901"/>
      <c r="CXM528" s="901"/>
      <c r="CXN528" s="901"/>
      <c r="CXO528" s="901"/>
      <c r="CXP528" s="901"/>
      <c r="CXQ528" s="901"/>
      <c r="CXR528" s="901"/>
      <c r="CXS528" s="901"/>
      <c r="CXT528" s="901"/>
      <c r="CXU528" s="901"/>
      <c r="CXV528" s="901"/>
      <c r="CXW528" s="901"/>
      <c r="CXX528" s="901"/>
      <c r="CXY528" s="901"/>
      <c r="CXZ528" s="901"/>
      <c r="CYA528" s="901"/>
      <c r="CYB528" s="901"/>
      <c r="CYC528" s="901"/>
      <c r="CYD528" s="901"/>
      <c r="CYE528" s="901"/>
      <c r="CYF528" s="901"/>
      <c r="CYG528" s="901"/>
      <c r="CYH528" s="901"/>
      <c r="CYI528" s="901"/>
      <c r="CYJ528" s="901"/>
      <c r="CYK528" s="901"/>
      <c r="CYL528" s="901"/>
      <c r="CYM528" s="901"/>
      <c r="CYN528" s="901"/>
      <c r="CYO528" s="901"/>
      <c r="CYP528" s="901"/>
      <c r="CYQ528" s="901"/>
      <c r="CYR528" s="901"/>
      <c r="CYS528" s="901"/>
      <c r="CYT528" s="901"/>
      <c r="CYU528" s="901"/>
      <c r="CYV528" s="901"/>
      <c r="CYW528" s="901"/>
      <c r="CYX528" s="901"/>
      <c r="CYY528" s="901"/>
      <c r="CYZ528" s="901"/>
      <c r="CZA528" s="901"/>
      <c r="CZB528" s="901"/>
      <c r="CZC528" s="901"/>
      <c r="CZD528" s="901"/>
      <c r="CZE528" s="901"/>
      <c r="CZF528" s="901"/>
      <c r="CZG528" s="901"/>
      <c r="CZH528" s="901"/>
      <c r="CZI528" s="901"/>
      <c r="CZJ528" s="901"/>
      <c r="CZK528" s="901"/>
      <c r="CZL528" s="901"/>
      <c r="CZM528" s="901"/>
      <c r="CZN528" s="901"/>
      <c r="CZO528" s="901"/>
      <c r="CZP528" s="901"/>
      <c r="CZQ528" s="901"/>
      <c r="CZR528" s="901"/>
      <c r="CZS528" s="901"/>
      <c r="CZT528" s="901"/>
      <c r="CZU528" s="901"/>
      <c r="CZV528" s="901"/>
      <c r="CZW528" s="901"/>
      <c r="CZX528" s="901"/>
      <c r="CZY528" s="901"/>
      <c r="CZZ528" s="901"/>
      <c r="DAA528" s="901"/>
      <c r="DAB528" s="901"/>
      <c r="DAC528" s="901"/>
      <c r="DAD528" s="901"/>
      <c r="DAE528" s="901"/>
      <c r="DAF528" s="901"/>
      <c r="DAG528" s="901"/>
      <c r="DAH528" s="901"/>
      <c r="DAI528" s="901"/>
      <c r="DAJ528" s="901"/>
      <c r="DAK528" s="901"/>
      <c r="DAL528" s="901"/>
      <c r="DAM528" s="901"/>
      <c r="DAN528" s="901"/>
      <c r="DAO528" s="901"/>
      <c r="DAP528" s="901"/>
      <c r="DAQ528" s="901"/>
      <c r="DAR528" s="901"/>
      <c r="DAS528" s="901"/>
      <c r="DAT528" s="901"/>
      <c r="DAU528" s="901"/>
      <c r="DAV528" s="901"/>
      <c r="DAW528" s="901"/>
      <c r="DAX528" s="901"/>
      <c r="DAY528" s="901"/>
      <c r="DAZ528" s="901"/>
      <c r="DBA528" s="901"/>
      <c r="DBB528" s="901"/>
      <c r="DBC528" s="901"/>
      <c r="DBD528" s="901"/>
      <c r="DBE528" s="901"/>
      <c r="DBF528" s="901"/>
      <c r="DBG528" s="901"/>
      <c r="DBH528" s="901"/>
      <c r="DBI528" s="901"/>
      <c r="DBJ528" s="901"/>
      <c r="DBK528" s="901"/>
      <c r="DBL528" s="901"/>
      <c r="DBM528" s="901"/>
      <c r="DBN528" s="901"/>
      <c r="DBO528" s="901"/>
      <c r="DBP528" s="901"/>
      <c r="DBQ528" s="901"/>
      <c r="DBR528" s="901"/>
      <c r="DBS528" s="901"/>
      <c r="DBT528" s="901"/>
      <c r="DBU528" s="901"/>
      <c r="DBV528" s="901"/>
      <c r="DBW528" s="901"/>
      <c r="DBX528" s="901"/>
      <c r="DBY528" s="901"/>
      <c r="DBZ528" s="901"/>
      <c r="DCA528" s="901"/>
      <c r="DCB528" s="901"/>
      <c r="DCC528" s="901"/>
      <c r="DCD528" s="901"/>
      <c r="DCE528" s="901"/>
      <c r="DCF528" s="901"/>
      <c r="DCG528" s="901"/>
      <c r="DCH528" s="901"/>
      <c r="DCI528" s="901"/>
      <c r="DCJ528" s="901"/>
      <c r="DCK528" s="901"/>
      <c r="DCL528" s="901"/>
      <c r="DCM528" s="901"/>
      <c r="DCN528" s="901"/>
      <c r="DCO528" s="901"/>
      <c r="DCP528" s="901"/>
      <c r="DCQ528" s="901"/>
      <c r="DCR528" s="901"/>
      <c r="DCS528" s="901"/>
      <c r="DCT528" s="901"/>
      <c r="DCU528" s="901"/>
      <c r="DCV528" s="901"/>
      <c r="DCW528" s="901"/>
      <c r="DCX528" s="901"/>
      <c r="DCY528" s="901"/>
      <c r="DCZ528" s="901"/>
      <c r="DDA528" s="901"/>
      <c r="DDB528" s="901"/>
      <c r="DDC528" s="901"/>
      <c r="DDD528" s="901"/>
      <c r="DDE528" s="901"/>
      <c r="DDF528" s="901"/>
      <c r="DDG528" s="901"/>
      <c r="DDH528" s="901"/>
      <c r="DDI528" s="901"/>
      <c r="DDJ528" s="901"/>
      <c r="DDK528" s="901"/>
      <c r="DDL528" s="901"/>
      <c r="DDM528" s="901"/>
      <c r="DDN528" s="901"/>
      <c r="DDO528" s="901"/>
      <c r="DDP528" s="901"/>
      <c r="DDQ528" s="901"/>
      <c r="DDR528" s="901"/>
      <c r="DDS528" s="901"/>
      <c r="DDT528" s="901"/>
      <c r="DDU528" s="901"/>
      <c r="DDV528" s="901"/>
      <c r="DDW528" s="901"/>
      <c r="DDX528" s="901"/>
      <c r="DDY528" s="901"/>
      <c r="DDZ528" s="901"/>
      <c r="DEA528" s="901"/>
      <c r="DEB528" s="901"/>
      <c r="DEC528" s="901"/>
      <c r="DED528" s="901"/>
      <c r="DEE528" s="901"/>
      <c r="DEF528" s="901"/>
      <c r="DEG528" s="901"/>
      <c r="DEH528" s="901"/>
      <c r="DEI528" s="901"/>
      <c r="DEJ528" s="901"/>
      <c r="DEK528" s="901"/>
      <c r="DEL528" s="901"/>
      <c r="DEM528" s="901"/>
      <c r="DEN528" s="901"/>
      <c r="DEO528" s="901"/>
      <c r="DEP528" s="901"/>
      <c r="DEQ528" s="901"/>
      <c r="DER528" s="901"/>
      <c r="DES528" s="901"/>
      <c r="DET528" s="901"/>
      <c r="DEU528" s="901"/>
      <c r="DEV528" s="901"/>
      <c r="DEW528" s="901"/>
      <c r="DEX528" s="901"/>
      <c r="DEY528" s="901"/>
      <c r="DEZ528" s="901"/>
      <c r="DFA528" s="901"/>
      <c r="DFB528" s="901"/>
      <c r="DFC528" s="901"/>
      <c r="DFD528" s="901"/>
      <c r="DFE528" s="901"/>
      <c r="DFF528" s="901"/>
      <c r="DFG528" s="901"/>
      <c r="DFH528" s="901"/>
      <c r="DFI528" s="901"/>
      <c r="DFJ528" s="901"/>
      <c r="DFK528" s="901"/>
      <c r="DFL528" s="901"/>
      <c r="DFM528" s="901"/>
      <c r="DFN528" s="901"/>
      <c r="DFO528" s="901"/>
      <c r="DFP528" s="901"/>
      <c r="DFQ528" s="901"/>
      <c r="DFR528" s="901"/>
      <c r="DFS528" s="901"/>
      <c r="DFT528" s="901"/>
      <c r="DFU528" s="901"/>
      <c r="DFV528" s="901"/>
      <c r="DFW528" s="901"/>
      <c r="DFX528" s="901"/>
      <c r="DFY528" s="901"/>
      <c r="DFZ528" s="901"/>
      <c r="DGA528" s="901"/>
      <c r="DGB528" s="901"/>
      <c r="DGC528" s="901"/>
      <c r="DGD528" s="901"/>
      <c r="DGE528" s="901"/>
      <c r="DGF528" s="901"/>
      <c r="DGG528" s="901"/>
      <c r="DGH528" s="901"/>
      <c r="DGI528" s="901"/>
      <c r="DGJ528" s="901"/>
      <c r="DGK528" s="901"/>
      <c r="DGL528" s="901"/>
      <c r="DGM528" s="901"/>
      <c r="DGN528" s="901"/>
      <c r="DGO528" s="901"/>
      <c r="DGP528" s="901"/>
      <c r="DGQ528" s="901"/>
      <c r="DGR528" s="901"/>
      <c r="DGS528" s="901"/>
      <c r="DGT528" s="901"/>
      <c r="DGU528" s="901"/>
      <c r="DGV528" s="901"/>
      <c r="DGW528" s="901"/>
      <c r="DGX528" s="901"/>
      <c r="DGY528" s="901"/>
      <c r="DGZ528" s="901"/>
      <c r="DHA528" s="901"/>
      <c r="DHB528" s="901"/>
      <c r="DHC528" s="901"/>
      <c r="DHD528" s="901"/>
      <c r="DHE528" s="901"/>
      <c r="DHF528" s="901"/>
      <c r="DHG528" s="901"/>
      <c r="DHH528" s="901"/>
      <c r="DHI528" s="901"/>
      <c r="DHJ528" s="901"/>
      <c r="DHK528" s="901"/>
      <c r="DHL528" s="901"/>
      <c r="DHM528" s="901"/>
      <c r="DHN528" s="901"/>
      <c r="DHO528" s="901"/>
      <c r="DHP528" s="901"/>
      <c r="DHQ528" s="901"/>
      <c r="DHR528" s="901"/>
      <c r="DHS528" s="901"/>
      <c r="DHT528" s="901"/>
      <c r="DHU528" s="901"/>
      <c r="DHV528" s="901"/>
      <c r="DHW528" s="901"/>
      <c r="DHX528" s="901"/>
      <c r="DHY528" s="901"/>
      <c r="DHZ528" s="901"/>
      <c r="DIA528" s="901"/>
      <c r="DIB528" s="901"/>
      <c r="DIC528" s="901"/>
      <c r="DID528" s="901"/>
      <c r="DIE528" s="901"/>
      <c r="DIF528" s="901"/>
      <c r="DIG528" s="901"/>
      <c r="DIH528" s="901"/>
      <c r="DII528" s="901"/>
      <c r="DIJ528" s="901"/>
      <c r="DIK528" s="901"/>
      <c r="DIL528" s="901"/>
      <c r="DIM528" s="901"/>
      <c r="DIN528" s="901"/>
      <c r="DIO528" s="901"/>
      <c r="DIP528" s="901"/>
      <c r="DIQ528" s="901"/>
      <c r="DIR528" s="901"/>
      <c r="DIS528" s="901"/>
      <c r="DIT528" s="901"/>
      <c r="DIU528" s="901"/>
      <c r="DIV528" s="901"/>
      <c r="DIW528" s="901"/>
      <c r="DIX528" s="901"/>
      <c r="DIY528" s="901"/>
      <c r="DIZ528" s="901"/>
      <c r="DJA528" s="901"/>
      <c r="DJB528" s="901"/>
      <c r="DJC528" s="901"/>
      <c r="DJD528" s="901"/>
      <c r="DJE528" s="901"/>
      <c r="DJF528" s="901"/>
      <c r="DJG528" s="901"/>
      <c r="DJH528" s="901"/>
      <c r="DJI528" s="901"/>
      <c r="DJJ528" s="901"/>
      <c r="DJK528" s="901"/>
      <c r="DJL528" s="901"/>
      <c r="DJM528" s="901"/>
      <c r="DJN528" s="901"/>
      <c r="DJO528" s="901"/>
      <c r="DJP528" s="901"/>
      <c r="DJQ528" s="901"/>
      <c r="DJR528" s="901"/>
      <c r="DJS528" s="901"/>
      <c r="DJT528" s="901"/>
      <c r="DJU528" s="901"/>
      <c r="DJV528" s="901"/>
      <c r="DJW528" s="901"/>
      <c r="DJX528" s="901"/>
      <c r="DJY528" s="901"/>
      <c r="DJZ528" s="901"/>
      <c r="DKA528" s="901"/>
      <c r="DKB528" s="901"/>
      <c r="DKC528" s="901"/>
      <c r="DKD528" s="901"/>
      <c r="DKE528" s="901"/>
      <c r="DKF528" s="901"/>
      <c r="DKG528" s="901"/>
      <c r="DKH528" s="901"/>
      <c r="DKI528" s="901"/>
      <c r="DKJ528" s="901"/>
      <c r="DKK528" s="901"/>
      <c r="DKL528" s="901"/>
      <c r="DKM528" s="901"/>
      <c r="DKN528" s="901"/>
      <c r="DKO528" s="901"/>
      <c r="DKP528" s="901"/>
      <c r="DKQ528" s="901"/>
      <c r="DKR528" s="901"/>
      <c r="DKS528" s="901"/>
      <c r="DKT528" s="901"/>
      <c r="DKU528" s="901"/>
      <c r="DKV528" s="901"/>
      <c r="DKW528" s="901"/>
      <c r="DKX528" s="901"/>
      <c r="DKY528" s="901"/>
      <c r="DKZ528" s="901"/>
      <c r="DLA528" s="901"/>
      <c r="DLB528" s="901"/>
      <c r="DLC528" s="901"/>
      <c r="DLD528" s="901"/>
      <c r="DLE528" s="901"/>
      <c r="DLF528" s="901"/>
      <c r="DLG528" s="901"/>
      <c r="DLH528" s="901"/>
      <c r="DLI528" s="901"/>
      <c r="DLJ528" s="901"/>
      <c r="DLK528" s="901"/>
      <c r="DLL528" s="901"/>
      <c r="DLM528" s="901"/>
      <c r="DLN528" s="901"/>
      <c r="DLO528" s="901"/>
      <c r="DLP528" s="901"/>
      <c r="DLQ528" s="901"/>
      <c r="DLR528" s="901"/>
      <c r="DLS528" s="901"/>
      <c r="DLT528" s="901"/>
      <c r="DLU528" s="901"/>
      <c r="DLV528" s="901"/>
      <c r="DLW528" s="901"/>
      <c r="DLX528" s="901"/>
      <c r="DLY528" s="901"/>
      <c r="DLZ528" s="901"/>
      <c r="DMA528" s="901"/>
      <c r="DMB528" s="901"/>
      <c r="DMC528" s="901"/>
      <c r="DMD528" s="901"/>
      <c r="DME528" s="901"/>
      <c r="DMF528" s="901"/>
      <c r="DMG528" s="901"/>
      <c r="DMH528" s="901"/>
      <c r="DMI528" s="901"/>
      <c r="DMJ528" s="901"/>
      <c r="DMK528" s="901"/>
      <c r="DML528" s="901"/>
      <c r="DMM528" s="901"/>
      <c r="DMN528" s="901"/>
      <c r="DMO528" s="901"/>
      <c r="DMP528" s="901"/>
      <c r="DMQ528" s="901"/>
      <c r="DMR528" s="901"/>
      <c r="DMS528" s="901"/>
      <c r="DMT528" s="901"/>
      <c r="DMU528" s="901"/>
      <c r="DMV528" s="901"/>
      <c r="DMW528" s="901"/>
      <c r="DMX528" s="901"/>
      <c r="DMY528" s="901"/>
      <c r="DMZ528" s="901"/>
      <c r="DNA528" s="901"/>
      <c r="DNB528" s="901"/>
      <c r="DNC528" s="901"/>
      <c r="DND528" s="901"/>
      <c r="DNE528" s="901"/>
      <c r="DNF528" s="901"/>
      <c r="DNG528" s="901"/>
      <c r="DNH528" s="901"/>
      <c r="DNI528" s="901"/>
      <c r="DNJ528" s="901"/>
      <c r="DNK528" s="901"/>
      <c r="DNL528" s="901"/>
      <c r="DNM528" s="901"/>
      <c r="DNN528" s="901"/>
      <c r="DNO528" s="901"/>
      <c r="DNP528" s="901"/>
      <c r="DNQ528" s="901"/>
      <c r="DNR528" s="901"/>
      <c r="DNS528" s="901"/>
      <c r="DNT528" s="901"/>
      <c r="DNU528" s="901"/>
      <c r="DNV528" s="901"/>
      <c r="DNW528" s="901"/>
      <c r="DNX528" s="901"/>
      <c r="DNY528" s="901"/>
      <c r="DNZ528" s="901"/>
      <c r="DOA528" s="901"/>
      <c r="DOB528" s="901"/>
      <c r="DOC528" s="901"/>
      <c r="DOD528" s="901"/>
      <c r="DOE528" s="901"/>
      <c r="DOF528" s="901"/>
      <c r="DOG528" s="901"/>
      <c r="DOH528" s="901"/>
      <c r="DOI528" s="901"/>
      <c r="DOJ528" s="901"/>
      <c r="DOK528" s="901"/>
      <c r="DOL528" s="901"/>
      <c r="DOM528" s="901"/>
      <c r="DON528" s="901"/>
      <c r="DOO528" s="901"/>
      <c r="DOP528" s="901"/>
      <c r="DOQ528" s="901"/>
      <c r="DOR528" s="901"/>
      <c r="DOS528" s="901"/>
      <c r="DOT528" s="901"/>
      <c r="DOU528" s="901"/>
      <c r="DOV528" s="901"/>
      <c r="DOW528" s="901"/>
      <c r="DOX528" s="901"/>
      <c r="DOY528" s="901"/>
      <c r="DOZ528" s="901"/>
      <c r="DPA528" s="901"/>
      <c r="DPB528" s="901"/>
      <c r="DPC528" s="901"/>
      <c r="DPD528" s="901"/>
      <c r="DPE528" s="901"/>
      <c r="DPF528" s="901"/>
      <c r="DPG528" s="901"/>
      <c r="DPH528" s="901"/>
      <c r="DPI528" s="901"/>
      <c r="DPJ528" s="901"/>
      <c r="DPK528" s="901"/>
      <c r="DPL528" s="901"/>
      <c r="DPM528" s="901"/>
      <c r="DPN528" s="901"/>
      <c r="DPO528" s="901"/>
      <c r="DPP528" s="901"/>
      <c r="DPQ528" s="901"/>
      <c r="DPR528" s="901"/>
      <c r="DPS528" s="901"/>
      <c r="DPT528" s="901"/>
      <c r="DPU528" s="901"/>
      <c r="DPV528" s="901"/>
      <c r="DPW528" s="901"/>
      <c r="DPX528" s="901"/>
      <c r="DPY528" s="901"/>
      <c r="DPZ528" s="901"/>
      <c r="DQA528" s="901"/>
      <c r="DQB528" s="901"/>
      <c r="DQC528" s="901"/>
      <c r="DQD528" s="901"/>
      <c r="DQE528" s="901"/>
      <c r="DQF528" s="901"/>
      <c r="DQG528" s="901"/>
      <c r="DQH528" s="901"/>
      <c r="DQI528" s="901"/>
      <c r="DQJ528" s="901"/>
      <c r="DQK528" s="901"/>
      <c r="DQL528" s="901"/>
      <c r="DQM528" s="901"/>
      <c r="DQN528" s="901"/>
      <c r="DQO528" s="901"/>
      <c r="DQP528" s="901"/>
      <c r="DQQ528" s="901"/>
      <c r="DQR528" s="901"/>
      <c r="DQS528" s="901"/>
      <c r="DQT528" s="901"/>
      <c r="DQU528" s="901"/>
      <c r="DQV528" s="901"/>
      <c r="DQW528" s="901"/>
      <c r="DQX528" s="901"/>
      <c r="DQY528" s="901"/>
      <c r="DQZ528" s="901"/>
      <c r="DRA528" s="901"/>
      <c r="DRB528" s="901"/>
      <c r="DRC528" s="901"/>
      <c r="DRD528" s="901"/>
      <c r="DRE528" s="901"/>
      <c r="DRF528" s="901"/>
      <c r="DRG528" s="901"/>
      <c r="DRH528" s="901"/>
      <c r="DRI528" s="901"/>
      <c r="DRJ528" s="901"/>
      <c r="DRK528" s="901"/>
      <c r="DRL528" s="901"/>
      <c r="DRM528" s="901"/>
      <c r="DRN528" s="901"/>
      <c r="DRO528" s="901"/>
      <c r="DRP528" s="901"/>
      <c r="DRQ528" s="901"/>
      <c r="DRR528" s="901"/>
      <c r="DRS528" s="901"/>
      <c r="DRT528" s="901"/>
      <c r="DRU528" s="901"/>
      <c r="DRV528" s="901"/>
      <c r="DRW528" s="901"/>
      <c r="DRX528" s="901"/>
      <c r="DRY528" s="901"/>
      <c r="DRZ528" s="901"/>
      <c r="DSA528" s="901"/>
      <c r="DSB528" s="901"/>
      <c r="DSC528" s="901"/>
      <c r="DSD528" s="901"/>
      <c r="DSE528" s="901"/>
      <c r="DSF528" s="901"/>
      <c r="DSG528" s="901"/>
      <c r="DSH528" s="901"/>
      <c r="DSI528" s="901"/>
      <c r="DSJ528" s="901"/>
      <c r="DSK528" s="901"/>
      <c r="DSL528" s="901"/>
      <c r="DSM528" s="901"/>
      <c r="DSN528" s="901"/>
      <c r="DSO528" s="901"/>
      <c r="DSP528" s="901"/>
      <c r="DSQ528" s="901"/>
      <c r="DSR528" s="901"/>
      <c r="DSS528" s="901"/>
      <c r="DST528" s="901"/>
      <c r="DSU528" s="901"/>
      <c r="DSV528" s="901"/>
      <c r="DSW528" s="901"/>
      <c r="DSX528" s="901"/>
      <c r="DSY528" s="901"/>
      <c r="DSZ528" s="901"/>
      <c r="DTA528" s="901"/>
      <c r="DTB528" s="901"/>
      <c r="DTC528" s="901"/>
      <c r="DTD528" s="901"/>
      <c r="DTE528" s="901"/>
      <c r="DTF528" s="901"/>
      <c r="DTG528" s="901"/>
      <c r="DTH528" s="901"/>
      <c r="DTI528" s="901"/>
      <c r="DTJ528" s="901"/>
      <c r="DTK528" s="901"/>
      <c r="DTL528" s="901"/>
      <c r="DTM528" s="901"/>
      <c r="DTN528" s="901"/>
      <c r="DTO528" s="901"/>
      <c r="DTP528" s="901"/>
      <c r="DTQ528" s="901"/>
      <c r="DTR528" s="901"/>
      <c r="DTS528" s="901"/>
      <c r="DTT528" s="901"/>
      <c r="DTU528" s="901"/>
      <c r="DTV528" s="901"/>
      <c r="DTW528" s="901"/>
      <c r="DTX528" s="901"/>
      <c r="DTY528" s="901"/>
      <c r="DTZ528" s="901"/>
      <c r="DUA528" s="901"/>
      <c r="DUB528" s="901"/>
      <c r="DUC528" s="901"/>
      <c r="DUD528" s="901"/>
      <c r="DUE528" s="901"/>
      <c r="DUF528" s="901"/>
      <c r="DUG528" s="901"/>
      <c r="DUH528" s="901"/>
      <c r="DUI528" s="901"/>
      <c r="DUJ528" s="901"/>
      <c r="DUK528" s="901"/>
      <c r="DUL528" s="901"/>
      <c r="DUM528" s="901"/>
      <c r="DUN528" s="901"/>
      <c r="DUO528" s="901"/>
      <c r="DUP528" s="901"/>
      <c r="DUQ528" s="901"/>
      <c r="DUR528" s="901"/>
      <c r="DUS528" s="901"/>
      <c r="DUT528" s="901"/>
      <c r="DUU528" s="901"/>
      <c r="DUV528" s="901"/>
      <c r="DUW528" s="901"/>
      <c r="DUX528" s="901"/>
      <c r="DUY528" s="901"/>
      <c r="DUZ528" s="901"/>
      <c r="DVA528" s="901"/>
      <c r="DVB528" s="901"/>
      <c r="DVC528" s="901"/>
      <c r="DVD528" s="901"/>
      <c r="DVE528" s="901"/>
      <c r="DVF528" s="901"/>
      <c r="DVG528" s="901"/>
      <c r="DVH528" s="901"/>
      <c r="DVI528" s="901"/>
      <c r="DVJ528" s="901"/>
      <c r="DVK528" s="901"/>
      <c r="DVL528" s="901"/>
      <c r="DVM528" s="901"/>
      <c r="DVN528" s="901"/>
      <c r="DVO528" s="901"/>
      <c r="DVP528" s="901"/>
      <c r="DVQ528" s="901"/>
      <c r="DVR528" s="901"/>
      <c r="DVS528" s="901"/>
      <c r="DVT528" s="901"/>
      <c r="DVU528" s="901"/>
      <c r="DVV528" s="901"/>
      <c r="DVW528" s="901"/>
      <c r="DVX528" s="901"/>
      <c r="DVY528" s="901"/>
      <c r="DVZ528" s="901"/>
      <c r="DWA528" s="901"/>
      <c r="DWB528" s="901"/>
      <c r="DWC528" s="901"/>
      <c r="DWD528" s="901"/>
      <c r="DWE528" s="901"/>
      <c r="DWF528" s="901"/>
      <c r="DWG528" s="901"/>
      <c r="DWH528" s="901"/>
      <c r="DWI528" s="901"/>
      <c r="DWJ528" s="901"/>
      <c r="DWK528" s="901"/>
      <c r="DWL528" s="901"/>
      <c r="DWM528" s="901"/>
      <c r="DWN528" s="901"/>
      <c r="DWO528" s="901"/>
      <c r="DWP528" s="901"/>
      <c r="DWQ528" s="901"/>
      <c r="DWR528" s="901"/>
      <c r="DWS528" s="901"/>
      <c r="DWT528" s="901"/>
      <c r="DWU528" s="901"/>
      <c r="DWV528" s="901"/>
      <c r="DWW528" s="901"/>
      <c r="DWX528" s="901"/>
      <c r="DWY528" s="901"/>
      <c r="DWZ528" s="901"/>
      <c r="DXA528" s="901"/>
      <c r="DXB528" s="901"/>
      <c r="DXC528" s="901"/>
      <c r="DXD528" s="901"/>
      <c r="DXE528" s="901"/>
      <c r="DXF528" s="901"/>
      <c r="DXG528" s="901"/>
      <c r="DXH528" s="901"/>
      <c r="DXI528" s="901"/>
      <c r="DXJ528" s="901"/>
      <c r="DXK528" s="901"/>
      <c r="DXL528" s="901"/>
      <c r="DXM528" s="901"/>
      <c r="DXN528" s="901"/>
      <c r="DXO528" s="901"/>
      <c r="DXP528" s="901"/>
      <c r="DXQ528" s="901"/>
      <c r="DXR528" s="901"/>
      <c r="DXS528" s="901"/>
      <c r="DXT528" s="901"/>
      <c r="DXU528" s="901"/>
      <c r="DXV528" s="901"/>
      <c r="DXW528" s="901"/>
      <c r="DXX528" s="901"/>
      <c r="DXY528" s="901"/>
      <c r="DXZ528" s="901"/>
      <c r="DYA528" s="901"/>
      <c r="DYB528" s="901"/>
      <c r="DYC528" s="901"/>
      <c r="DYD528" s="901"/>
      <c r="DYE528" s="901"/>
      <c r="DYF528" s="901"/>
      <c r="DYG528" s="901"/>
      <c r="DYH528" s="901"/>
      <c r="DYI528" s="901"/>
      <c r="DYJ528" s="901"/>
      <c r="DYK528" s="901"/>
      <c r="DYL528" s="901"/>
      <c r="DYM528" s="901"/>
      <c r="DYN528" s="901"/>
      <c r="DYO528" s="901"/>
      <c r="DYP528" s="901"/>
      <c r="DYQ528" s="901"/>
      <c r="DYR528" s="901"/>
      <c r="DYS528" s="901"/>
      <c r="DYT528" s="901"/>
      <c r="DYU528" s="901"/>
      <c r="DYV528" s="901"/>
      <c r="DYW528" s="901"/>
      <c r="DYX528" s="901"/>
      <c r="DYY528" s="901"/>
      <c r="DYZ528" s="901"/>
      <c r="DZA528" s="901"/>
      <c r="DZB528" s="901"/>
      <c r="DZC528" s="901"/>
      <c r="DZD528" s="901"/>
      <c r="DZE528" s="901"/>
      <c r="DZF528" s="901"/>
      <c r="DZG528" s="901"/>
      <c r="DZH528" s="901"/>
      <c r="DZI528" s="901"/>
      <c r="DZJ528" s="901"/>
      <c r="DZK528" s="901"/>
      <c r="DZL528" s="901"/>
      <c r="DZM528" s="901"/>
      <c r="DZN528" s="901"/>
      <c r="DZO528" s="901"/>
      <c r="DZP528" s="901"/>
      <c r="DZQ528" s="901"/>
      <c r="DZR528" s="901"/>
      <c r="DZS528" s="901"/>
      <c r="DZT528" s="901"/>
      <c r="DZU528" s="901"/>
      <c r="DZV528" s="901"/>
      <c r="DZW528" s="901"/>
      <c r="DZX528" s="901"/>
      <c r="DZY528" s="901"/>
      <c r="DZZ528" s="901"/>
      <c r="EAA528" s="901"/>
      <c r="EAB528" s="901"/>
      <c r="EAC528" s="901"/>
      <c r="EAD528" s="901"/>
      <c r="EAE528" s="901"/>
      <c r="EAF528" s="901"/>
      <c r="EAG528" s="901"/>
      <c r="EAH528" s="901"/>
      <c r="EAI528" s="901"/>
      <c r="EAJ528" s="901"/>
      <c r="EAK528" s="901"/>
      <c r="EAL528" s="901"/>
      <c r="EAM528" s="901"/>
      <c r="EAN528" s="901"/>
      <c r="EAO528" s="901"/>
      <c r="EAP528" s="901"/>
      <c r="EAQ528" s="901"/>
      <c r="EAR528" s="901"/>
      <c r="EAS528" s="901"/>
      <c r="EAT528" s="901"/>
      <c r="EAU528" s="901"/>
      <c r="EAV528" s="901"/>
      <c r="EAW528" s="901"/>
      <c r="EAX528" s="901"/>
      <c r="EAY528" s="901"/>
      <c r="EAZ528" s="901"/>
      <c r="EBA528" s="901"/>
      <c r="EBB528" s="901"/>
      <c r="EBC528" s="901"/>
      <c r="EBD528" s="901"/>
      <c r="EBE528" s="901"/>
      <c r="EBF528" s="901"/>
      <c r="EBG528" s="901"/>
      <c r="EBH528" s="901"/>
      <c r="EBI528" s="901"/>
      <c r="EBJ528" s="901"/>
      <c r="EBK528" s="901"/>
      <c r="EBL528" s="901"/>
      <c r="EBM528" s="901"/>
      <c r="EBN528" s="901"/>
      <c r="EBO528" s="901"/>
      <c r="EBP528" s="901"/>
      <c r="EBQ528" s="901"/>
      <c r="EBR528" s="901"/>
      <c r="EBS528" s="901"/>
      <c r="EBT528" s="901"/>
      <c r="EBU528" s="901"/>
      <c r="EBV528" s="901"/>
      <c r="EBW528" s="901"/>
      <c r="EBX528" s="901"/>
      <c r="EBY528" s="901"/>
      <c r="EBZ528" s="901"/>
      <c r="ECA528" s="901"/>
      <c r="ECB528" s="901"/>
      <c r="ECC528" s="901"/>
      <c r="ECD528" s="901"/>
      <c r="ECE528" s="901"/>
      <c r="ECF528" s="901"/>
      <c r="ECG528" s="901"/>
      <c r="ECH528" s="901"/>
      <c r="ECI528" s="901"/>
      <c r="ECJ528" s="901"/>
      <c r="ECK528" s="901"/>
      <c r="ECL528" s="901"/>
      <c r="ECM528" s="901"/>
      <c r="ECN528" s="901"/>
      <c r="ECO528" s="901"/>
      <c r="ECP528" s="901"/>
      <c r="ECQ528" s="901"/>
      <c r="ECR528" s="901"/>
      <c r="ECS528" s="901"/>
      <c r="ECT528" s="901"/>
      <c r="ECU528" s="901"/>
      <c r="ECV528" s="901"/>
      <c r="ECW528" s="901"/>
      <c r="ECX528" s="901"/>
      <c r="ECY528" s="901"/>
      <c r="ECZ528" s="901"/>
      <c r="EDA528" s="901"/>
      <c r="EDB528" s="901"/>
      <c r="EDC528" s="901"/>
      <c r="EDD528" s="901"/>
      <c r="EDE528" s="901"/>
      <c r="EDF528" s="901"/>
      <c r="EDG528" s="901"/>
      <c r="EDH528" s="901"/>
      <c r="EDI528" s="901"/>
      <c r="EDJ528" s="901"/>
      <c r="EDK528" s="901"/>
      <c r="EDL528" s="901"/>
      <c r="EDM528" s="901"/>
      <c r="EDN528" s="901"/>
      <c r="EDO528" s="901"/>
      <c r="EDP528" s="901"/>
      <c r="EDQ528" s="901"/>
      <c r="EDR528" s="901"/>
      <c r="EDS528" s="901"/>
      <c r="EDT528" s="901"/>
      <c r="EDU528" s="901"/>
      <c r="EDV528" s="901"/>
      <c r="EDW528" s="901"/>
      <c r="EDX528" s="901"/>
      <c r="EDY528" s="901"/>
      <c r="EDZ528" s="901"/>
      <c r="EEA528" s="901"/>
      <c r="EEB528" s="901"/>
      <c r="EEC528" s="901"/>
      <c r="EED528" s="901"/>
      <c r="EEE528" s="901"/>
      <c r="EEF528" s="901"/>
      <c r="EEG528" s="901"/>
      <c r="EEH528" s="901"/>
      <c r="EEI528" s="901"/>
      <c r="EEJ528" s="901"/>
      <c r="EEK528" s="901"/>
      <c r="EEL528" s="901"/>
      <c r="EEM528" s="901"/>
      <c r="EEN528" s="901"/>
      <c r="EEO528" s="901"/>
      <c r="EEP528" s="901"/>
      <c r="EEQ528" s="901"/>
      <c r="EER528" s="901"/>
      <c r="EES528" s="901"/>
      <c r="EET528" s="901"/>
      <c r="EEU528" s="901"/>
      <c r="EEV528" s="901"/>
      <c r="EEW528" s="901"/>
      <c r="EEX528" s="901"/>
      <c r="EEY528" s="901"/>
      <c r="EEZ528" s="901"/>
      <c r="EFA528" s="901"/>
      <c r="EFB528" s="901"/>
      <c r="EFC528" s="901"/>
      <c r="EFD528" s="901"/>
      <c r="EFE528" s="901"/>
      <c r="EFF528" s="901"/>
      <c r="EFG528" s="901"/>
      <c r="EFH528" s="901"/>
      <c r="EFI528" s="901"/>
      <c r="EFJ528" s="901"/>
      <c r="EFK528" s="901"/>
      <c r="EFL528" s="901"/>
      <c r="EFM528" s="901"/>
      <c r="EFN528" s="901"/>
      <c r="EFO528" s="901"/>
      <c r="EFP528" s="901"/>
      <c r="EFQ528" s="901"/>
      <c r="EFR528" s="901"/>
      <c r="EFS528" s="901"/>
      <c r="EFT528" s="901"/>
      <c r="EFU528" s="901"/>
      <c r="EFV528" s="901"/>
      <c r="EFW528" s="901"/>
      <c r="EFX528" s="901"/>
      <c r="EFY528" s="901"/>
      <c r="EFZ528" s="901"/>
      <c r="EGA528" s="901"/>
      <c r="EGB528" s="901"/>
      <c r="EGC528" s="901"/>
      <c r="EGD528" s="901"/>
      <c r="EGE528" s="901"/>
      <c r="EGF528" s="901"/>
      <c r="EGG528" s="901"/>
      <c r="EGH528" s="901"/>
      <c r="EGI528" s="901"/>
      <c r="EGJ528" s="901"/>
      <c r="EGK528" s="901"/>
      <c r="EGL528" s="901"/>
      <c r="EGM528" s="901"/>
      <c r="EGN528" s="901"/>
      <c r="EGO528" s="901"/>
      <c r="EGP528" s="901"/>
      <c r="EGQ528" s="901"/>
      <c r="EGR528" s="901"/>
      <c r="EGS528" s="901"/>
      <c r="EGT528" s="901"/>
      <c r="EGU528" s="901"/>
      <c r="EGV528" s="901"/>
      <c r="EGW528" s="901"/>
      <c r="EGX528" s="901"/>
      <c r="EGY528" s="901"/>
      <c r="EGZ528" s="901"/>
      <c r="EHA528" s="901"/>
      <c r="EHB528" s="901"/>
      <c r="EHC528" s="901"/>
      <c r="EHD528" s="901"/>
      <c r="EHE528" s="901"/>
      <c r="EHF528" s="901"/>
      <c r="EHG528" s="901"/>
      <c r="EHH528" s="901"/>
      <c r="EHI528" s="901"/>
      <c r="EHJ528" s="901"/>
      <c r="EHK528" s="901"/>
      <c r="EHL528" s="901"/>
      <c r="EHM528" s="901"/>
      <c r="EHN528" s="901"/>
      <c r="EHO528" s="901"/>
      <c r="EHP528" s="901"/>
      <c r="EHQ528" s="901"/>
      <c r="EHR528" s="901"/>
      <c r="EHS528" s="901"/>
      <c r="EHT528" s="901"/>
      <c r="EHU528" s="901"/>
      <c r="EHV528" s="901"/>
      <c r="EHW528" s="901"/>
      <c r="EHX528" s="901"/>
      <c r="EHY528" s="901"/>
      <c r="EHZ528" s="901"/>
      <c r="EIA528" s="901"/>
      <c r="EIB528" s="901"/>
      <c r="EIC528" s="901"/>
      <c r="EID528" s="901"/>
      <c r="EIE528" s="901"/>
      <c r="EIF528" s="901"/>
      <c r="EIG528" s="901"/>
      <c r="EIH528" s="901"/>
      <c r="EII528" s="901"/>
      <c r="EIJ528" s="901"/>
      <c r="EIK528" s="901"/>
      <c r="EIL528" s="901"/>
      <c r="EIM528" s="901"/>
      <c r="EIN528" s="901"/>
      <c r="EIO528" s="901"/>
      <c r="EIP528" s="901"/>
      <c r="EIQ528" s="901"/>
      <c r="EIR528" s="901"/>
      <c r="EIS528" s="901"/>
      <c r="EIT528" s="901"/>
      <c r="EIU528" s="901"/>
      <c r="EIV528" s="901"/>
      <c r="EIW528" s="901"/>
      <c r="EIX528" s="901"/>
      <c r="EIY528" s="901"/>
      <c r="EIZ528" s="901"/>
      <c r="EJA528" s="901"/>
      <c r="EJB528" s="901"/>
      <c r="EJC528" s="901"/>
      <c r="EJD528" s="901"/>
      <c r="EJE528" s="901"/>
      <c r="EJF528" s="901"/>
      <c r="EJG528" s="901"/>
      <c r="EJH528" s="901"/>
      <c r="EJI528" s="901"/>
      <c r="EJJ528" s="901"/>
      <c r="EJK528" s="901"/>
      <c r="EJL528" s="901"/>
      <c r="EJM528" s="901"/>
      <c r="EJN528" s="901"/>
      <c r="EJO528" s="901"/>
      <c r="EJP528" s="901"/>
      <c r="EJQ528" s="901"/>
      <c r="EJR528" s="901"/>
      <c r="EJS528" s="901"/>
      <c r="EJT528" s="901"/>
      <c r="EJU528" s="901"/>
      <c r="EJV528" s="901"/>
      <c r="EJW528" s="901"/>
      <c r="EJX528" s="901"/>
      <c r="EJY528" s="901"/>
      <c r="EJZ528" s="901"/>
      <c r="EKA528" s="901"/>
      <c r="EKB528" s="901"/>
      <c r="EKC528" s="901"/>
      <c r="EKD528" s="901"/>
      <c r="EKE528" s="901"/>
      <c r="EKF528" s="901"/>
      <c r="EKG528" s="901"/>
      <c r="EKH528" s="901"/>
      <c r="EKI528" s="901"/>
      <c r="EKJ528" s="901"/>
      <c r="EKK528" s="901"/>
      <c r="EKL528" s="901"/>
      <c r="EKM528" s="901"/>
      <c r="EKN528" s="901"/>
      <c r="EKO528" s="901"/>
      <c r="EKP528" s="901"/>
      <c r="EKQ528" s="901"/>
      <c r="EKR528" s="901"/>
      <c r="EKS528" s="901"/>
      <c r="EKT528" s="901"/>
      <c r="EKU528" s="901"/>
      <c r="EKV528" s="901"/>
      <c r="EKW528" s="901"/>
      <c r="EKX528" s="901"/>
      <c r="EKY528" s="901"/>
      <c r="EKZ528" s="901"/>
      <c r="ELA528" s="901"/>
      <c r="ELB528" s="901"/>
      <c r="ELC528" s="901"/>
      <c r="ELD528" s="901"/>
      <c r="ELE528" s="901"/>
      <c r="ELF528" s="901"/>
      <c r="ELG528" s="901"/>
      <c r="ELH528" s="901"/>
      <c r="ELI528" s="901"/>
      <c r="ELJ528" s="901"/>
      <c r="ELK528" s="901"/>
      <c r="ELL528" s="901"/>
      <c r="ELM528" s="901"/>
      <c r="ELN528" s="901"/>
      <c r="ELO528" s="901"/>
      <c r="ELP528" s="901"/>
      <c r="ELQ528" s="901"/>
      <c r="ELR528" s="901"/>
      <c r="ELS528" s="901"/>
      <c r="ELT528" s="901"/>
      <c r="ELU528" s="901"/>
      <c r="ELV528" s="901"/>
      <c r="ELW528" s="901"/>
      <c r="ELX528" s="901"/>
      <c r="ELY528" s="901"/>
      <c r="ELZ528" s="901"/>
      <c r="EMA528" s="901"/>
      <c r="EMB528" s="901"/>
      <c r="EMC528" s="901"/>
      <c r="EMD528" s="901"/>
      <c r="EME528" s="901"/>
      <c r="EMF528" s="901"/>
      <c r="EMG528" s="901"/>
      <c r="EMH528" s="901"/>
      <c r="EMI528" s="901"/>
      <c r="EMJ528" s="901"/>
      <c r="EMK528" s="901"/>
      <c r="EML528" s="901"/>
      <c r="EMM528" s="901"/>
      <c r="EMN528" s="901"/>
      <c r="EMO528" s="901"/>
      <c r="EMP528" s="901"/>
      <c r="EMQ528" s="901"/>
      <c r="EMR528" s="901"/>
      <c r="EMS528" s="901"/>
      <c r="EMT528" s="901"/>
      <c r="EMU528" s="901"/>
      <c r="EMV528" s="901"/>
      <c r="EMW528" s="901"/>
      <c r="EMX528" s="901"/>
      <c r="EMY528" s="901"/>
      <c r="EMZ528" s="901"/>
      <c r="ENA528" s="901"/>
      <c r="ENB528" s="901"/>
      <c r="ENC528" s="901"/>
      <c r="END528" s="901"/>
      <c r="ENE528" s="901"/>
      <c r="ENF528" s="901"/>
      <c r="ENG528" s="901"/>
      <c r="ENH528" s="901"/>
      <c r="ENI528" s="901"/>
      <c r="ENJ528" s="901"/>
      <c r="ENK528" s="901"/>
      <c r="ENL528" s="901"/>
      <c r="ENM528" s="901"/>
      <c r="ENN528" s="901"/>
      <c r="ENO528" s="901"/>
      <c r="ENP528" s="901"/>
      <c r="ENQ528" s="901"/>
      <c r="ENR528" s="901"/>
      <c r="ENS528" s="901"/>
      <c r="ENT528" s="901"/>
      <c r="ENU528" s="901"/>
      <c r="ENV528" s="901"/>
      <c r="ENW528" s="901"/>
      <c r="ENX528" s="901"/>
      <c r="ENY528" s="901"/>
      <c r="ENZ528" s="901"/>
      <c r="EOA528" s="901"/>
      <c r="EOB528" s="901"/>
      <c r="EOC528" s="901"/>
      <c r="EOD528" s="901"/>
      <c r="EOE528" s="901"/>
      <c r="EOF528" s="901"/>
      <c r="EOG528" s="901"/>
      <c r="EOH528" s="901"/>
      <c r="EOI528" s="901"/>
      <c r="EOJ528" s="901"/>
      <c r="EOK528" s="901"/>
      <c r="EOL528" s="901"/>
      <c r="EOM528" s="901"/>
      <c r="EON528" s="901"/>
      <c r="EOO528" s="901"/>
      <c r="EOP528" s="901"/>
      <c r="EOQ528" s="901"/>
      <c r="EOR528" s="901"/>
      <c r="EOS528" s="901"/>
      <c r="EOT528" s="901"/>
      <c r="EOU528" s="901"/>
      <c r="EOV528" s="901"/>
      <c r="EOW528" s="901"/>
      <c r="EOX528" s="901"/>
      <c r="EOY528" s="901"/>
      <c r="EOZ528" s="901"/>
      <c r="EPA528" s="901"/>
      <c r="EPB528" s="901"/>
      <c r="EPC528" s="901"/>
      <c r="EPD528" s="901"/>
      <c r="EPE528" s="901"/>
      <c r="EPF528" s="901"/>
      <c r="EPG528" s="901"/>
      <c r="EPH528" s="901"/>
      <c r="EPI528" s="901"/>
      <c r="EPJ528" s="901"/>
      <c r="EPK528" s="901"/>
      <c r="EPL528" s="901"/>
      <c r="EPM528" s="901"/>
      <c r="EPN528" s="901"/>
      <c r="EPO528" s="901"/>
      <c r="EPP528" s="901"/>
      <c r="EPQ528" s="901"/>
      <c r="EPR528" s="901"/>
      <c r="EPS528" s="901"/>
      <c r="EPT528" s="901"/>
      <c r="EPU528" s="901"/>
      <c r="EPV528" s="901"/>
      <c r="EPW528" s="901"/>
      <c r="EPX528" s="901"/>
      <c r="EPY528" s="901"/>
      <c r="EPZ528" s="901"/>
      <c r="EQA528" s="901"/>
      <c r="EQB528" s="901"/>
      <c r="EQC528" s="901"/>
      <c r="EQD528" s="901"/>
      <c r="EQE528" s="901"/>
      <c r="EQF528" s="901"/>
      <c r="EQG528" s="901"/>
      <c r="EQH528" s="901"/>
      <c r="EQI528" s="901"/>
      <c r="EQJ528" s="901"/>
      <c r="EQK528" s="901"/>
      <c r="EQL528" s="901"/>
      <c r="EQM528" s="901"/>
      <c r="EQN528" s="901"/>
      <c r="EQO528" s="901"/>
      <c r="EQP528" s="901"/>
      <c r="EQQ528" s="901"/>
      <c r="EQR528" s="901"/>
      <c r="EQS528" s="901"/>
      <c r="EQT528" s="901"/>
      <c r="EQU528" s="901"/>
      <c r="EQV528" s="901"/>
      <c r="EQW528" s="901"/>
      <c r="EQX528" s="901"/>
      <c r="EQY528" s="901"/>
      <c r="EQZ528" s="901"/>
      <c r="ERA528" s="901"/>
      <c r="ERB528" s="901"/>
      <c r="ERC528" s="901"/>
      <c r="ERD528" s="901"/>
      <c r="ERE528" s="901"/>
      <c r="ERF528" s="901"/>
      <c r="ERG528" s="901"/>
      <c r="ERH528" s="901"/>
      <c r="ERI528" s="901"/>
      <c r="ERJ528" s="901"/>
      <c r="ERK528" s="901"/>
      <c r="ERL528" s="901"/>
      <c r="ERM528" s="901"/>
      <c r="ERN528" s="901"/>
      <c r="ERO528" s="901"/>
      <c r="ERP528" s="901"/>
      <c r="ERQ528" s="901"/>
      <c r="ERR528" s="901"/>
      <c r="ERS528" s="901"/>
      <c r="ERT528" s="901"/>
      <c r="ERU528" s="901"/>
      <c r="ERV528" s="901"/>
      <c r="ERW528" s="901"/>
      <c r="ERX528" s="901"/>
      <c r="ERY528" s="901"/>
      <c r="ERZ528" s="901"/>
      <c r="ESA528" s="901"/>
      <c r="ESB528" s="901"/>
      <c r="ESC528" s="901"/>
      <c r="ESD528" s="901"/>
      <c r="ESE528" s="901"/>
      <c r="ESF528" s="901"/>
      <c r="ESG528" s="901"/>
      <c r="ESH528" s="901"/>
      <c r="ESI528" s="901"/>
      <c r="ESJ528" s="901"/>
      <c r="ESK528" s="901"/>
      <c r="ESL528" s="901"/>
      <c r="ESM528" s="901"/>
      <c r="ESN528" s="901"/>
      <c r="ESO528" s="901"/>
      <c r="ESP528" s="901"/>
      <c r="ESQ528" s="901"/>
      <c r="ESR528" s="901"/>
      <c r="ESS528" s="901"/>
      <c r="EST528" s="901"/>
      <c r="ESU528" s="901"/>
      <c r="ESV528" s="901"/>
      <c r="ESW528" s="901"/>
      <c r="ESX528" s="901"/>
      <c r="ESY528" s="901"/>
      <c r="ESZ528" s="901"/>
      <c r="ETA528" s="901"/>
      <c r="ETB528" s="901"/>
      <c r="ETC528" s="901"/>
      <c r="ETD528" s="901"/>
      <c r="ETE528" s="901"/>
      <c r="ETF528" s="901"/>
      <c r="ETG528" s="901"/>
      <c r="ETH528" s="901"/>
      <c r="ETI528" s="901"/>
      <c r="ETJ528" s="901"/>
      <c r="ETK528" s="901"/>
      <c r="ETL528" s="901"/>
      <c r="ETM528" s="901"/>
      <c r="ETN528" s="901"/>
      <c r="ETO528" s="901"/>
      <c r="ETP528" s="901"/>
      <c r="ETQ528" s="901"/>
      <c r="ETR528" s="901"/>
      <c r="ETS528" s="901"/>
      <c r="ETT528" s="901"/>
      <c r="ETU528" s="901"/>
      <c r="ETV528" s="901"/>
      <c r="ETW528" s="901"/>
      <c r="ETX528" s="901"/>
      <c r="ETY528" s="901"/>
      <c r="ETZ528" s="901"/>
      <c r="EUA528" s="901"/>
      <c r="EUB528" s="901"/>
      <c r="EUC528" s="901"/>
      <c r="EUD528" s="901"/>
      <c r="EUE528" s="901"/>
      <c r="EUF528" s="901"/>
      <c r="EUG528" s="901"/>
      <c r="EUH528" s="901"/>
      <c r="EUI528" s="901"/>
      <c r="EUJ528" s="901"/>
      <c r="EUK528" s="901"/>
      <c r="EUL528" s="901"/>
      <c r="EUM528" s="901"/>
      <c r="EUN528" s="901"/>
      <c r="EUO528" s="901"/>
      <c r="EUP528" s="901"/>
      <c r="EUQ528" s="901"/>
      <c r="EUR528" s="901"/>
      <c r="EUS528" s="901"/>
      <c r="EUT528" s="901"/>
      <c r="EUU528" s="901"/>
      <c r="EUV528" s="901"/>
      <c r="EUW528" s="901"/>
      <c r="EUX528" s="901"/>
      <c r="EUY528" s="901"/>
      <c r="EUZ528" s="901"/>
      <c r="EVA528" s="901"/>
      <c r="EVB528" s="901"/>
      <c r="EVC528" s="901"/>
      <c r="EVD528" s="901"/>
      <c r="EVE528" s="901"/>
      <c r="EVF528" s="901"/>
      <c r="EVG528" s="901"/>
      <c r="EVH528" s="901"/>
      <c r="EVI528" s="901"/>
      <c r="EVJ528" s="901"/>
      <c r="EVK528" s="901"/>
      <c r="EVL528" s="901"/>
      <c r="EVM528" s="901"/>
      <c r="EVN528" s="901"/>
      <c r="EVO528" s="901"/>
      <c r="EVP528" s="901"/>
      <c r="EVQ528" s="901"/>
      <c r="EVR528" s="901"/>
      <c r="EVS528" s="901"/>
      <c r="EVT528" s="901"/>
      <c r="EVU528" s="901"/>
      <c r="EVV528" s="901"/>
      <c r="EVW528" s="901"/>
      <c r="EVX528" s="901"/>
      <c r="EVY528" s="901"/>
      <c r="EVZ528" s="901"/>
      <c r="EWA528" s="901"/>
      <c r="EWB528" s="901"/>
      <c r="EWC528" s="901"/>
      <c r="EWD528" s="901"/>
      <c r="EWE528" s="901"/>
      <c r="EWF528" s="901"/>
      <c r="EWG528" s="901"/>
      <c r="EWH528" s="901"/>
      <c r="EWI528" s="901"/>
      <c r="EWJ528" s="901"/>
      <c r="EWK528" s="901"/>
      <c r="EWL528" s="901"/>
      <c r="EWM528" s="901"/>
      <c r="EWN528" s="901"/>
      <c r="EWO528" s="901"/>
      <c r="EWP528" s="901"/>
      <c r="EWQ528" s="901"/>
      <c r="EWR528" s="901"/>
      <c r="EWS528" s="901"/>
      <c r="EWT528" s="901"/>
      <c r="EWU528" s="901"/>
      <c r="EWV528" s="901"/>
      <c r="EWW528" s="901"/>
      <c r="EWX528" s="901"/>
      <c r="EWY528" s="901"/>
      <c r="EWZ528" s="901"/>
      <c r="EXA528" s="901"/>
      <c r="EXB528" s="901"/>
      <c r="EXC528" s="901"/>
      <c r="EXD528" s="901"/>
      <c r="EXE528" s="901"/>
      <c r="EXF528" s="901"/>
      <c r="EXG528" s="901"/>
      <c r="EXH528" s="901"/>
      <c r="EXI528" s="901"/>
      <c r="EXJ528" s="901"/>
      <c r="EXK528" s="901"/>
      <c r="EXL528" s="901"/>
      <c r="EXM528" s="901"/>
      <c r="EXN528" s="901"/>
      <c r="EXO528" s="901"/>
      <c r="EXP528" s="901"/>
      <c r="EXQ528" s="901"/>
      <c r="EXR528" s="901"/>
      <c r="EXS528" s="901"/>
      <c r="EXT528" s="901"/>
      <c r="EXU528" s="901"/>
      <c r="EXV528" s="901"/>
      <c r="EXW528" s="901"/>
      <c r="EXX528" s="901"/>
      <c r="EXY528" s="901"/>
      <c r="EXZ528" s="901"/>
      <c r="EYA528" s="901"/>
      <c r="EYB528" s="901"/>
      <c r="EYC528" s="901"/>
      <c r="EYD528" s="901"/>
      <c r="EYE528" s="901"/>
      <c r="EYF528" s="901"/>
      <c r="EYG528" s="901"/>
      <c r="EYH528" s="901"/>
      <c r="EYI528" s="901"/>
      <c r="EYJ528" s="901"/>
      <c r="EYK528" s="901"/>
      <c r="EYL528" s="901"/>
      <c r="EYM528" s="901"/>
      <c r="EYN528" s="901"/>
      <c r="EYO528" s="901"/>
      <c r="EYP528" s="901"/>
      <c r="EYQ528" s="901"/>
      <c r="EYR528" s="901"/>
      <c r="EYS528" s="901"/>
      <c r="EYT528" s="901"/>
      <c r="EYU528" s="901"/>
      <c r="EYV528" s="901"/>
      <c r="EYW528" s="901"/>
      <c r="EYX528" s="901"/>
      <c r="EYY528" s="901"/>
      <c r="EYZ528" s="901"/>
      <c r="EZA528" s="901"/>
      <c r="EZB528" s="901"/>
      <c r="EZC528" s="901"/>
      <c r="EZD528" s="901"/>
      <c r="EZE528" s="901"/>
      <c r="EZF528" s="901"/>
      <c r="EZG528" s="901"/>
      <c r="EZH528" s="901"/>
      <c r="EZI528" s="901"/>
      <c r="EZJ528" s="901"/>
      <c r="EZK528" s="901"/>
      <c r="EZL528" s="901"/>
      <c r="EZM528" s="901"/>
      <c r="EZN528" s="901"/>
      <c r="EZO528" s="901"/>
      <c r="EZP528" s="901"/>
      <c r="EZQ528" s="901"/>
      <c r="EZR528" s="901"/>
      <c r="EZS528" s="901"/>
      <c r="EZT528" s="901"/>
      <c r="EZU528" s="901"/>
      <c r="EZV528" s="901"/>
      <c r="EZW528" s="901"/>
      <c r="EZX528" s="901"/>
      <c r="EZY528" s="901"/>
      <c r="EZZ528" s="901"/>
      <c r="FAA528" s="901"/>
      <c r="FAB528" s="901"/>
      <c r="FAC528" s="901"/>
      <c r="FAD528" s="901"/>
      <c r="FAE528" s="901"/>
      <c r="FAF528" s="901"/>
      <c r="FAG528" s="901"/>
      <c r="FAH528" s="901"/>
      <c r="FAI528" s="901"/>
      <c r="FAJ528" s="901"/>
      <c r="FAK528" s="901"/>
      <c r="FAL528" s="901"/>
      <c r="FAM528" s="901"/>
      <c r="FAN528" s="901"/>
      <c r="FAO528" s="901"/>
      <c r="FAP528" s="901"/>
      <c r="FAQ528" s="901"/>
      <c r="FAR528" s="901"/>
      <c r="FAS528" s="901"/>
      <c r="FAT528" s="901"/>
      <c r="FAU528" s="901"/>
      <c r="FAV528" s="901"/>
      <c r="FAW528" s="901"/>
      <c r="FAX528" s="901"/>
      <c r="FAY528" s="901"/>
      <c r="FAZ528" s="901"/>
      <c r="FBA528" s="901"/>
      <c r="FBB528" s="901"/>
      <c r="FBC528" s="901"/>
      <c r="FBD528" s="901"/>
      <c r="FBE528" s="901"/>
      <c r="FBF528" s="901"/>
      <c r="FBG528" s="901"/>
      <c r="FBH528" s="901"/>
      <c r="FBI528" s="901"/>
      <c r="FBJ528" s="901"/>
      <c r="FBK528" s="901"/>
      <c r="FBL528" s="901"/>
      <c r="FBM528" s="901"/>
      <c r="FBN528" s="901"/>
      <c r="FBO528" s="901"/>
      <c r="FBP528" s="901"/>
      <c r="FBQ528" s="901"/>
      <c r="FBR528" s="901"/>
      <c r="FBS528" s="901"/>
      <c r="FBT528" s="901"/>
      <c r="FBU528" s="901"/>
      <c r="FBV528" s="901"/>
      <c r="FBW528" s="901"/>
      <c r="FBX528" s="901"/>
      <c r="FBY528" s="901"/>
      <c r="FBZ528" s="901"/>
      <c r="FCA528" s="901"/>
      <c r="FCB528" s="901"/>
      <c r="FCC528" s="901"/>
      <c r="FCD528" s="901"/>
      <c r="FCE528" s="901"/>
      <c r="FCF528" s="901"/>
      <c r="FCG528" s="901"/>
      <c r="FCH528" s="901"/>
      <c r="FCI528" s="901"/>
      <c r="FCJ528" s="901"/>
      <c r="FCK528" s="901"/>
      <c r="FCL528" s="901"/>
      <c r="FCM528" s="901"/>
      <c r="FCN528" s="901"/>
      <c r="FCO528" s="901"/>
      <c r="FCP528" s="901"/>
      <c r="FCQ528" s="901"/>
      <c r="FCR528" s="901"/>
      <c r="FCS528" s="901"/>
      <c r="FCT528" s="901"/>
      <c r="FCU528" s="901"/>
      <c r="FCV528" s="901"/>
      <c r="FCW528" s="901"/>
      <c r="FCX528" s="901"/>
      <c r="FCY528" s="901"/>
      <c r="FCZ528" s="901"/>
      <c r="FDA528" s="901"/>
      <c r="FDB528" s="901"/>
      <c r="FDC528" s="901"/>
      <c r="FDD528" s="901"/>
      <c r="FDE528" s="901"/>
      <c r="FDF528" s="901"/>
      <c r="FDG528" s="901"/>
      <c r="FDH528" s="901"/>
      <c r="FDI528" s="901"/>
      <c r="FDJ528" s="901"/>
      <c r="FDK528" s="901"/>
      <c r="FDL528" s="901"/>
      <c r="FDM528" s="901"/>
      <c r="FDN528" s="901"/>
      <c r="FDO528" s="901"/>
      <c r="FDP528" s="901"/>
      <c r="FDQ528" s="901"/>
      <c r="FDR528" s="901"/>
      <c r="FDS528" s="901"/>
      <c r="FDT528" s="901"/>
      <c r="FDU528" s="901"/>
      <c r="FDV528" s="901"/>
      <c r="FDW528" s="901"/>
      <c r="FDX528" s="901"/>
      <c r="FDY528" s="901"/>
      <c r="FDZ528" s="901"/>
      <c r="FEA528" s="901"/>
      <c r="FEB528" s="901"/>
      <c r="FEC528" s="901"/>
      <c r="FED528" s="901"/>
      <c r="FEE528" s="901"/>
      <c r="FEF528" s="901"/>
      <c r="FEG528" s="901"/>
      <c r="FEH528" s="901"/>
      <c r="FEI528" s="901"/>
      <c r="FEJ528" s="901"/>
      <c r="FEK528" s="901"/>
      <c r="FEL528" s="901"/>
      <c r="FEM528" s="901"/>
      <c r="FEN528" s="901"/>
      <c r="FEO528" s="901"/>
      <c r="FEP528" s="901"/>
      <c r="FEQ528" s="901"/>
      <c r="FER528" s="901"/>
      <c r="FES528" s="901"/>
      <c r="FET528" s="901"/>
      <c r="FEU528" s="901"/>
      <c r="FEV528" s="901"/>
      <c r="FEW528" s="901"/>
      <c r="FEX528" s="901"/>
      <c r="FEY528" s="901"/>
      <c r="FEZ528" s="901"/>
      <c r="FFA528" s="901"/>
      <c r="FFB528" s="901"/>
      <c r="FFC528" s="901"/>
      <c r="FFD528" s="901"/>
      <c r="FFE528" s="901"/>
      <c r="FFF528" s="901"/>
      <c r="FFG528" s="901"/>
      <c r="FFH528" s="901"/>
      <c r="FFI528" s="901"/>
      <c r="FFJ528" s="901"/>
      <c r="FFK528" s="901"/>
      <c r="FFL528" s="901"/>
      <c r="FFM528" s="901"/>
      <c r="FFN528" s="901"/>
      <c r="FFO528" s="901"/>
      <c r="FFP528" s="901"/>
      <c r="FFQ528" s="901"/>
      <c r="FFR528" s="901"/>
      <c r="FFS528" s="901"/>
      <c r="FFT528" s="901"/>
      <c r="FFU528" s="901"/>
      <c r="FFV528" s="901"/>
      <c r="FFW528" s="901"/>
      <c r="FFX528" s="901"/>
      <c r="FFY528" s="901"/>
      <c r="FFZ528" s="901"/>
      <c r="FGA528" s="901"/>
      <c r="FGB528" s="901"/>
      <c r="FGC528" s="901"/>
      <c r="FGD528" s="901"/>
      <c r="FGE528" s="901"/>
      <c r="FGF528" s="901"/>
      <c r="FGG528" s="901"/>
      <c r="FGH528" s="901"/>
      <c r="FGI528" s="901"/>
      <c r="FGJ528" s="901"/>
      <c r="FGK528" s="901"/>
      <c r="FGL528" s="901"/>
      <c r="FGM528" s="901"/>
      <c r="FGN528" s="901"/>
      <c r="FGO528" s="901"/>
      <c r="FGP528" s="901"/>
      <c r="FGQ528" s="901"/>
      <c r="FGR528" s="901"/>
      <c r="FGS528" s="901"/>
      <c r="FGT528" s="901"/>
      <c r="FGU528" s="901"/>
      <c r="FGV528" s="901"/>
      <c r="FGW528" s="901"/>
      <c r="FGX528" s="901"/>
      <c r="FGY528" s="901"/>
      <c r="FGZ528" s="901"/>
      <c r="FHA528" s="901"/>
      <c r="FHB528" s="901"/>
      <c r="FHC528" s="901"/>
      <c r="FHD528" s="901"/>
      <c r="FHE528" s="901"/>
      <c r="FHF528" s="901"/>
      <c r="FHG528" s="901"/>
      <c r="FHH528" s="901"/>
      <c r="FHI528" s="901"/>
      <c r="FHJ528" s="901"/>
      <c r="FHK528" s="901"/>
      <c r="FHL528" s="901"/>
      <c r="FHM528" s="901"/>
      <c r="FHN528" s="901"/>
      <c r="FHO528" s="901"/>
      <c r="FHP528" s="901"/>
      <c r="FHQ528" s="901"/>
      <c r="FHR528" s="901"/>
      <c r="FHS528" s="901"/>
      <c r="FHT528" s="901"/>
      <c r="FHU528" s="901"/>
      <c r="FHV528" s="901"/>
      <c r="FHW528" s="901"/>
      <c r="FHX528" s="901"/>
      <c r="FHY528" s="901"/>
      <c r="FHZ528" s="901"/>
      <c r="FIA528" s="901"/>
      <c r="FIB528" s="901"/>
      <c r="FIC528" s="901"/>
      <c r="FID528" s="901"/>
      <c r="FIE528" s="901"/>
      <c r="FIF528" s="901"/>
      <c r="FIG528" s="901"/>
      <c r="FIH528" s="901"/>
      <c r="FII528" s="901"/>
      <c r="FIJ528" s="901"/>
      <c r="FIK528" s="901"/>
      <c r="FIL528" s="901"/>
      <c r="FIM528" s="901"/>
      <c r="FIN528" s="901"/>
      <c r="FIO528" s="901"/>
      <c r="FIP528" s="901"/>
      <c r="FIQ528" s="901"/>
      <c r="FIR528" s="901"/>
      <c r="FIS528" s="901"/>
      <c r="FIT528" s="901"/>
      <c r="FIU528" s="901"/>
      <c r="FIV528" s="901"/>
      <c r="FIW528" s="901"/>
      <c r="FIX528" s="901"/>
      <c r="FIY528" s="901"/>
      <c r="FIZ528" s="901"/>
      <c r="FJA528" s="901"/>
      <c r="FJB528" s="901"/>
      <c r="FJC528" s="901"/>
      <c r="FJD528" s="901"/>
      <c r="FJE528" s="901"/>
      <c r="FJF528" s="901"/>
      <c r="FJG528" s="901"/>
      <c r="FJH528" s="901"/>
      <c r="FJI528" s="901"/>
      <c r="FJJ528" s="901"/>
      <c r="FJK528" s="901"/>
      <c r="FJL528" s="901"/>
      <c r="FJM528" s="901"/>
      <c r="FJN528" s="901"/>
      <c r="FJO528" s="901"/>
      <c r="FJP528" s="901"/>
      <c r="FJQ528" s="901"/>
      <c r="FJR528" s="901"/>
      <c r="FJS528" s="901"/>
      <c r="FJT528" s="901"/>
      <c r="FJU528" s="901"/>
      <c r="FJV528" s="901"/>
      <c r="FJW528" s="901"/>
      <c r="FJX528" s="901"/>
      <c r="FJY528" s="901"/>
      <c r="FJZ528" s="901"/>
      <c r="FKA528" s="901"/>
      <c r="FKB528" s="901"/>
      <c r="FKC528" s="901"/>
      <c r="FKD528" s="901"/>
      <c r="FKE528" s="901"/>
      <c r="FKF528" s="901"/>
      <c r="FKG528" s="901"/>
      <c r="FKH528" s="901"/>
      <c r="FKI528" s="901"/>
      <c r="FKJ528" s="901"/>
      <c r="FKK528" s="901"/>
      <c r="FKL528" s="901"/>
      <c r="FKM528" s="901"/>
      <c r="FKN528" s="901"/>
      <c r="FKO528" s="901"/>
      <c r="FKP528" s="901"/>
      <c r="FKQ528" s="901"/>
      <c r="FKR528" s="901"/>
      <c r="FKS528" s="901"/>
      <c r="FKT528" s="901"/>
      <c r="FKU528" s="901"/>
      <c r="FKV528" s="901"/>
      <c r="FKW528" s="901"/>
      <c r="FKX528" s="901"/>
      <c r="FKY528" s="901"/>
      <c r="FKZ528" s="901"/>
      <c r="FLA528" s="901"/>
      <c r="FLB528" s="901"/>
      <c r="FLC528" s="901"/>
      <c r="FLD528" s="901"/>
      <c r="FLE528" s="901"/>
      <c r="FLF528" s="901"/>
      <c r="FLG528" s="901"/>
      <c r="FLH528" s="901"/>
      <c r="FLI528" s="901"/>
      <c r="FLJ528" s="901"/>
      <c r="FLK528" s="901"/>
      <c r="FLL528" s="901"/>
      <c r="FLM528" s="901"/>
      <c r="FLN528" s="901"/>
      <c r="FLO528" s="901"/>
      <c r="FLP528" s="901"/>
      <c r="FLQ528" s="901"/>
      <c r="FLR528" s="901"/>
      <c r="FLS528" s="901"/>
      <c r="FLT528" s="901"/>
      <c r="FLU528" s="901"/>
      <c r="FLV528" s="901"/>
      <c r="FLW528" s="901"/>
      <c r="FLX528" s="901"/>
      <c r="FLY528" s="901"/>
      <c r="FLZ528" s="901"/>
      <c r="FMA528" s="901"/>
      <c r="FMB528" s="901"/>
      <c r="FMC528" s="901"/>
      <c r="FMD528" s="901"/>
      <c r="FME528" s="901"/>
      <c r="FMF528" s="901"/>
      <c r="FMG528" s="901"/>
      <c r="FMH528" s="901"/>
      <c r="FMI528" s="901"/>
      <c r="FMJ528" s="901"/>
      <c r="FMK528" s="901"/>
      <c r="FML528" s="901"/>
      <c r="FMM528" s="901"/>
      <c r="FMN528" s="901"/>
      <c r="FMO528" s="901"/>
      <c r="FMP528" s="901"/>
      <c r="FMQ528" s="901"/>
      <c r="FMR528" s="901"/>
      <c r="FMS528" s="901"/>
      <c r="FMT528" s="901"/>
      <c r="FMU528" s="901"/>
      <c r="FMV528" s="901"/>
      <c r="FMW528" s="901"/>
      <c r="FMX528" s="901"/>
      <c r="FMY528" s="901"/>
      <c r="FMZ528" s="901"/>
      <c r="FNA528" s="901"/>
      <c r="FNB528" s="901"/>
      <c r="FNC528" s="901"/>
      <c r="FND528" s="901"/>
      <c r="FNE528" s="901"/>
      <c r="FNF528" s="901"/>
      <c r="FNG528" s="901"/>
      <c r="FNH528" s="901"/>
      <c r="FNI528" s="901"/>
      <c r="FNJ528" s="901"/>
      <c r="FNK528" s="901"/>
      <c r="FNL528" s="901"/>
      <c r="FNM528" s="901"/>
      <c r="FNN528" s="901"/>
      <c r="FNO528" s="901"/>
      <c r="FNP528" s="901"/>
      <c r="FNQ528" s="901"/>
      <c r="FNR528" s="901"/>
      <c r="FNS528" s="901"/>
      <c r="FNT528" s="901"/>
      <c r="FNU528" s="901"/>
      <c r="FNV528" s="901"/>
      <c r="FNW528" s="901"/>
      <c r="FNX528" s="901"/>
      <c r="FNY528" s="901"/>
      <c r="FNZ528" s="901"/>
      <c r="FOA528" s="901"/>
      <c r="FOB528" s="901"/>
      <c r="FOC528" s="901"/>
      <c r="FOD528" s="901"/>
      <c r="FOE528" s="901"/>
      <c r="FOF528" s="901"/>
      <c r="FOG528" s="901"/>
      <c r="FOH528" s="901"/>
      <c r="FOI528" s="901"/>
      <c r="FOJ528" s="901"/>
      <c r="FOK528" s="901"/>
      <c r="FOL528" s="901"/>
      <c r="FOM528" s="901"/>
      <c r="FON528" s="901"/>
      <c r="FOO528" s="901"/>
      <c r="FOP528" s="901"/>
      <c r="FOQ528" s="901"/>
      <c r="FOR528" s="901"/>
      <c r="FOS528" s="901"/>
      <c r="FOT528" s="901"/>
      <c r="FOU528" s="901"/>
      <c r="FOV528" s="901"/>
      <c r="FOW528" s="901"/>
      <c r="FOX528" s="901"/>
      <c r="FOY528" s="901"/>
      <c r="FOZ528" s="901"/>
      <c r="FPA528" s="901"/>
      <c r="FPB528" s="901"/>
      <c r="FPC528" s="901"/>
      <c r="FPD528" s="901"/>
      <c r="FPE528" s="901"/>
      <c r="FPF528" s="901"/>
      <c r="FPG528" s="901"/>
      <c r="FPH528" s="901"/>
      <c r="FPI528" s="901"/>
      <c r="FPJ528" s="901"/>
      <c r="FPK528" s="901"/>
      <c r="FPL528" s="901"/>
      <c r="FPM528" s="901"/>
      <c r="FPN528" s="901"/>
      <c r="FPO528" s="901"/>
      <c r="FPP528" s="901"/>
      <c r="FPQ528" s="901"/>
      <c r="FPR528" s="901"/>
      <c r="FPS528" s="901"/>
      <c r="FPT528" s="901"/>
      <c r="FPU528" s="901"/>
      <c r="FPV528" s="901"/>
      <c r="FPW528" s="901"/>
      <c r="FPX528" s="901"/>
      <c r="FPY528" s="901"/>
      <c r="FPZ528" s="901"/>
      <c r="FQA528" s="901"/>
      <c r="FQB528" s="901"/>
      <c r="FQC528" s="901"/>
      <c r="FQD528" s="901"/>
      <c r="FQE528" s="901"/>
      <c r="FQF528" s="901"/>
      <c r="FQG528" s="901"/>
      <c r="FQH528" s="901"/>
      <c r="FQI528" s="901"/>
      <c r="FQJ528" s="901"/>
      <c r="FQK528" s="901"/>
      <c r="FQL528" s="901"/>
      <c r="FQM528" s="901"/>
      <c r="FQN528" s="901"/>
      <c r="FQO528" s="901"/>
      <c r="FQP528" s="901"/>
      <c r="FQQ528" s="901"/>
      <c r="FQR528" s="901"/>
      <c r="FQS528" s="901"/>
      <c r="FQT528" s="901"/>
      <c r="FQU528" s="901"/>
      <c r="FQV528" s="901"/>
      <c r="FQW528" s="901"/>
      <c r="FQX528" s="901"/>
      <c r="FQY528" s="901"/>
      <c r="FQZ528" s="901"/>
      <c r="FRA528" s="901"/>
      <c r="FRB528" s="901"/>
      <c r="FRC528" s="901"/>
      <c r="FRD528" s="901"/>
      <c r="FRE528" s="901"/>
      <c r="FRF528" s="901"/>
      <c r="FRG528" s="901"/>
      <c r="FRH528" s="901"/>
      <c r="FRI528" s="901"/>
      <c r="FRJ528" s="901"/>
      <c r="FRK528" s="901"/>
      <c r="FRL528" s="901"/>
      <c r="FRM528" s="901"/>
      <c r="FRN528" s="901"/>
      <c r="FRO528" s="901"/>
      <c r="FRP528" s="901"/>
      <c r="FRQ528" s="901"/>
      <c r="FRR528" s="901"/>
      <c r="FRS528" s="901"/>
      <c r="FRT528" s="901"/>
      <c r="FRU528" s="901"/>
      <c r="FRV528" s="901"/>
      <c r="FRW528" s="901"/>
      <c r="FRX528" s="901"/>
      <c r="FRY528" s="901"/>
      <c r="FRZ528" s="901"/>
      <c r="FSA528" s="901"/>
      <c r="FSB528" s="901"/>
      <c r="FSC528" s="901"/>
      <c r="FSD528" s="901"/>
      <c r="FSE528" s="901"/>
      <c r="FSF528" s="901"/>
      <c r="FSG528" s="901"/>
      <c r="FSH528" s="901"/>
      <c r="FSI528" s="901"/>
      <c r="FSJ528" s="901"/>
      <c r="FSK528" s="901"/>
      <c r="FSL528" s="901"/>
      <c r="FSM528" s="901"/>
      <c r="FSN528" s="901"/>
      <c r="FSO528" s="901"/>
      <c r="FSP528" s="901"/>
      <c r="FSQ528" s="901"/>
      <c r="FSR528" s="901"/>
      <c r="FSS528" s="901"/>
      <c r="FST528" s="901"/>
      <c r="FSU528" s="901"/>
      <c r="FSV528" s="901"/>
      <c r="FSW528" s="901"/>
      <c r="FSX528" s="901"/>
      <c r="FSY528" s="901"/>
      <c r="FSZ528" s="901"/>
      <c r="FTA528" s="901"/>
      <c r="FTB528" s="901"/>
      <c r="FTC528" s="901"/>
      <c r="FTD528" s="901"/>
      <c r="FTE528" s="901"/>
      <c r="FTF528" s="901"/>
      <c r="FTG528" s="901"/>
      <c r="FTH528" s="901"/>
      <c r="FTI528" s="901"/>
      <c r="FTJ528" s="901"/>
      <c r="FTK528" s="901"/>
      <c r="FTL528" s="901"/>
      <c r="FTM528" s="901"/>
      <c r="FTN528" s="901"/>
      <c r="FTO528" s="901"/>
      <c r="FTP528" s="901"/>
      <c r="FTQ528" s="901"/>
      <c r="FTR528" s="901"/>
      <c r="FTS528" s="901"/>
      <c r="FTT528" s="901"/>
      <c r="FTU528" s="901"/>
      <c r="FTV528" s="901"/>
      <c r="FTW528" s="901"/>
      <c r="FTX528" s="901"/>
      <c r="FTY528" s="901"/>
      <c r="FTZ528" s="901"/>
      <c r="FUA528" s="901"/>
      <c r="FUB528" s="901"/>
      <c r="FUC528" s="901"/>
      <c r="FUD528" s="901"/>
      <c r="FUE528" s="901"/>
      <c r="FUF528" s="901"/>
      <c r="FUG528" s="901"/>
      <c r="FUH528" s="901"/>
      <c r="FUI528" s="901"/>
      <c r="FUJ528" s="901"/>
      <c r="FUK528" s="901"/>
      <c r="FUL528" s="901"/>
      <c r="FUM528" s="901"/>
      <c r="FUN528" s="901"/>
      <c r="FUO528" s="901"/>
      <c r="FUP528" s="901"/>
      <c r="FUQ528" s="901"/>
      <c r="FUR528" s="901"/>
      <c r="FUS528" s="901"/>
      <c r="FUT528" s="901"/>
      <c r="FUU528" s="901"/>
      <c r="FUV528" s="901"/>
      <c r="FUW528" s="901"/>
      <c r="FUX528" s="901"/>
      <c r="FUY528" s="901"/>
      <c r="FUZ528" s="901"/>
      <c r="FVA528" s="901"/>
      <c r="FVB528" s="901"/>
      <c r="FVC528" s="901"/>
      <c r="FVD528" s="901"/>
      <c r="FVE528" s="901"/>
      <c r="FVF528" s="901"/>
      <c r="FVG528" s="901"/>
      <c r="FVH528" s="901"/>
      <c r="FVI528" s="901"/>
      <c r="FVJ528" s="901"/>
      <c r="FVK528" s="901"/>
      <c r="FVL528" s="901"/>
      <c r="FVM528" s="901"/>
      <c r="FVN528" s="901"/>
      <c r="FVO528" s="901"/>
      <c r="FVP528" s="901"/>
      <c r="FVQ528" s="901"/>
      <c r="FVR528" s="901"/>
      <c r="FVS528" s="901"/>
      <c r="FVT528" s="901"/>
      <c r="FVU528" s="901"/>
      <c r="FVV528" s="901"/>
      <c r="FVW528" s="901"/>
      <c r="FVX528" s="901"/>
      <c r="FVY528" s="901"/>
      <c r="FVZ528" s="901"/>
      <c r="FWA528" s="901"/>
      <c r="FWB528" s="901"/>
      <c r="FWC528" s="901"/>
      <c r="FWD528" s="901"/>
      <c r="FWE528" s="901"/>
      <c r="FWF528" s="901"/>
      <c r="FWG528" s="901"/>
      <c r="FWH528" s="901"/>
      <c r="FWI528" s="901"/>
      <c r="FWJ528" s="901"/>
      <c r="FWK528" s="901"/>
      <c r="FWL528" s="901"/>
      <c r="FWM528" s="901"/>
      <c r="FWN528" s="901"/>
      <c r="FWO528" s="901"/>
      <c r="FWP528" s="901"/>
      <c r="FWQ528" s="901"/>
      <c r="FWR528" s="901"/>
      <c r="FWS528" s="901"/>
      <c r="FWT528" s="901"/>
      <c r="FWU528" s="901"/>
      <c r="FWV528" s="901"/>
      <c r="FWW528" s="901"/>
      <c r="FWX528" s="901"/>
      <c r="FWY528" s="901"/>
      <c r="FWZ528" s="901"/>
      <c r="FXA528" s="901"/>
      <c r="FXB528" s="901"/>
      <c r="FXC528" s="901"/>
      <c r="FXD528" s="901"/>
      <c r="FXE528" s="901"/>
      <c r="FXF528" s="901"/>
      <c r="FXG528" s="901"/>
      <c r="FXH528" s="901"/>
      <c r="FXI528" s="901"/>
      <c r="FXJ528" s="901"/>
      <c r="FXK528" s="901"/>
      <c r="FXL528" s="901"/>
      <c r="FXM528" s="901"/>
      <c r="FXN528" s="901"/>
      <c r="FXO528" s="901"/>
      <c r="FXP528" s="901"/>
      <c r="FXQ528" s="901"/>
      <c r="FXR528" s="901"/>
      <c r="FXS528" s="901"/>
      <c r="FXT528" s="901"/>
      <c r="FXU528" s="901"/>
      <c r="FXV528" s="901"/>
      <c r="FXW528" s="901"/>
      <c r="FXX528" s="901"/>
      <c r="FXY528" s="901"/>
      <c r="FXZ528" s="901"/>
      <c r="FYA528" s="901"/>
      <c r="FYB528" s="901"/>
      <c r="FYC528" s="901"/>
      <c r="FYD528" s="901"/>
      <c r="FYE528" s="901"/>
      <c r="FYF528" s="901"/>
      <c r="FYG528" s="901"/>
      <c r="FYH528" s="901"/>
      <c r="FYI528" s="901"/>
      <c r="FYJ528" s="901"/>
      <c r="FYK528" s="901"/>
      <c r="FYL528" s="901"/>
      <c r="FYM528" s="901"/>
      <c r="FYN528" s="901"/>
      <c r="FYO528" s="901"/>
      <c r="FYP528" s="901"/>
      <c r="FYQ528" s="901"/>
      <c r="FYR528" s="901"/>
      <c r="FYS528" s="901"/>
      <c r="FYT528" s="901"/>
      <c r="FYU528" s="901"/>
      <c r="FYV528" s="901"/>
      <c r="FYW528" s="901"/>
      <c r="FYX528" s="901"/>
      <c r="FYY528" s="901"/>
      <c r="FYZ528" s="901"/>
      <c r="FZA528" s="901"/>
      <c r="FZB528" s="901"/>
      <c r="FZC528" s="901"/>
      <c r="FZD528" s="901"/>
      <c r="FZE528" s="901"/>
      <c r="FZF528" s="901"/>
      <c r="FZG528" s="901"/>
      <c r="FZH528" s="901"/>
      <c r="FZI528" s="901"/>
      <c r="FZJ528" s="901"/>
      <c r="FZK528" s="901"/>
      <c r="FZL528" s="901"/>
      <c r="FZM528" s="901"/>
      <c r="FZN528" s="901"/>
      <c r="FZO528" s="901"/>
      <c r="FZP528" s="901"/>
      <c r="FZQ528" s="901"/>
      <c r="FZR528" s="901"/>
      <c r="FZS528" s="901"/>
      <c r="FZT528" s="901"/>
      <c r="FZU528" s="901"/>
      <c r="FZV528" s="901"/>
      <c r="FZW528" s="901"/>
      <c r="FZX528" s="901"/>
      <c r="FZY528" s="901"/>
      <c r="FZZ528" s="901"/>
      <c r="GAA528" s="901"/>
      <c r="GAB528" s="901"/>
      <c r="GAC528" s="901"/>
      <c r="GAD528" s="901"/>
      <c r="GAE528" s="901"/>
      <c r="GAF528" s="901"/>
      <c r="GAG528" s="901"/>
      <c r="GAH528" s="901"/>
      <c r="GAI528" s="901"/>
      <c r="GAJ528" s="901"/>
      <c r="GAK528" s="901"/>
      <c r="GAL528" s="901"/>
      <c r="GAM528" s="901"/>
      <c r="GAN528" s="901"/>
      <c r="GAO528" s="901"/>
      <c r="GAP528" s="901"/>
      <c r="GAQ528" s="901"/>
      <c r="GAR528" s="901"/>
      <c r="GAS528" s="901"/>
      <c r="GAT528" s="901"/>
      <c r="GAU528" s="901"/>
      <c r="GAV528" s="901"/>
      <c r="GAW528" s="901"/>
      <c r="GAX528" s="901"/>
      <c r="GAY528" s="901"/>
      <c r="GAZ528" s="901"/>
      <c r="GBA528" s="901"/>
      <c r="GBB528" s="901"/>
      <c r="GBC528" s="901"/>
      <c r="GBD528" s="901"/>
      <c r="GBE528" s="901"/>
      <c r="GBF528" s="901"/>
      <c r="GBG528" s="901"/>
      <c r="GBH528" s="901"/>
      <c r="GBI528" s="901"/>
      <c r="GBJ528" s="901"/>
      <c r="GBK528" s="901"/>
      <c r="GBL528" s="901"/>
      <c r="GBM528" s="901"/>
      <c r="GBN528" s="901"/>
      <c r="GBO528" s="901"/>
      <c r="GBP528" s="901"/>
      <c r="GBQ528" s="901"/>
      <c r="GBR528" s="901"/>
      <c r="GBS528" s="901"/>
      <c r="GBT528" s="901"/>
      <c r="GBU528" s="901"/>
      <c r="GBV528" s="901"/>
      <c r="GBW528" s="901"/>
      <c r="GBX528" s="901"/>
      <c r="GBY528" s="901"/>
      <c r="GBZ528" s="901"/>
      <c r="GCA528" s="901"/>
      <c r="GCB528" s="901"/>
      <c r="GCC528" s="901"/>
      <c r="GCD528" s="901"/>
      <c r="GCE528" s="901"/>
      <c r="GCF528" s="901"/>
      <c r="GCG528" s="901"/>
      <c r="GCH528" s="901"/>
      <c r="GCI528" s="901"/>
      <c r="GCJ528" s="901"/>
      <c r="GCK528" s="901"/>
      <c r="GCL528" s="901"/>
      <c r="GCM528" s="901"/>
      <c r="GCN528" s="901"/>
      <c r="GCO528" s="901"/>
      <c r="GCP528" s="901"/>
      <c r="GCQ528" s="901"/>
      <c r="GCR528" s="901"/>
      <c r="GCS528" s="901"/>
      <c r="GCT528" s="901"/>
      <c r="GCU528" s="901"/>
      <c r="GCV528" s="901"/>
      <c r="GCW528" s="901"/>
      <c r="GCX528" s="901"/>
      <c r="GCY528" s="901"/>
      <c r="GCZ528" s="901"/>
      <c r="GDA528" s="901"/>
      <c r="GDB528" s="901"/>
      <c r="GDC528" s="901"/>
      <c r="GDD528" s="901"/>
      <c r="GDE528" s="901"/>
      <c r="GDF528" s="901"/>
      <c r="GDG528" s="901"/>
      <c r="GDH528" s="901"/>
      <c r="GDI528" s="901"/>
      <c r="GDJ528" s="901"/>
      <c r="GDK528" s="901"/>
      <c r="GDL528" s="901"/>
      <c r="GDM528" s="901"/>
      <c r="GDN528" s="901"/>
      <c r="GDO528" s="901"/>
      <c r="GDP528" s="901"/>
      <c r="GDQ528" s="901"/>
      <c r="GDR528" s="901"/>
      <c r="GDS528" s="901"/>
      <c r="GDT528" s="901"/>
      <c r="GDU528" s="901"/>
      <c r="GDV528" s="901"/>
      <c r="GDW528" s="901"/>
      <c r="GDX528" s="901"/>
      <c r="GDY528" s="901"/>
      <c r="GDZ528" s="901"/>
      <c r="GEA528" s="901"/>
      <c r="GEB528" s="901"/>
      <c r="GEC528" s="901"/>
      <c r="GED528" s="901"/>
      <c r="GEE528" s="901"/>
      <c r="GEF528" s="901"/>
      <c r="GEG528" s="901"/>
      <c r="GEH528" s="901"/>
      <c r="GEI528" s="901"/>
      <c r="GEJ528" s="901"/>
      <c r="GEK528" s="901"/>
      <c r="GEL528" s="901"/>
      <c r="GEM528" s="901"/>
      <c r="GEN528" s="901"/>
      <c r="GEO528" s="901"/>
      <c r="GEP528" s="901"/>
      <c r="GEQ528" s="901"/>
      <c r="GER528" s="901"/>
      <c r="GES528" s="901"/>
      <c r="GET528" s="901"/>
      <c r="GEU528" s="901"/>
      <c r="GEV528" s="901"/>
      <c r="GEW528" s="901"/>
      <c r="GEX528" s="901"/>
      <c r="GEY528" s="901"/>
      <c r="GEZ528" s="901"/>
      <c r="GFA528" s="901"/>
      <c r="GFB528" s="901"/>
      <c r="GFC528" s="901"/>
      <c r="GFD528" s="901"/>
      <c r="GFE528" s="901"/>
      <c r="GFF528" s="901"/>
      <c r="GFG528" s="901"/>
      <c r="GFH528" s="901"/>
      <c r="GFI528" s="901"/>
      <c r="GFJ528" s="901"/>
      <c r="GFK528" s="901"/>
      <c r="GFL528" s="901"/>
      <c r="GFM528" s="901"/>
      <c r="GFN528" s="901"/>
      <c r="GFO528" s="901"/>
      <c r="GFP528" s="901"/>
      <c r="GFQ528" s="901"/>
      <c r="GFR528" s="901"/>
      <c r="GFS528" s="901"/>
      <c r="GFT528" s="901"/>
      <c r="GFU528" s="901"/>
      <c r="GFV528" s="901"/>
      <c r="GFW528" s="901"/>
      <c r="GFX528" s="901"/>
      <c r="GFY528" s="901"/>
      <c r="GFZ528" s="901"/>
      <c r="GGA528" s="901"/>
      <c r="GGB528" s="901"/>
      <c r="GGC528" s="901"/>
      <c r="GGD528" s="901"/>
      <c r="GGE528" s="901"/>
      <c r="GGF528" s="901"/>
      <c r="GGG528" s="901"/>
      <c r="GGH528" s="901"/>
      <c r="GGI528" s="901"/>
      <c r="GGJ528" s="901"/>
      <c r="GGK528" s="901"/>
      <c r="GGL528" s="901"/>
      <c r="GGM528" s="901"/>
      <c r="GGN528" s="901"/>
      <c r="GGO528" s="901"/>
      <c r="GGP528" s="901"/>
      <c r="GGQ528" s="901"/>
      <c r="GGR528" s="901"/>
      <c r="GGS528" s="901"/>
      <c r="GGT528" s="901"/>
      <c r="GGU528" s="901"/>
      <c r="GGV528" s="901"/>
      <c r="GGW528" s="901"/>
      <c r="GGX528" s="901"/>
      <c r="GGY528" s="901"/>
      <c r="GGZ528" s="901"/>
      <c r="GHA528" s="901"/>
      <c r="GHB528" s="901"/>
      <c r="GHC528" s="901"/>
      <c r="GHD528" s="901"/>
      <c r="GHE528" s="901"/>
      <c r="GHF528" s="901"/>
      <c r="GHG528" s="901"/>
      <c r="GHH528" s="901"/>
      <c r="GHI528" s="901"/>
      <c r="GHJ528" s="901"/>
      <c r="GHK528" s="901"/>
      <c r="GHL528" s="901"/>
      <c r="GHM528" s="901"/>
      <c r="GHN528" s="901"/>
      <c r="GHO528" s="901"/>
      <c r="GHP528" s="901"/>
      <c r="GHQ528" s="901"/>
      <c r="GHR528" s="901"/>
      <c r="GHS528" s="901"/>
      <c r="GHT528" s="901"/>
      <c r="GHU528" s="901"/>
      <c r="GHV528" s="901"/>
      <c r="GHW528" s="901"/>
      <c r="GHX528" s="901"/>
      <c r="GHY528" s="901"/>
      <c r="GHZ528" s="901"/>
      <c r="GIA528" s="901"/>
      <c r="GIB528" s="901"/>
      <c r="GIC528" s="901"/>
      <c r="GID528" s="901"/>
      <c r="GIE528" s="901"/>
      <c r="GIF528" s="901"/>
      <c r="GIG528" s="901"/>
      <c r="GIH528" s="901"/>
      <c r="GII528" s="901"/>
      <c r="GIJ528" s="901"/>
      <c r="GIK528" s="901"/>
      <c r="GIL528" s="901"/>
      <c r="GIM528" s="901"/>
      <c r="GIN528" s="901"/>
      <c r="GIO528" s="901"/>
      <c r="GIP528" s="901"/>
      <c r="GIQ528" s="901"/>
      <c r="GIR528" s="901"/>
      <c r="GIS528" s="901"/>
      <c r="GIT528" s="901"/>
      <c r="GIU528" s="901"/>
      <c r="GIV528" s="901"/>
      <c r="GIW528" s="901"/>
      <c r="GIX528" s="901"/>
      <c r="GIY528" s="901"/>
      <c r="GIZ528" s="901"/>
      <c r="GJA528" s="901"/>
      <c r="GJB528" s="901"/>
      <c r="GJC528" s="901"/>
      <c r="GJD528" s="901"/>
      <c r="GJE528" s="901"/>
      <c r="GJF528" s="901"/>
      <c r="GJG528" s="901"/>
      <c r="GJH528" s="901"/>
      <c r="GJI528" s="901"/>
      <c r="GJJ528" s="901"/>
      <c r="GJK528" s="901"/>
      <c r="GJL528" s="901"/>
      <c r="GJM528" s="901"/>
      <c r="GJN528" s="901"/>
      <c r="GJO528" s="901"/>
      <c r="GJP528" s="901"/>
      <c r="GJQ528" s="901"/>
      <c r="GJR528" s="901"/>
      <c r="GJS528" s="901"/>
      <c r="GJT528" s="901"/>
      <c r="GJU528" s="901"/>
      <c r="GJV528" s="901"/>
      <c r="GJW528" s="901"/>
      <c r="GJX528" s="901"/>
      <c r="GJY528" s="901"/>
      <c r="GJZ528" s="901"/>
      <c r="GKA528" s="901"/>
      <c r="GKB528" s="901"/>
      <c r="GKC528" s="901"/>
      <c r="GKD528" s="901"/>
      <c r="GKE528" s="901"/>
      <c r="GKF528" s="901"/>
      <c r="GKG528" s="901"/>
      <c r="GKH528" s="901"/>
      <c r="GKI528" s="901"/>
      <c r="GKJ528" s="901"/>
      <c r="GKK528" s="901"/>
      <c r="GKL528" s="901"/>
      <c r="GKM528" s="901"/>
      <c r="GKN528" s="901"/>
      <c r="GKO528" s="901"/>
      <c r="GKP528" s="901"/>
      <c r="GKQ528" s="901"/>
      <c r="GKR528" s="901"/>
      <c r="GKS528" s="901"/>
      <c r="GKT528" s="901"/>
      <c r="GKU528" s="901"/>
      <c r="GKV528" s="901"/>
      <c r="GKW528" s="901"/>
      <c r="GKX528" s="901"/>
      <c r="GKY528" s="901"/>
      <c r="GKZ528" s="901"/>
      <c r="GLA528" s="901"/>
      <c r="GLB528" s="901"/>
      <c r="GLC528" s="901"/>
      <c r="GLD528" s="901"/>
      <c r="GLE528" s="901"/>
      <c r="GLF528" s="901"/>
      <c r="GLG528" s="901"/>
      <c r="GLH528" s="901"/>
      <c r="GLI528" s="901"/>
      <c r="GLJ528" s="901"/>
      <c r="GLK528" s="901"/>
      <c r="GLL528" s="901"/>
      <c r="GLM528" s="901"/>
      <c r="GLN528" s="901"/>
      <c r="GLO528" s="901"/>
      <c r="GLP528" s="901"/>
      <c r="GLQ528" s="901"/>
      <c r="GLR528" s="901"/>
      <c r="GLS528" s="901"/>
      <c r="GLT528" s="901"/>
      <c r="GLU528" s="901"/>
      <c r="GLV528" s="901"/>
      <c r="GLW528" s="901"/>
      <c r="GLX528" s="901"/>
      <c r="GLY528" s="901"/>
      <c r="GLZ528" s="901"/>
      <c r="GMA528" s="901"/>
      <c r="GMB528" s="901"/>
      <c r="GMC528" s="901"/>
      <c r="GMD528" s="901"/>
      <c r="GME528" s="901"/>
      <c r="GMF528" s="901"/>
      <c r="GMG528" s="901"/>
      <c r="GMH528" s="901"/>
      <c r="GMI528" s="901"/>
      <c r="GMJ528" s="901"/>
      <c r="GMK528" s="901"/>
      <c r="GML528" s="901"/>
      <c r="GMM528" s="901"/>
      <c r="GMN528" s="901"/>
      <c r="GMO528" s="901"/>
      <c r="GMP528" s="901"/>
      <c r="GMQ528" s="901"/>
      <c r="GMR528" s="901"/>
      <c r="GMS528" s="901"/>
      <c r="GMT528" s="901"/>
      <c r="GMU528" s="901"/>
      <c r="GMV528" s="901"/>
      <c r="GMW528" s="901"/>
      <c r="GMX528" s="901"/>
      <c r="GMY528" s="901"/>
      <c r="GMZ528" s="901"/>
      <c r="GNA528" s="901"/>
      <c r="GNB528" s="901"/>
      <c r="GNC528" s="901"/>
      <c r="GND528" s="901"/>
      <c r="GNE528" s="901"/>
      <c r="GNF528" s="901"/>
      <c r="GNG528" s="901"/>
      <c r="GNH528" s="901"/>
      <c r="GNI528" s="901"/>
      <c r="GNJ528" s="901"/>
      <c r="GNK528" s="901"/>
      <c r="GNL528" s="901"/>
      <c r="GNM528" s="901"/>
      <c r="GNN528" s="901"/>
      <c r="GNO528" s="901"/>
      <c r="GNP528" s="901"/>
      <c r="GNQ528" s="901"/>
      <c r="GNR528" s="901"/>
      <c r="GNS528" s="901"/>
      <c r="GNT528" s="901"/>
      <c r="GNU528" s="901"/>
      <c r="GNV528" s="901"/>
      <c r="GNW528" s="901"/>
      <c r="GNX528" s="901"/>
      <c r="GNY528" s="901"/>
      <c r="GNZ528" s="901"/>
      <c r="GOA528" s="901"/>
      <c r="GOB528" s="901"/>
      <c r="GOC528" s="901"/>
      <c r="GOD528" s="901"/>
      <c r="GOE528" s="901"/>
      <c r="GOF528" s="901"/>
      <c r="GOG528" s="901"/>
      <c r="GOH528" s="901"/>
      <c r="GOI528" s="901"/>
      <c r="GOJ528" s="901"/>
      <c r="GOK528" s="901"/>
      <c r="GOL528" s="901"/>
      <c r="GOM528" s="901"/>
      <c r="GON528" s="901"/>
      <c r="GOO528" s="901"/>
      <c r="GOP528" s="901"/>
      <c r="GOQ528" s="901"/>
      <c r="GOR528" s="901"/>
      <c r="GOS528" s="901"/>
      <c r="GOT528" s="901"/>
      <c r="GOU528" s="901"/>
      <c r="GOV528" s="901"/>
      <c r="GOW528" s="901"/>
      <c r="GOX528" s="901"/>
      <c r="GOY528" s="901"/>
      <c r="GOZ528" s="901"/>
      <c r="GPA528" s="901"/>
      <c r="GPB528" s="901"/>
      <c r="GPC528" s="901"/>
      <c r="GPD528" s="901"/>
      <c r="GPE528" s="901"/>
      <c r="GPF528" s="901"/>
      <c r="GPG528" s="901"/>
      <c r="GPH528" s="901"/>
      <c r="GPI528" s="901"/>
      <c r="GPJ528" s="901"/>
      <c r="GPK528" s="901"/>
      <c r="GPL528" s="901"/>
      <c r="GPM528" s="901"/>
      <c r="GPN528" s="901"/>
      <c r="GPO528" s="901"/>
      <c r="GPP528" s="901"/>
      <c r="GPQ528" s="901"/>
      <c r="GPR528" s="901"/>
      <c r="GPS528" s="901"/>
      <c r="GPT528" s="901"/>
      <c r="GPU528" s="901"/>
      <c r="GPV528" s="901"/>
      <c r="GPW528" s="901"/>
      <c r="GPX528" s="901"/>
      <c r="GPY528" s="901"/>
      <c r="GPZ528" s="901"/>
      <c r="GQA528" s="901"/>
      <c r="GQB528" s="901"/>
      <c r="GQC528" s="901"/>
      <c r="GQD528" s="901"/>
      <c r="GQE528" s="901"/>
      <c r="GQF528" s="901"/>
      <c r="GQG528" s="901"/>
      <c r="GQH528" s="901"/>
      <c r="GQI528" s="901"/>
      <c r="GQJ528" s="901"/>
      <c r="GQK528" s="901"/>
      <c r="GQL528" s="901"/>
      <c r="GQM528" s="901"/>
      <c r="GQN528" s="901"/>
      <c r="GQO528" s="901"/>
      <c r="GQP528" s="901"/>
      <c r="GQQ528" s="901"/>
      <c r="GQR528" s="901"/>
      <c r="GQS528" s="901"/>
      <c r="GQT528" s="901"/>
      <c r="GQU528" s="901"/>
      <c r="GQV528" s="901"/>
      <c r="GQW528" s="901"/>
      <c r="GQX528" s="901"/>
      <c r="GQY528" s="901"/>
      <c r="GQZ528" s="901"/>
      <c r="GRA528" s="901"/>
      <c r="GRB528" s="901"/>
      <c r="GRC528" s="901"/>
      <c r="GRD528" s="901"/>
      <c r="GRE528" s="901"/>
      <c r="GRF528" s="901"/>
      <c r="GRG528" s="901"/>
      <c r="GRH528" s="901"/>
      <c r="GRI528" s="901"/>
      <c r="GRJ528" s="901"/>
      <c r="GRK528" s="901"/>
      <c r="GRL528" s="901"/>
      <c r="GRM528" s="901"/>
      <c r="GRN528" s="901"/>
      <c r="GRO528" s="901"/>
      <c r="GRP528" s="901"/>
      <c r="GRQ528" s="901"/>
      <c r="GRR528" s="901"/>
      <c r="GRS528" s="901"/>
      <c r="GRT528" s="901"/>
      <c r="GRU528" s="901"/>
      <c r="GRV528" s="901"/>
      <c r="GRW528" s="901"/>
      <c r="GRX528" s="901"/>
      <c r="GRY528" s="901"/>
      <c r="GRZ528" s="901"/>
      <c r="GSA528" s="901"/>
      <c r="GSB528" s="901"/>
      <c r="GSC528" s="901"/>
      <c r="GSD528" s="901"/>
      <c r="GSE528" s="901"/>
      <c r="GSF528" s="901"/>
      <c r="GSG528" s="901"/>
      <c r="GSH528" s="901"/>
      <c r="GSI528" s="901"/>
      <c r="GSJ528" s="901"/>
      <c r="GSK528" s="901"/>
      <c r="GSL528" s="901"/>
      <c r="GSM528" s="901"/>
      <c r="GSN528" s="901"/>
      <c r="GSO528" s="901"/>
      <c r="GSP528" s="901"/>
      <c r="GSQ528" s="901"/>
      <c r="GSR528" s="901"/>
      <c r="GSS528" s="901"/>
      <c r="GST528" s="901"/>
      <c r="GSU528" s="901"/>
      <c r="GSV528" s="901"/>
      <c r="GSW528" s="901"/>
      <c r="GSX528" s="901"/>
      <c r="GSY528" s="901"/>
      <c r="GSZ528" s="901"/>
      <c r="GTA528" s="901"/>
      <c r="GTB528" s="901"/>
      <c r="GTC528" s="901"/>
      <c r="GTD528" s="901"/>
      <c r="GTE528" s="901"/>
      <c r="GTF528" s="901"/>
      <c r="GTG528" s="901"/>
      <c r="GTH528" s="901"/>
      <c r="GTI528" s="901"/>
      <c r="GTJ528" s="901"/>
      <c r="GTK528" s="901"/>
      <c r="GTL528" s="901"/>
      <c r="GTM528" s="901"/>
      <c r="GTN528" s="901"/>
      <c r="GTO528" s="901"/>
      <c r="GTP528" s="901"/>
      <c r="GTQ528" s="901"/>
      <c r="GTR528" s="901"/>
      <c r="GTS528" s="901"/>
      <c r="GTT528" s="901"/>
      <c r="GTU528" s="901"/>
      <c r="GTV528" s="901"/>
      <c r="GTW528" s="901"/>
      <c r="GTX528" s="901"/>
      <c r="GTY528" s="901"/>
      <c r="GTZ528" s="901"/>
      <c r="GUA528" s="901"/>
      <c r="GUB528" s="901"/>
      <c r="GUC528" s="901"/>
      <c r="GUD528" s="901"/>
      <c r="GUE528" s="901"/>
      <c r="GUF528" s="901"/>
      <c r="GUG528" s="901"/>
      <c r="GUH528" s="901"/>
      <c r="GUI528" s="901"/>
      <c r="GUJ528" s="901"/>
      <c r="GUK528" s="901"/>
      <c r="GUL528" s="901"/>
      <c r="GUM528" s="901"/>
      <c r="GUN528" s="901"/>
      <c r="GUO528" s="901"/>
      <c r="GUP528" s="901"/>
      <c r="GUQ528" s="901"/>
      <c r="GUR528" s="901"/>
      <c r="GUS528" s="901"/>
      <c r="GUT528" s="901"/>
      <c r="GUU528" s="901"/>
      <c r="GUV528" s="901"/>
      <c r="GUW528" s="901"/>
      <c r="GUX528" s="901"/>
      <c r="GUY528" s="901"/>
      <c r="GUZ528" s="901"/>
      <c r="GVA528" s="901"/>
      <c r="GVB528" s="901"/>
      <c r="GVC528" s="901"/>
      <c r="GVD528" s="901"/>
      <c r="GVE528" s="901"/>
      <c r="GVF528" s="901"/>
      <c r="GVG528" s="901"/>
      <c r="GVH528" s="901"/>
      <c r="GVI528" s="901"/>
      <c r="GVJ528" s="901"/>
      <c r="GVK528" s="901"/>
      <c r="GVL528" s="901"/>
      <c r="GVM528" s="901"/>
      <c r="GVN528" s="901"/>
      <c r="GVO528" s="901"/>
      <c r="GVP528" s="901"/>
      <c r="GVQ528" s="901"/>
      <c r="GVR528" s="901"/>
      <c r="GVS528" s="901"/>
      <c r="GVT528" s="901"/>
      <c r="GVU528" s="901"/>
      <c r="GVV528" s="901"/>
      <c r="GVW528" s="901"/>
      <c r="GVX528" s="901"/>
      <c r="GVY528" s="901"/>
      <c r="GVZ528" s="901"/>
      <c r="GWA528" s="901"/>
      <c r="GWB528" s="901"/>
      <c r="GWC528" s="901"/>
      <c r="GWD528" s="901"/>
      <c r="GWE528" s="901"/>
      <c r="GWF528" s="901"/>
      <c r="GWG528" s="901"/>
      <c r="GWH528" s="901"/>
      <c r="GWI528" s="901"/>
      <c r="GWJ528" s="901"/>
      <c r="GWK528" s="901"/>
      <c r="GWL528" s="901"/>
      <c r="GWM528" s="901"/>
      <c r="GWN528" s="901"/>
      <c r="GWO528" s="901"/>
      <c r="GWP528" s="901"/>
      <c r="GWQ528" s="901"/>
      <c r="GWR528" s="901"/>
      <c r="GWS528" s="901"/>
      <c r="GWT528" s="901"/>
      <c r="GWU528" s="901"/>
      <c r="GWV528" s="901"/>
      <c r="GWW528" s="901"/>
      <c r="GWX528" s="901"/>
      <c r="GWY528" s="901"/>
      <c r="GWZ528" s="901"/>
      <c r="GXA528" s="901"/>
      <c r="GXB528" s="901"/>
      <c r="GXC528" s="901"/>
      <c r="GXD528" s="901"/>
      <c r="GXE528" s="901"/>
      <c r="GXF528" s="901"/>
      <c r="GXG528" s="901"/>
      <c r="GXH528" s="901"/>
      <c r="GXI528" s="901"/>
      <c r="GXJ528" s="901"/>
      <c r="GXK528" s="901"/>
      <c r="GXL528" s="901"/>
      <c r="GXM528" s="901"/>
      <c r="GXN528" s="901"/>
      <c r="GXO528" s="901"/>
      <c r="GXP528" s="901"/>
      <c r="GXQ528" s="901"/>
      <c r="GXR528" s="901"/>
      <c r="GXS528" s="901"/>
      <c r="GXT528" s="901"/>
      <c r="GXU528" s="901"/>
      <c r="GXV528" s="901"/>
      <c r="GXW528" s="901"/>
      <c r="GXX528" s="901"/>
      <c r="GXY528" s="901"/>
      <c r="GXZ528" s="901"/>
      <c r="GYA528" s="901"/>
      <c r="GYB528" s="901"/>
      <c r="GYC528" s="901"/>
      <c r="GYD528" s="901"/>
      <c r="GYE528" s="901"/>
      <c r="GYF528" s="901"/>
      <c r="GYG528" s="901"/>
      <c r="GYH528" s="901"/>
      <c r="GYI528" s="901"/>
      <c r="GYJ528" s="901"/>
      <c r="GYK528" s="901"/>
      <c r="GYL528" s="901"/>
      <c r="GYM528" s="901"/>
      <c r="GYN528" s="901"/>
      <c r="GYO528" s="901"/>
      <c r="GYP528" s="901"/>
      <c r="GYQ528" s="901"/>
      <c r="GYR528" s="901"/>
      <c r="GYS528" s="901"/>
      <c r="GYT528" s="901"/>
      <c r="GYU528" s="901"/>
      <c r="GYV528" s="901"/>
      <c r="GYW528" s="901"/>
      <c r="GYX528" s="901"/>
      <c r="GYY528" s="901"/>
      <c r="GYZ528" s="901"/>
      <c r="GZA528" s="901"/>
      <c r="GZB528" s="901"/>
      <c r="GZC528" s="901"/>
      <c r="GZD528" s="901"/>
      <c r="GZE528" s="901"/>
      <c r="GZF528" s="901"/>
      <c r="GZG528" s="901"/>
      <c r="GZH528" s="901"/>
      <c r="GZI528" s="901"/>
      <c r="GZJ528" s="901"/>
      <c r="GZK528" s="901"/>
      <c r="GZL528" s="901"/>
      <c r="GZM528" s="901"/>
      <c r="GZN528" s="901"/>
      <c r="GZO528" s="901"/>
      <c r="GZP528" s="901"/>
      <c r="GZQ528" s="901"/>
      <c r="GZR528" s="901"/>
      <c r="GZS528" s="901"/>
      <c r="GZT528" s="901"/>
      <c r="GZU528" s="901"/>
      <c r="GZV528" s="901"/>
      <c r="GZW528" s="901"/>
      <c r="GZX528" s="901"/>
      <c r="GZY528" s="901"/>
      <c r="GZZ528" s="901"/>
      <c r="HAA528" s="901"/>
      <c r="HAB528" s="901"/>
      <c r="HAC528" s="901"/>
      <c r="HAD528" s="901"/>
      <c r="HAE528" s="901"/>
      <c r="HAF528" s="901"/>
      <c r="HAG528" s="901"/>
      <c r="HAH528" s="901"/>
      <c r="HAI528" s="901"/>
      <c r="HAJ528" s="901"/>
      <c r="HAK528" s="901"/>
      <c r="HAL528" s="901"/>
      <c r="HAM528" s="901"/>
      <c r="HAN528" s="901"/>
      <c r="HAO528" s="901"/>
      <c r="HAP528" s="901"/>
      <c r="HAQ528" s="901"/>
      <c r="HAR528" s="901"/>
      <c r="HAS528" s="901"/>
      <c r="HAT528" s="901"/>
      <c r="HAU528" s="901"/>
      <c r="HAV528" s="901"/>
      <c r="HAW528" s="901"/>
      <c r="HAX528" s="901"/>
      <c r="HAY528" s="901"/>
      <c r="HAZ528" s="901"/>
      <c r="HBA528" s="901"/>
      <c r="HBB528" s="901"/>
      <c r="HBC528" s="901"/>
      <c r="HBD528" s="901"/>
      <c r="HBE528" s="901"/>
      <c r="HBF528" s="901"/>
      <c r="HBG528" s="901"/>
      <c r="HBH528" s="901"/>
      <c r="HBI528" s="901"/>
      <c r="HBJ528" s="901"/>
      <c r="HBK528" s="901"/>
      <c r="HBL528" s="901"/>
      <c r="HBM528" s="901"/>
      <c r="HBN528" s="901"/>
      <c r="HBO528" s="901"/>
      <c r="HBP528" s="901"/>
      <c r="HBQ528" s="901"/>
      <c r="HBR528" s="901"/>
      <c r="HBS528" s="901"/>
      <c r="HBT528" s="901"/>
      <c r="HBU528" s="901"/>
      <c r="HBV528" s="901"/>
      <c r="HBW528" s="901"/>
      <c r="HBX528" s="901"/>
      <c r="HBY528" s="901"/>
      <c r="HBZ528" s="901"/>
      <c r="HCA528" s="901"/>
      <c r="HCB528" s="901"/>
      <c r="HCC528" s="901"/>
      <c r="HCD528" s="901"/>
      <c r="HCE528" s="901"/>
      <c r="HCF528" s="901"/>
      <c r="HCG528" s="901"/>
      <c r="HCH528" s="901"/>
      <c r="HCI528" s="901"/>
      <c r="HCJ528" s="901"/>
      <c r="HCK528" s="901"/>
      <c r="HCL528" s="901"/>
      <c r="HCM528" s="901"/>
      <c r="HCN528" s="901"/>
      <c r="HCO528" s="901"/>
      <c r="HCP528" s="901"/>
      <c r="HCQ528" s="901"/>
      <c r="HCR528" s="901"/>
      <c r="HCS528" s="901"/>
      <c r="HCT528" s="901"/>
      <c r="HCU528" s="901"/>
      <c r="HCV528" s="901"/>
      <c r="HCW528" s="901"/>
      <c r="HCX528" s="901"/>
      <c r="HCY528" s="901"/>
      <c r="HCZ528" s="901"/>
      <c r="HDA528" s="901"/>
      <c r="HDB528" s="901"/>
      <c r="HDC528" s="901"/>
      <c r="HDD528" s="901"/>
      <c r="HDE528" s="901"/>
      <c r="HDF528" s="901"/>
      <c r="HDG528" s="901"/>
      <c r="HDH528" s="901"/>
      <c r="HDI528" s="901"/>
      <c r="HDJ528" s="901"/>
      <c r="HDK528" s="901"/>
      <c r="HDL528" s="901"/>
      <c r="HDM528" s="901"/>
      <c r="HDN528" s="901"/>
      <c r="HDO528" s="901"/>
      <c r="HDP528" s="901"/>
      <c r="HDQ528" s="901"/>
      <c r="HDR528" s="901"/>
      <c r="HDS528" s="901"/>
      <c r="HDT528" s="901"/>
      <c r="HDU528" s="901"/>
      <c r="HDV528" s="901"/>
      <c r="HDW528" s="901"/>
      <c r="HDX528" s="901"/>
      <c r="HDY528" s="901"/>
      <c r="HDZ528" s="901"/>
      <c r="HEA528" s="901"/>
      <c r="HEB528" s="901"/>
      <c r="HEC528" s="901"/>
      <c r="HED528" s="901"/>
      <c r="HEE528" s="901"/>
      <c r="HEF528" s="901"/>
      <c r="HEG528" s="901"/>
      <c r="HEH528" s="901"/>
      <c r="HEI528" s="901"/>
      <c r="HEJ528" s="901"/>
      <c r="HEK528" s="901"/>
      <c r="HEL528" s="901"/>
      <c r="HEM528" s="901"/>
      <c r="HEN528" s="901"/>
      <c r="HEO528" s="901"/>
      <c r="HEP528" s="901"/>
      <c r="HEQ528" s="901"/>
      <c r="HER528" s="901"/>
      <c r="HES528" s="901"/>
      <c r="HET528" s="901"/>
      <c r="HEU528" s="901"/>
      <c r="HEV528" s="901"/>
      <c r="HEW528" s="901"/>
      <c r="HEX528" s="901"/>
      <c r="HEY528" s="901"/>
      <c r="HEZ528" s="901"/>
      <c r="HFA528" s="901"/>
      <c r="HFB528" s="901"/>
      <c r="HFC528" s="901"/>
      <c r="HFD528" s="901"/>
      <c r="HFE528" s="901"/>
      <c r="HFF528" s="901"/>
      <c r="HFG528" s="901"/>
      <c r="HFH528" s="901"/>
      <c r="HFI528" s="901"/>
      <c r="HFJ528" s="901"/>
      <c r="HFK528" s="901"/>
      <c r="HFL528" s="901"/>
      <c r="HFM528" s="901"/>
      <c r="HFN528" s="901"/>
      <c r="HFO528" s="901"/>
      <c r="HFP528" s="901"/>
      <c r="HFQ528" s="901"/>
      <c r="HFR528" s="901"/>
      <c r="HFS528" s="901"/>
      <c r="HFT528" s="901"/>
      <c r="HFU528" s="901"/>
      <c r="HFV528" s="901"/>
      <c r="HFW528" s="901"/>
      <c r="HFX528" s="901"/>
      <c r="HFY528" s="901"/>
      <c r="HFZ528" s="901"/>
      <c r="HGA528" s="901"/>
      <c r="HGB528" s="901"/>
      <c r="HGC528" s="901"/>
      <c r="HGD528" s="901"/>
      <c r="HGE528" s="901"/>
      <c r="HGF528" s="901"/>
      <c r="HGG528" s="901"/>
      <c r="HGH528" s="901"/>
      <c r="HGI528" s="901"/>
      <c r="HGJ528" s="901"/>
      <c r="HGK528" s="901"/>
      <c r="HGL528" s="901"/>
      <c r="HGM528" s="901"/>
      <c r="HGN528" s="901"/>
      <c r="HGO528" s="901"/>
      <c r="HGP528" s="901"/>
      <c r="HGQ528" s="901"/>
      <c r="HGR528" s="901"/>
      <c r="HGS528" s="901"/>
      <c r="HGT528" s="901"/>
      <c r="HGU528" s="901"/>
      <c r="HGV528" s="901"/>
      <c r="HGW528" s="901"/>
      <c r="HGX528" s="901"/>
      <c r="HGY528" s="901"/>
      <c r="HGZ528" s="901"/>
      <c r="HHA528" s="901"/>
      <c r="HHB528" s="901"/>
      <c r="HHC528" s="901"/>
      <c r="HHD528" s="901"/>
      <c r="HHE528" s="901"/>
      <c r="HHF528" s="901"/>
      <c r="HHG528" s="901"/>
      <c r="HHH528" s="901"/>
      <c r="HHI528" s="901"/>
      <c r="HHJ528" s="901"/>
      <c r="HHK528" s="901"/>
      <c r="HHL528" s="901"/>
      <c r="HHM528" s="901"/>
      <c r="HHN528" s="901"/>
      <c r="HHO528" s="901"/>
      <c r="HHP528" s="901"/>
      <c r="HHQ528" s="901"/>
      <c r="HHR528" s="901"/>
      <c r="HHS528" s="901"/>
      <c r="HHT528" s="901"/>
      <c r="HHU528" s="901"/>
      <c r="HHV528" s="901"/>
      <c r="HHW528" s="901"/>
      <c r="HHX528" s="901"/>
      <c r="HHY528" s="901"/>
      <c r="HHZ528" s="901"/>
      <c r="HIA528" s="901"/>
      <c r="HIB528" s="901"/>
      <c r="HIC528" s="901"/>
      <c r="HID528" s="901"/>
      <c r="HIE528" s="901"/>
      <c r="HIF528" s="901"/>
      <c r="HIG528" s="901"/>
      <c r="HIH528" s="901"/>
      <c r="HII528" s="901"/>
      <c r="HIJ528" s="901"/>
      <c r="HIK528" s="901"/>
      <c r="HIL528" s="901"/>
      <c r="HIM528" s="901"/>
      <c r="HIN528" s="901"/>
      <c r="HIO528" s="901"/>
      <c r="HIP528" s="901"/>
      <c r="HIQ528" s="901"/>
      <c r="HIR528" s="901"/>
      <c r="HIS528" s="901"/>
      <c r="HIT528" s="901"/>
      <c r="HIU528" s="901"/>
      <c r="HIV528" s="901"/>
      <c r="HIW528" s="901"/>
      <c r="HIX528" s="901"/>
      <c r="HIY528" s="901"/>
      <c r="HIZ528" s="901"/>
      <c r="HJA528" s="901"/>
      <c r="HJB528" s="901"/>
      <c r="HJC528" s="901"/>
      <c r="HJD528" s="901"/>
      <c r="HJE528" s="901"/>
      <c r="HJF528" s="901"/>
      <c r="HJG528" s="901"/>
      <c r="HJH528" s="901"/>
      <c r="HJI528" s="901"/>
      <c r="HJJ528" s="901"/>
      <c r="HJK528" s="901"/>
      <c r="HJL528" s="901"/>
      <c r="HJM528" s="901"/>
      <c r="HJN528" s="901"/>
      <c r="HJO528" s="901"/>
      <c r="HJP528" s="901"/>
      <c r="HJQ528" s="901"/>
      <c r="HJR528" s="901"/>
      <c r="HJS528" s="901"/>
      <c r="HJT528" s="901"/>
      <c r="HJU528" s="901"/>
      <c r="HJV528" s="901"/>
      <c r="HJW528" s="901"/>
      <c r="HJX528" s="901"/>
      <c r="HJY528" s="901"/>
      <c r="HJZ528" s="901"/>
      <c r="HKA528" s="901"/>
      <c r="HKB528" s="901"/>
      <c r="HKC528" s="901"/>
      <c r="HKD528" s="901"/>
      <c r="HKE528" s="901"/>
      <c r="HKF528" s="901"/>
      <c r="HKG528" s="901"/>
      <c r="HKH528" s="901"/>
      <c r="HKI528" s="901"/>
      <c r="HKJ528" s="901"/>
      <c r="HKK528" s="901"/>
      <c r="HKL528" s="901"/>
      <c r="HKM528" s="901"/>
      <c r="HKN528" s="901"/>
      <c r="HKO528" s="901"/>
      <c r="HKP528" s="901"/>
      <c r="HKQ528" s="901"/>
      <c r="HKR528" s="901"/>
      <c r="HKS528" s="901"/>
      <c r="HKT528" s="901"/>
      <c r="HKU528" s="901"/>
      <c r="HKV528" s="901"/>
      <c r="HKW528" s="901"/>
      <c r="HKX528" s="901"/>
      <c r="HKY528" s="901"/>
      <c r="HKZ528" s="901"/>
      <c r="HLA528" s="901"/>
      <c r="HLB528" s="901"/>
      <c r="HLC528" s="901"/>
      <c r="HLD528" s="901"/>
      <c r="HLE528" s="901"/>
      <c r="HLF528" s="901"/>
      <c r="HLG528" s="901"/>
      <c r="HLH528" s="901"/>
      <c r="HLI528" s="901"/>
      <c r="HLJ528" s="901"/>
      <c r="HLK528" s="901"/>
      <c r="HLL528" s="901"/>
      <c r="HLM528" s="901"/>
      <c r="HLN528" s="901"/>
      <c r="HLO528" s="901"/>
      <c r="HLP528" s="901"/>
      <c r="HLQ528" s="901"/>
      <c r="HLR528" s="901"/>
      <c r="HLS528" s="901"/>
      <c r="HLT528" s="901"/>
      <c r="HLU528" s="901"/>
      <c r="HLV528" s="901"/>
      <c r="HLW528" s="901"/>
      <c r="HLX528" s="901"/>
      <c r="HLY528" s="901"/>
      <c r="HLZ528" s="901"/>
      <c r="HMA528" s="901"/>
      <c r="HMB528" s="901"/>
      <c r="HMC528" s="901"/>
      <c r="HMD528" s="901"/>
      <c r="HME528" s="901"/>
      <c r="HMF528" s="901"/>
      <c r="HMG528" s="901"/>
      <c r="HMH528" s="901"/>
      <c r="HMI528" s="901"/>
      <c r="HMJ528" s="901"/>
      <c r="HMK528" s="901"/>
      <c r="HML528" s="901"/>
      <c r="HMM528" s="901"/>
      <c r="HMN528" s="901"/>
      <c r="HMO528" s="901"/>
      <c r="HMP528" s="901"/>
      <c r="HMQ528" s="901"/>
      <c r="HMR528" s="901"/>
      <c r="HMS528" s="901"/>
      <c r="HMT528" s="901"/>
      <c r="HMU528" s="901"/>
      <c r="HMV528" s="901"/>
      <c r="HMW528" s="901"/>
      <c r="HMX528" s="901"/>
      <c r="HMY528" s="901"/>
      <c r="HMZ528" s="901"/>
      <c r="HNA528" s="901"/>
      <c r="HNB528" s="901"/>
      <c r="HNC528" s="901"/>
      <c r="HND528" s="901"/>
      <c r="HNE528" s="901"/>
      <c r="HNF528" s="901"/>
      <c r="HNG528" s="901"/>
      <c r="HNH528" s="901"/>
      <c r="HNI528" s="901"/>
      <c r="HNJ528" s="901"/>
      <c r="HNK528" s="901"/>
      <c r="HNL528" s="901"/>
      <c r="HNM528" s="901"/>
      <c r="HNN528" s="901"/>
      <c r="HNO528" s="901"/>
      <c r="HNP528" s="901"/>
      <c r="HNQ528" s="901"/>
      <c r="HNR528" s="901"/>
      <c r="HNS528" s="901"/>
      <c r="HNT528" s="901"/>
      <c r="HNU528" s="901"/>
      <c r="HNV528" s="901"/>
      <c r="HNW528" s="901"/>
      <c r="HNX528" s="901"/>
      <c r="HNY528" s="901"/>
      <c r="HNZ528" s="901"/>
      <c r="HOA528" s="901"/>
      <c r="HOB528" s="901"/>
      <c r="HOC528" s="901"/>
      <c r="HOD528" s="901"/>
      <c r="HOE528" s="901"/>
      <c r="HOF528" s="901"/>
      <c r="HOG528" s="901"/>
      <c r="HOH528" s="901"/>
      <c r="HOI528" s="901"/>
      <c r="HOJ528" s="901"/>
      <c r="HOK528" s="901"/>
      <c r="HOL528" s="901"/>
      <c r="HOM528" s="901"/>
      <c r="HON528" s="901"/>
      <c r="HOO528" s="901"/>
      <c r="HOP528" s="901"/>
      <c r="HOQ528" s="901"/>
      <c r="HOR528" s="901"/>
      <c r="HOS528" s="901"/>
      <c r="HOT528" s="901"/>
      <c r="HOU528" s="901"/>
      <c r="HOV528" s="901"/>
      <c r="HOW528" s="901"/>
      <c r="HOX528" s="901"/>
      <c r="HOY528" s="901"/>
      <c r="HOZ528" s="901"/>
      <c r="HPA528" s="901"/>
      <c r="HPB528" s="901"/>
      <c r="HPC528" s="901"/>
      <c r="HPD528" s="901"/>
      <c r="HPE528" s="901"/>
      <c r="HPF528" s="901"/>
      <c r="HPG528" s="901"/>
      <c r="HPH528" s="901"/>
      <c r="HPI528" s="901"/>
      <c r="HPJ528" s="901"/>
      <c r="HPK528" s="901"/>
      <c r="HPL528" s="901"/>
      <c r="HPM528" s="901"/>
      <c r="HPN528" s="901"/>
      <c r="HPO528" s="901"/>
      <c r="HPP528" s="901"/>
      <c r="HPQ528" s="901"/>
      <c r="HPR528" s="901"/>
      <c r="HPS528" s="901"/>
      <c r="HPT528" s="901"/>
      <c r="HPU528" s="901"/>
      <c r="HPV528" s="901"/>
      <c r="HPW528" s="901"/>
      <c r="HPX528" s="901"/>
      <c r="HPY528" s="901"/>
      <c r="HPZ528" s="901"/>
      <c r="HQA528" s="901"/>
      <c r="HQB528" s="901"/>
      <c r="HQC528" s="901"/>
      <c r="HQD528" s="901"/>
      <c r="HQE528" s="901"/>
      <c r="HQF528" s="901"/>
      <c r="HQG528" s="901"/>
      <c r="HQH528" s="901"/>
      <c r="HQI528" s="901"/>
      <c r="HQJ528" s="901"/>
      <c r="HQK528" s="901"/>
      <c r="HQL528" s="901"/>
      <c r="HQM528" s="901"/>
      <c r="HQN528" s="901"/>
      <c r="HQO528" s="901"/>
      <c r="HQP528" s="901"/>
      <c r="HQQ528" s="901"/>
      <c r="HQR528" s="901"/>
      <c r="HQS528" s="901"/>
      <c r="HQT528" s="901"/>
      <c r="HQU528" s="901"/>
      <c r="HQV528" s="901"/>
      <c r="HQW528" s="901"/>
      <c r="HQX528" s="901"/>
      <c r="HQY528" s="901"/>
      <c r="HQZ528" s="901"/>
      <c r="HRA528" s="901"/>
      <c r="HRB528" s="901"/>
      <c r="HRC528" s="901"/>
      <c r="HRD528" s="901"/>
      <c r="HRE528" s="901"/>
      <c r="HRF528" s="901"/>
      <c r="HRG528" s="901"/>
      <c r="HRH528" s="901"/>
      <c r="HRI528" s="901"/>
      <c r="HRJ528" s="901"/>
      <c r="HRK528" s="901"/>
      <c r="HRL528" s="901"/>
      <c r="HRM528" s="901"/>
      <c r="HRN528" s="901"/>
      <c r="HRO528" s="901"/>
      <c r="HRP528" s="901"/>
      <c r="HRQ528" s="901"/>
      <c r="HRR528" s="901"/>
      <c r="HRS528" s="901"/>
      <c r="HRT528" s="901"/>
      <c r="HRU528" s="901"/>
      <c r="HRV528" s="901"/>
      <c r="HRW528" s="901"/>
      <c r="HRX528" s="901"/>
      <c r="HRY528" s="901"/>
      <c r="HRZ528" s="901"/>
      <c r="HSA528" s="901"/>
      <c r="HSB528" s="901"/>
      <c r="HSC528" s="901"/>
      <c r="HSD528" s="901"/>
      <c r="HSE528" s="901"/>
      <c r="HSF528" s="901"/>
      <c r="HSG528" s="901"/>
      <c r="HSH528" s="901"/>
      <c r="HSI528" s="901"/>
      <c r="HSJ528" s="901"/>
      <c r="HSK528" s="901"/>
      <c r="HSL528" s="901"/>
      <c r="HSM528" s="901"/>
      <c r="HSN528" s="901"/>
      <c r="HSO528" s="901"/>
      <c r="HSP528" s="901"/>
      <c r="HSQ528" s="901"/>
      <c r="HSR528" s="901"/>
      <c r="HSS528" s="901"/>
      <c r="HST528" s="901"/>
      <c r="HSU528" s="901"/>
      <c r="HSV528" s="901"/>
      <c r="HSW528" s="901"/>
      <c r="HSX528" s="901"/>
      <c r="HSY528" s="901"/>
      <c r="HSZ528" s="901"/>
      <c r="HTA528" s="901"/>
      <c r="HTB528" s="901"/>
      <c r="HTC528" s="901"/>
      <c r="HTD528" s="901"/>
      <c r="HTE528" s="901"/>
      <c r="HTF528" s="901"/>
      <c r="HTG528" s="901"/>
      <c r="HTH528" s="901"/>
      <c r="HTI528" s="901"/>
      <c r="HTJ528" s="901"/>
      <c r="HTK528" s="901"/>
      <c r="HTL528" s="901"/>
      <c r="HTM528" s="901"/>
      <c r="HTN528" s="901"/>
      <c r="HTO528" s="901"/>
      <c r="HTP528" s="901"/>
      <c r="HTQ528" s="901"/>
      <c r="HTR528" s="901"/>
      <c r="HTS528" s="901"/>
      <c r="HTT528" s="901"/>
      <c r="HTU528" s="901"/>
      <c r="HTV528" s="901"/>
      <c r="HTW528" s="901"/>
      <c r="HTX528" s="901"/>
      <c r="HTY528" s="901"/>
      <c r="HTZ528" s="901"/>
      <c r="HUA528" s="901"/>
      <c r="HUB528" s="901"/>
      <c r="HUC528" s="901"/>
      <c r="HUD528" s="901"/>
      <c r="HUE528" s="901"/>
      <c r="HUF528" s="901"/>
      <c r="HUG528" s="901"/>
      <c r="HUH528" s="901"/>
      <c r="HUI528" s="901"/>
      <c r="HUJ528" s="901"/>
      <c r="HUK528" s="901"/>
      <c r="HUL528" s="901"/>
      <c r="HUM528" s="901"/>
      <c r="HUN528" s="901"/>
      <c r="HUO528" s="901"/>
      <c r="HUP528" s="901"/>
      <c r="HUQ528" s="901"/>
      <c r="HUR528" s="901"/>
      <c r="HUS528" s="901"/>
      <c r="HUT528" s="901"/>
      <c r="HUU528" s="901"/>
      <c r="HUV528" s="901"/>
      <c r="HUW528" s="901"/>
      <c r="HUX528" s="901"/>
      <c r="HUY528" s="901"/>
      <c r="HUZ528" s="901"/>
      <c r="HVA528" s="901"/>
      <c r="HVB528" s="901"/>
      <c r="HVC528" s="901"/>
      <c r="HVD528" s="901"/>
      <c r="HVE528" s="901"/>
      <c r="HVF528" s="901"/>
      <c r="HVG528" s="901"/>
      <c r="HVH528" s="901"/>
      <c r="HVI528" s="901"/>
      <c r="HVJ528" s="901"/>
      <c r="HVK528" s="901"/>
      <c r="HVL528" s="901"/>
      <c r="HVM528" s="901"/>
      <c r="HVN528" s="901"/>
      <c r="HVO528" s="901"/>
      <c r="HVP528" s="901"/>
      <c r="HVQ528" s="901"/>
      <c r="HVR528" s="901"/>
      <c r="HVS528" s="901"/>
      <c r="HVT528" s="901"/>
      <c r="HVU528" s="901"/>
      <c r="HVV528" s="901"/>
      <c r="HVW528" s="901"/>
      <c r="HVX528" s="901"/>
      <c r="HVY528" s="901"/>
      <c r="HVZ528" s="901"/>
      <c r="HWA528" s="901"/>
      <c r="HWB528" s="901"/>
      <c r="HWC528" s="901"/>
      <c r="HWD528" s="901"/>
      <c r="HWE528" s="901"/>
      <c r="HWF528" s="901"/>
      <c r="HWG528" s="901"/>
      <c r="HWH528" s="901"/>
      <c r="HWI528" s="901"/>
      <c r="HWJ528" s="901"/>
      <c r="HWK528" s="901"/>
      <c r="HWL528" s="901"/>
      <c r="HWM528" s="901"/>
      <c r="HWN528" s="901"/>
      <c r="HWO528" s="901"/>
      <c r="HWP528" s="901"/>
      <c r="HWQ528" s="901"/>
      <c r="HWR528" s="901"/>
      <c r="HWS528" s="901"/>
      <c r="HWT528" s="901"/>
      <c r="HWU528" s="901"/>
      <c r="HWV528" s="901"/>
      <c r="HWW528" s="901"/>
      <c r="HWX528" s="901"/>
      <c r="HWY528" s="901"/>
      <c r="HWZ528" s="901"/>
      <c r="HXA528" s="901"/>
      <c r="HXB528" s="901"/>
      <c r="HXC528" s="901"/>
      <c r="HXD528" s="901"/>
      <c r="HXE528" s="901"/>
      <c r="HXF528" s="901"/>
      <c r="HXG528" s="901"/>
      <c r="HXH528" s="901"/>
      <c r="HXI528" s="901"/>
      <c r="HXJ528" s="901"/>
      <c r="HXK528" s="901"/>
      <c r="HXL528" s="901"/>
      <c r="HXM528" s="901"/>
      <c r="HXN528" s="901"/>
      <c r="HXO528" s="901"/>
      <c r="HXP528" s="901"/>
      <c r="HXQ528" s="901"/>
      <c r="HXR528" s="901"/>
      <c r="HXS528" s="901"/>
      <c r="HXT528" s="901"/>
      <c r="HXU528" s="901"/>
      <c r="HXV528" s="901"/>
      <c r="HXW528" s="901"/>
      <c r="HXX528" s="901"/>
      <c r="HXY528" s="901"/>
      <c r="HXZ528" s="901"/>
      <c r="HYA528" s="901"/>
      <c r="HYB528" s="901"/>
      <c r="HYC528" s="901"/>
      <c r="HYD528" s="901"/>
      <c r="HYE528" s="901"/>
      <c r="HYF528" s="901"/>
      <c r="HYG528" s="901"/>
      <c r="HYH528" s="901"/>
      <c r="HYI528" s="901"/>
      <c r="HYJ528" s="901"/>
      <c r="HYK528" s="901"/>
      <c r="HYL528" s="901"/>
      <c r="HYM528" s="901"/>
      <c r="HYN528" s="901"/>
      <c r="HYO528" s="901"/>
      <c r="HYP528" s="901"/>
      <c r="HYQ528" s="901"/>
      <c r="HYR528" s="901"/>
      <c r="HYS528" s="901"/>
      <c r="HYT528" s="901"/>
      <c r="HYU528" s="901"/>
      <c r="HYV528" s="901"/>
      <c r="HYW528" s="901"/>
      <c r="HYX528" s="901"/>
      <c r="HYY528" s="901"/>
      <c r="HYZ528" s="901"/>
      <c r="HZA528" s="901"/>
      <c r="HZB528" s="901"/>
      <c r="HZC528" s="901"/>
      <c r="HZD528" s="901"/>
      <c r="HZE528" s="901"/>
      <c r="HZF528" s="901"/>
      <c r="HZG528" s="901"/>
      <c r="HZH528" s="901"/>
      <c r="HZI528" s="901"/>
      <c r="HZJ528" s="901"/>
      <c r="HZK528" s="901"/>
      <c r="HZL528" s="901"/>
      <c r="HZM528" s="901"/>
      <c r="HZN528" s="901"/>
      <c r="HZO528" s="901"/>
      <c r="HZP528" s="901"/>
      <c r="HZQ528" s="901"/>
      <c r="HZR528" s="901"/>
      <c r="HZS528" s="901"/>
      <c r="HZT528" s="901"/>
      <c r="HZU528" s="901"/>
      <c r="HZV528" s="901"/>
      <c r="HZW528" s="901"/>
      <c r="HZX528" s="901"/>
      <c r="HZY528" s="901"/>
      <c r="HZZ528" s="901"/>
      <c r="IAA528" s="901"/>
      <c r="IAB528" s="901"/>
      <c r="IAC528" s="901"/>
      <c r="IAD528" s="901"/>
      <c r="IAE528" s="901"/>
      <c r="IAF528" s="901"/>
      <c r="IAG528" s="901"/>
      <c r="IAH528" s="901"/>
      <c r="IAI528" s="901"/>
      <c r="IAJ528" s="901"/>
      <c r="IAK528" s="901"/>
      <c r="IAL528" s="901"/>
      <c r="IAM528" s="901"/>
      <c r="IAN528" s="901"/>
      <c r="IAO528" s="901"/>
      <c r="IAP528" s="901"/>
      <c r="IAQ528" s="901"/>
      <c r="IAR528" s="901"/>
      <c r="IAS528" s="901"/>
      <c r="IAT528" s="901"/>
      <c r="IAU528" s="901"/>
      <c r="IAV528" s="901"/>
      <c r="IAW528" s="901"/>
      <c r="IAX528" s="901"/>
      <c r="IAY528" s="901"/>
      <c r="IAZ528" s="901"/>
      <c r="IBA528" s="901"/>
      <c r="IBB528" s="901"/>
      <c r="IBC528" s="901"/>
      <c r="IBD528" s="901"/>
      <c r="IBE528" s="901"/>
      <c r="IBF528" s="901"/>
      <c r="IBG528" s="901"/>
      <c r="IBH528" s="901"/>
      <c r="IBI528" s="901"/>
      <c r="IBJ528" s="901"/>
      <c r="IBK528" s="901"/>
      <c r="IBL528" s="901"/>
      <c r="IBM528" s="901"/>
      <c r="IBN528" s="901"/>
      <c r="IBO528" s="901"/>
      <c r="IBP528" s="901"/>
      <c r="IBQ528" s="901"/>
      <c r="IBR528" s="901"/>
      <c r="IBS528" s="901"/>
      <c r="IBT528" s="901"/>
      <c r="IBU528" s="901"/>
      <c r="IBV528" s="901"/>
      <c r="IBW528" s="901"/>
      <c r="IBX528" s="901"/>
      <c r="IBY528" s="901"/>
      <c r="IBZ528" s="901"/>
      <c r="ICA528" s="901"/>
      <c r="ICB528" s="901"/>
      <c r="ICC528" s="901"/>
      <c r="ICD528" s="901"/>
      <c r="ICE528" s="901"/>
      <c r="ICF528" s="901"/>
      <c r="ICG528" s="901"/>
      <c r="ICH528" s="901"/>
      <c r="ICI528" s="901"/>
      <c r="ICJ528" s="901"/>
      <c r="ICK528" s="901"/>
      <c r="ICL528" s="901"/>
      <c r="ICM528" s="901"/>
      <c r="ICN528" s="901"/>
      <c r="ICO528" s="901"/>
      <c r="ICP528" s="901"/>
      <c r="ICQ528" s="901"/>
      <c r="ICR528" s="901"/>
      <c r="ICS528" s="901"/>
      <c r="ICT528" s="901"/>
      <c r="ICU528" s="901"/>
      <c r="ICV528" s="901"/>
      <c r="ICW528" s="901"/>
      <c r="ICX528" s="901"/>
      <c r="ICY528" s="901"/>
      <c r="ICZ528" s="901"/>
      <c r="IDA528" s="901"/>
      <c r="IDB528" s="901"/>
      <c r="IDC528" s="901"/>
      <c r="IDD528" s="901"/>
      <c r="IDE528" s="901"/>
      <c r="IDF528" s="901"/>
      <c r="IDG528" s="901"/>
      <c r="IDH528" s="901"/>
      <c r="IDI528" s="901"/>
      <c r="IDJ528" s="901"/>
      <c r="IDK528" s="901"/>
      <c r="IDL528" s="901"/>
      <c r="IDM528" s="901"/>
      <c r="IDN528" s="901"/>
      <c r="IDO528" s="901"/>
      <c r="IDP528" s="901"/>
      <c r="IDQ528" s="901"/>
      <c r="IDR528" s="901"/>
      <c r="IDS528" s="901"/>
      <c r="IDT528" s="901"/>
      <c r="IDU528" s="901"/>
      <c r="IDV528" s="901"/>
      <c r="IDW528" s="901"/>
      <c r="IDX528" s="901"/>
      <c r="IDY528" s="901"/>
      <c r="IDZ528" s="901"/>
      <c r="IEA528" s="901"/>
      <c r="IEB528" s="901"/>
      <c r="IEC528" s="901"/>
      <c r="IED528" s="901"/>
      <c r="IEE528" s="901"/>
      <c r="IEF528" s="901"/>
      <c r="IEG528" s="901"/>
      <c r="IEH528" s="901"/>
      <c r="IEI528" s="901"/>
      <c r="IEJ528" s="901"/>
      <c r="IEK528" s="901"/>
      <c r="IEL528" s="901"/>
      <c r="IEM528" s="901"/>
      <c r="IEN528" s="901"/>
      <c r="IEO528" s="901"/>
      <c r="IEP528" s="901"/>
      <c r="IEQ528" s="901"/>
      <c r="IER528" s="901"/>
      <c r="IES528" s="901"/>
      <c r="IET528" s="901"/>
      <c r="IEU528" s="901"/>
      <c r="IEV528" s="901"/>
      <c r="IEW528" s="901"/>
      <c r="IEX528" s="901"/>
      <c r="IEY528" s="901"/>
      <c r="IEZ528" s="901"/>
      <c r="IFA528" s="901"/>
      <c r="IFB528" s="901"/>
      <c r="IFC528" s="901"/>
      <c r="IFD528" s="901"/>
      <c r="IFE528" s="901"/>
      <c r="IFF528" s="901"/>
      <c r="IFG528" s="901"/>
      <c r="IFH528" s="901"/>
      <c r="IFI528" s="901"/>
      <c r="IFJ528" s="901"/>
      <c r="IFK528" s="901"/>
      <c r="IFL528" s="901"/>
      <c r="IFM528" s="901"/>
      <c r="IFN528" s="901"/>
      <c r="IFO528" s="901"/>
      <c r="IFP528" s="901"/>
      <c r="IFQ528" s="901"/>
      <c r="IFR528" s="901"/>
      <c r="IFS528" s="901"/>
      <c r="IFT528" s="901"/>
      <c r="IFU528" s="901"/>
      <c r="IFV528" s="901"/>
      <c r="IFW528" s="901"/>
      <c r="IFX528" s="901"/>
      <c r="IFY528" s="901"/>
      <c r="IFZ528" s="901"/>
      <c r="IGA528" s="901"/>
      <c r="IGB528" s="901"/>
      <c r="IGC528" s="901"/>
      <c r="IGD528" s="901"/>
      <c r="IGE528" s="901"/>
      <c r="IGF528" s="901"/>
      <c r="IGG528" s="901"/>
      <c r="IGH528" s="901"/>
      <c r="IGI528" s="901"/>
      <c r="IGJ528" s="901"/>
      <c r="IGK528" s="901"/>
      <c r="IGL528" s="901"/>
      <c r="IGM528" s="901"/>
      <c r="IGN528" s="901"/>
      <c r="IGO528" s="901"/>
      <c r="IGP528" s="901"/>
      <c r="IGQ528" s="901"/>
      <c r="IGR528" s="901"/>
      <c r="IGS528" s="901"/>
      <c r="IGT528" s="901"/>
      <c r="IGU528" s="901"/>
      <c r="IGV528" s="901"/>
      <c r="IGW528" s="901"/>
      <c r="IGX528" s="901"/>
      <c r="IGY528" s="901"/>
      <c r="IGZ528" s="901"/>
      <c r="IHA528" s="901"/>
      <c r="IHB528" s="901"/>
      <c r="IHC528" s="901"/>
      <c r="IHD528" s="901"/>
      <c r="IHE528" s="901"/>
      <c r="IHF528" s="901"/>
      <c r="IHG528" s="901"/>
      <c r="IHH528" s="901"/>
      <c r="IHI528" s="901"/>
      <c r="IHJ528" s="901"/>
      <c r="IHK528" s="901"/>
      <c r="IHL528" s="901"/>
      <c r="IHM528" s="901"/>
      <c r="IHN528" s="901"/>
      <c r="IHO528" s="901"/>
      <c r="IHP528" s="901"/>
      <c r="IHQ528" s="901"/>
      <c r="IHR528" s="901"/>
      <c r="IHS528" s="901"/>
      <c r="IHT528" s="901"/>
      <c r="IHU528" s="901"/>
      <c r="IHV528" s="901"/>
      <c r="IHW528" s="901"/>
      <c r="IHX528" s="901"/>
      <c r="IHY528" s="901"/>
      <c r="IHZ528" s="901"/>
      <c r="IIA528" s="901"/>
      <c r="IIB528" s="901"/>
      <c r="IIC528" s="901"/>
      <c r="IID528" s="901"/>
      <c r="IIE528" s="901"/>
      <c r="IIF528" s="901"/>
      <c r="IIG528" s="901"/>
      <c r="IIH528" s="901"/>
      <c r="III528" s="901"/>
      <c r="IIJ528" s="901"/>
      <c r="IIK528" s="901"/>
      <c r="IIL528" s="901"/>
      <c r="IIM528" s="901"/>
      <c r="IIN528" s="901"/>
      <c r="IIO528" s="901"/>
      <c r="IIP528" s="901"/>
      <c r="IIQ528" s="901"/>
      <c r="IIR528" s="901"/>
      <c r="IIS528" s="901"/>
      <c r="IIT528" s="901"/>
      <c r="IIU528" s="901"/>
      <c r="IIV528" s="901"/>
      <c r="IIW528" s="901"/>
      <c r="IIX528" s="901"/>
      <c r="IIY528" s="901"/>
      <c r="IIZ528" s="901"/>
      <c r="IJA528" s="901"/>
      <c r="IJB528" s="901"/>
      <c r="IJC528" s="901"/>
      <c r="IJD528" s="901"/>
      <c r="IJE528" s="901"/>
      <c r="IJF528" s="901"/>
      <c r="IJG528" s="901"/>
      <c r="IJH528" s="901"/>
      <c r="IJI528" s="901"/>
      <c r="IJJ528" s="901"/>
      <c r="IJK528" s="901"/>
      <c r="IJL528" s="901"/>
      <c r="IJM528" s="901"/>
      <c r="IJN528" s="901"/>
      <c r="IJO528" s="901"/>
      <c r="IJP528" s="901"/>
      <c r="IJQ528" s="901"/>
      <c r="IJR528" s="901"/>
      <c r="IJS528" s="901"/>
      <c r="IJT528" s="901"/>
      <c r="IJU528" s="901"/>
      <c r="IJV528" s="901"/>
      <c r="IJW528" s="901"/>
      <c r="IJX528" s="901"/>
      <c r="IJY528" s="901"/>
      <c r="IJZ528" s="901"/>
      <c r="IKA528" s="901"/>
      <c r="IKB528" s="901"/>
      <c r="IKC528" s="901"/>
      <c r="IKD528" s="901"/>
      <c r="IKE528" s="901"/>
      <c r="IKF528" s="901"/>
      <c r="IKG528" s="901"/>
      <c r="IKH528" s="901"/>
      <c r="IKI528" s="901"/>
      <c r="IKJ528" s="901"/>
      <c r="IKK528" s="901"/>
      <c r="IKL528" s="901"/>
      <c r="IKM528" s="901"/>
      <c r="IKN528" s="901"/>
      <c r="IKO528" s="901"/>
      <c r="IKP528" s="901"/>
      <c r="IKQ528" s="901"/>
      <c r="IKR528" s="901"/>
      <c r="IKS528" s="901"/>
      <c r="IKT528" s="901"/>
      <c r="IKU528" s="901"/>
      <c r="IKV528" s="901"/>
      <c r="IKW528" s="901"/>
      <c r="IKX528" s="901"/>
      <c r="IKY528" s="901"/>
      <c r="IKZ528" s="901"/>
      <c r="ILA528" s="901"/>
      <c r="ILB528" s="901"/>
      <c r="ILC528" s="901"/>
      <c r="ILD528" s="901"/>
      <c r="ILE528" s="901"/>
      <c r="ILF528" s="901"/>
      <c r="ILG528" s="901"/>
      <c r="ILH528" s="901"/>
      <c r="ILI528" s="901"/>
      <c r="ILJ528" s="901"/>
      <c r="ILK528" s="901"/>
      <c r="ILL528" s="901"/>
      <c r="ILM528" s="901"/>
      <c r="ILN528" s="901"/>
      <c r="ILO528" s="901"/>
      <c r="ILP528" s="901"/>
      <c r="ILQ528" s="901"/>
      <c r="ILR528" s="901"/>
      <c r="ILS528" s="901"/>
      <c r="ILT528" s="901"/>
      <c r="ILU528" s="901"/>
      <c r="ILV528" s="901"/>
      <c r="ILW528" s="901"/>
      <c r="ILX528" s="901"/>
      <c r="ILY528" s="901"/>
      <c r="ILZ528" s="901"/>
      <c r="IMA528" s="901"/>
      <c r="IMB528" s="901"/>
      <c r="IMC528" s="901"/>
      <c r="IMD528" s="901"/>
      <c r="IME528" s="901"/>
      <c r="IMF528" s="901"/>
      <c r="IMG528" s="901"/>
      <c r="IMH528" s="901"/>
      <c r="IMI528" s="901"/>
      <c r="IMJ528" s="901"/>
      <c r="IMK528" s="901"/>
      <c r="IML528" s="901"/>
      <c r="IMM528" s="901"/>
      <c r="IMN528" s="901"/>
      <c r="IMO528" s="901"/>
      <c r="IMP528" s="901"/>
      <c r="IMQ528" s="901"/>
      <c r="IMR528" s="901"/>
      <c r="IMS528" s="901"/>
      <c r="IMT528" s="901"/>
      <c r="IMU528" s="901"/>
      <c r="IMV528" s="901"/>
      <c r="IMW528" s="901"/>
      <c r="IMX528" s="901"/>
      <c r="IMY528" s="901"/>
      <c r="IMZ528" s="901"/>
      <c r="INA528" s="901"/>
      <c r="INB528" s="901"/>
      <c r="INC528" s="901"/>
      <c r="IND528" s="901"/>
      <c r="INE528" s="901"/>
      <c r="INF528" s="901"/>
      <c r="ING528" s="901"/>
      <c r="INH528" s="901"/>
      <c r="INI528" s="901"/>
      <c r="INJ528" s="901"/>
      <c r="INK528" s="901"/>
      <c r="INL528" s="901"/>
      <c r="INM528" s="901"/>
      <c r="INN528" s="901"/>
      <c r="INO528" s="901"/>
      <c r="INP528" s="901"/>
      <c r="INQ528" s="901"/>
      <c r="INR528" s="901"/>
      <c r="INS528" s="901"/>
      <c r="INT528" s="901"/>
      <c r="INU528" s="901"/>
      <c r="INV528" s="901"/>
      <c r="INW528" s="901"/>
      <c r="INX528" s="901"/>
      <c r="INY528" s="901"/>
      <c r="INZ528" s="901"/>
      <c r="IOA528" s="901"/>
      <c r="IOB528" s="901"/>
      <c r="IOC528" s="901"/>
      <c r="IOD528" s="901"/>
      <c r="IOE528" s="901"/>
      <c r="IOF528" s="901"/>
      <c r="IOG528" s="901"/>
      <c r="IOH528" s="901"/>
      <c r="IOI528" s="901"/>
      <c r="IOJ528" s="901"/>
      <c r="IOK528" s="901"/>
      <c r="IOL528" s="901"/>
      <c r="IOM528" s="901"/>
      <c r="ION528" s="901"/>
      <c r="IOO528" s="901"/>
      <c r="IOP528" s="901"/>
      <c r="IOQ528" s="901"/>
      <c r="IOR528" s="901"/>
      <c r="IOS528" s="901"/>
      <c r="IOT528" s="901"/>
      <c r="IOU528" s="901"/>
      <c r="IOV528" s="901"/>
      <c r="IOW528" s="901"/>
      <c r="IOX528" s="901"/>
      <c r="IOY528" s="901"/>
      <c r="IOZ528" s="901"/>
      <c r="IPA528" s="901"/>
      <c r="IPB528" s="901"/>
      <c r="IPC528" s="901"/>
      <c r="IPD528" s="901"/>
      <c r="IPE528" s="901"/>
      <c r="IPF528" s="901"/>
      <c r="IPG528" s="901"/>
      <c r="IPH528" s="901"/>
      <c r="IPI528" s="901"/>
      <c r="IPJ528" s="901"/>
      <c r="IPK528" s="901"/>
      <c r="IPL528" s="901"/>
      <c r="IPM528" s="901"/>
      <c r="IPN528" s="901"/>
      <c r="IPO528" s="901"/>
      <c r="IPP528" s="901"/>
      <c r="IPQ528" s="901"/>
      <c r="IPR528" s="901"/>
      <c r="IPS528" s="901"/>
      <c r="IPT528" s="901"/>
      <c r="IPU528" s="901"/>
      <c r="IPV528" s="901"/>
      <c r="IPW528" s="901"/>
      <c r="IPX528" s="901"/>
      <c r="IPY528" s="901"/>
      <c r="IPZ528" s="901"/>
      <c r="IQA528" s="901"/>
      <c r="IQB528" s="901"/>
      <c r="IQC528" s="901"/>
      <c r="IQD528" s="901"/>
      <c r="IQE528" s="901"/>
      <c r="IQF528" s="901"/>
      <c r="IQG528" s="901"/>
      <c r="IQH528" s="901"/>
      <c r="IQI528" s="901"/>
      <c r="IQJ528" s="901"/>
      <c r="IQK528" s="901"/>
      <c r="IQL528" s="901"/>
      <c r="IQM528" s="901"/>
      <c r="IQN528" s="901"/>
      <c r="IQO528" s="901"/>
      <c r="IQP528" s="901"/>
      <c r="IQQ528" s="901"/>
      <c r="IQR528" s="901"/>
      <c r="IQS528" s="901"/>
      <c r="IQT528" s="901"/>
      <c r="IQU528" s="901"/>
      <c r="IQV528" s="901"/>
      <c r="IQW528" s="901"/>
      <c r="IQX528" s="901"/>
      <c r="IQY528" s="901"/>
      <c r="IQZ528" s="901"/>
      <c r="IRA528" s="901"/>
      <c r="IRB528" s="901"/>
      <c r="IRC528" s="901"/>
      <c r="IRD528" s="901"/>
      <c r="IRE528" s="901"/>
      <c r="IRF528" s="901"/>
      <c r="IRG528" s="901"/>
      <c r="IRH528" s="901"/>
      <c r="IRI528" s="901"/>
      <c r="IRJ528" s="901"/>
      <c r="IRK528" s="901"/>
      <c r="IRL528" s="901"/>
      <c r="IRM528" s="901"/>
      <c r="IRN528" s="901"/>
      <c r="IRO528" s="901"/>
      <c r="IRP528" s="901"/>
      <c r="IRQ528" s="901"/>
      <c r="IRR528" s="901"/>
      <c r="IRS528" s="901"/>
      <c r="IRT528" s="901"/>
      <c r="IRU528" s="901"/>
      <c r="IRV528" s="901"/>
      <c r="IRW528" s="901"/>
      <c r="IRX528" s="901"/>
      <c r="IRY528" s="901"/>
      <c r="IRZ528" s="901"/>
      <c r="ISA528" s="901"/>
      <c r="ISB528" s="901"/>
      <c r="ISC528" s="901"/>
      <c r="ISD528" s="901"/>
      <c r="ISE528" s="901"/>
      <c r="ISF528" s="901"/>
      <c r="ISG528" s="901"/>
      <c r="ISH528" s="901"/>
      <c r="ISI528" s="901"/>
      <c r="ISJ528" s="901"/>
      <c r="ISK528" s="901"/>
      <c r="ISL528" s="901"/>
      <c r="ISM528" s="901"/>
      <c r="ISN528" s="901"/>
      <c r="ISO528" s="901"/>
      <c r="ISP528" s="901"/>
      <c r="ISQ528" s="901"/>
      <c r="ISR528" s="901"/>
      <c r="ISS528" s="901"/>
      <c r="IST528" s="901"/>
      <c r="ISU528" s="901"/>
      <c r="ISV528" s="901"/>
      <c r="ISW528" s="901"/>
      <c r="ISX528" s="901"/>
      <c r="ISY528" s="901"/>
      <c r="ISZ528" s="901"/>
      <c r="ITA528" s="901"/>
      <c r="ITB528" s="901"/>
      <c r="ITC528" s="901"/>
      <c r="ITD528" s="901"/>
      <c r="ITE528" s="901"/>
      <c r="ITF528" s="901"/>
      <c r="ITG528" s="901"/>
      <c r="ITH528" s="901"/>
      <c r="ITI528" s="901"/>
      <c r="ITJ528" s="901"/>
      <c r="ITK528" s="901"/>
      <c r="ITL528" s="901"/>
      <c r="ITM528" s="901"/>
      <c r="ITN528" s="901"/>
      <c r="ITO528" s="901"/>
      <c r="ITP528" s="901"/>
      <c r="ITQ528" s="901"/>
      <c r="ITR528" s="901"/>
      <c r="ITS528" s="901"/>
      <c r="ITT528" s="901"/>
      <c r="ITU528" s="901"/>
      <c r="ITV528" s="901"/>
      <c r="ITW528" s="901"/>
      <c r="ITX528" s="901"/>
      <c r="ITY528" s="901"/>
      <c r="ITZ528" s="901"/>
      <c r="IUA528" s="901"/>
      <c r="IUB528" s="901"/>
      <c r="IUC528" s="901"/>
      <c r="IUD528" s="901"/>
      <c r="IUE528" s="901"/>
      <c r="IUF528" s="901"/>
      <c r="IUG528" s="901"/>
      <c r="IUH528" s="901"/>
      <c r="IUI528" s="901"/>
      <c r="IUJ528" s="901"/>
      <c r="IUK528" s="901"/>
      <c r="IUL528" s="901"/>
      <c r="IUM528" s="901"/>
      <c r="IUN528" s="901"/>
      <c r="IUO528" s="901"/>
      <c r="IUP528" s="901"/>
      <c r="IUQ528" s="901"/>
      <c r="IUR528" s="901"/>
      <c r="IUS528" s="901"/>
      <c r="IUT528" s="901"/>
      <c r="IUU528" s="901"/>
      <c r="IUV528" s="901"/>
      <c r="IUW528" s="901"/>
      <c r="IUX528" s="901"/>
      <c r="IUY528" s="901"/>
      <c r="IUZ528" s="901"/>
      <c r="IVA528" s="901"/>
      <c r="IVB528" s="901"/>
      <c r="IVC528" s="901"/>
      <c r="IVD528" s="901"/>
      <c r="IVE528" s="901"/>
      <c r="IVF528" s="901"/>
      <c r="IVG528" s="901"/>
      <c r="IVH528" s="901"/>
      <c r="IVI528" s="901"/>
      <c r="IVJ528" s="901"/>
      <c r="IVK528" s="901"/>
      <c r="IVL528" s="901"/>
      <c r="IVM528" s="901"/>
      <c r="IVN528" s="901"/>
      <c r="IVO528" s="901"/>
      <c r="IVP528" s="901"/>
      <c r="IVQ528" s="901"/>
      <c r="IVR528" s="901"/>
      <c r="IVS528" s="901"/>
      <c r="IVT528" s="901"/>
      <c r="IVU528" s="901"/>
      <c r="IVV528" s="901"/>
      <c r="IVW528" s="901"/>
      <c r="IVX528" s="901"/>
      <c r="IVY528" s="901"/>
      <c r="IVZ528" s="901"/>
      <c r="IWA528" s="901"/>
      <c r="IWB528" s="901"/>
      <c r="IWC528" s="901"/>
      <c r="IWD528" s="901"/>
      <c r="IWE528" s="901"/>
      <c r="IWF528" s="901"/>
      <c r="IWG528" s="901"/>
      <c r="IWH528" s="901"/>
      <c r="IWI528" s="901"/>
      <c r="IWJ528" s="901"/>
      <c r="IWK528" s="901"/>
      <c r="IWL528" s="901"/>
      <c r="IWM528" s="901"/>
      <c r="IWN528" s="901"/>
      <c r="IWO528" s="901"/>
      <c r="IWP528" s="901"/>
      <c r="IWQ528" s="901"/>
      <c r="IWR528" s="901"/>
      <c r="IWS528" s="901"/>
      <c r="IWT528" s="901"/>
      <c r="IWU528" s="901"/>
      <c r="IWV528" s="901"/>
      <c r="IWW528" s="901"/>
      <c r="IWX528" s="901"/>
      <c r="IWY528" s="901"/>
      <c r="IWZ528" s="901"/>
      <c r="IXA528" s="901"/>
      <c r="IXB528" s="901"/>
      <c r="IXC528" s="901"/>
      <c r="IXD528" s="901"/>
      <c r="IXE528" s="901"/>
      <c r="IXF528" s="901"/>
      <c r="IXG528" s="901"/>
      <c r="IXH528" s="901"/>
      <c r="IXI528" s="901"/>
      <c r="IXJ528" s="901"/>
      <c r="IXK528" s="901"/>
      <c r="IXL528" s="901"/>
      <c r="IXM528" s="901"/>
      <c r="IXN528" s="901"/>
      <c r="IXO528" s="901"/>
      <c r="IXP528" s="901"/>
      <c r="IXQ528" s="901"/>
      <c r="IXR528" s="901"/>
      <c r="IXS528" s="901"/>
      <c r="IXT528" s="901"/>
      <c r="IXU528" s="901"/>
      <c r="IXV528" s="901"/>
      <c r="IXW528" s="901"/>
      <c r="IXX528" s="901"/>
      <c r="IXY528" s="901"/>
      <c r="IXZ528" s="901"/>
      <c r="IYA528" s="901"/>
      <c r="IYB528" s="901"/>
      <c r="IYC528" s="901"/>
      <c r="IYD528" s="901"/>
      <c r="IYE528" s="901"/>
      <c r="IYF528" s="901"/>
      <c r="IYG528" s="901"/>
      <c r="IYH528" s="901"/>
      <c r="IYI528" s="901"/>
      <c r="IYJ528" s="901"/>
      <c r="IYK528" s="901"/>
      <c r="IYL528" s="901"/>
      <c r="IYM528" s="901"/>
      <c r="IYN528" s="901"/>
      <c r="IYO528" s="901"/>
      <c r="IYP528" s="901"/>
      <c r="IYQ528" s="901"/>
      <c r="IYR528" s="901"/>
      <c r="IYS528" s="901"/>
      <c r="IYT528" s="901"/>
      <c r="IYU528" s="901"/>
      <c r="IYV528" s="901"/>
      <c r="IYW528" s="901"/>
      <c r="IYX528" s="901"/>
      <c r="IYY528" s="901"/>
      <c r="IYZ528" s="901"/>
      <c r="IZA528" s="901"/>
      <c r="IZB528" s="901"/>
      <c r="IZC528" s="901"/>
      <c r="IZD528" s="901"/>
      <c r="IZE528" s="901"/>
      <c r="IZF528" s="901"/>
      <c r="IZG528" s="901"/>
      <c r="IZH528" s="901"/>
      <c r="IZI528" s="901"/>
      <c r="IZJ528" s="901"/>
      <c r="IZK528" s="901"/>
      <c r="IZL528" s="901"/>
      <c r="IZM528" s="901"/>
      <c r="IZN528" s="901"/>
      <c r="IZO528" s="901"/>
      <c r="IZP528" s="901"/>
      <c r="IZQ528" s="901"/>
      <c r="IZR528" s="901"/>
      <c r="IZS528" s="901"/>
      <c r="IZT528" s="901"/>
      <c r="IZU528" s="901"/>
      <c r="IZV528" s="901"/>
      <c r="IZW528" s="901"/>
      <c r="IZX528" s="901"/>
      <c r="IZY528" s="901"/>
      <c r="IZZ528" s="901"/>
      <c r="JAA528" s="901"/>
      <c r="JAB528" s="901"/>
      <c r="JAC528" s="901"/>
      <c r="JAD528" s="901"/>
      <c r="JAE528" s="901"/>
      <c r="JAF528" s="901"/>
      <c r="JAG528" s="901"/>
      <c r="JAH528" s="901"/>
      <c r="JAI528" s="901"/>
      <c r="JAJ528" s="901"/>
      <c r="JAK528" s="901"/>
      <c r="JAL528" s="901"/>
      <c r="JAM528" s="901"/>
      <c r="JAN528" s="901"/>
      <c r="JAO528" s="901"/>
      <c r="JAP528" s="901"/>
      <c r="JAQ528" s="901"/>
      <c r="JAR528" s="901"/>
      <c r="JAS528" s="901"/>
      <c r="JAT528" s="901"/>
      <c r="JAU528" s="901"/>
      <c r="JAV528" s="901"/>
      <c r="JAW528" s="901"/>
      <c r="JAX528" s="901"/>
      <c r="JAY528" s="901"/>
      <c r="JAZ528" s="901"/>
      <c r="JBA528" s="901"/>
      <c r="JBB528" s="901"/>
      <c r="JBC528" s="901"/>
      <c r="JBD528" s="901"/>
      <c r="JBE528" s="901"/>
      <c r="JBF528" s="901"/>
      <c r="JBG528" s="901"/>
      <c r="JBH528" s="901"/>
      <c r="JBI528" s="901"/>
      <c r="JBJ528" s="901"/>
      <c r="JBK528" s="901"/>
      <c r="JBL528" s="901"/>
      <c r="JBM528" s="901"/>
      <c r="JBN528" s="901"/>
      <c r="JBO528" s="901"/>
      <c r="JBP528" s="901"/>
      <c r="JBQ528" s="901"/>
      <c r="JBR528" s="901"/>
      <c r="JBS528" s="901"/>
      <c r="JBT528" s="901"/>
      <c r="JBU528" s="901"/>
      <c r="JBV528" s="901"/>
      <c r="JBW528" s="901"/>
      <c r="JBX528" s="901"/>
      <c r="JBY528" s="901"/>
      <c r="JBZ528" s="901"/>
      <c r="JCA528" s="901"/>
      <c r="JCB528" s="901"/>
      <c r="JCC528" s="901"/>
      <c r="JCD528" s="901"/>
      <c r="JCE528" s="901"/>
      <c r="JCF528" s="901"/>
      <c r="JCG528" s="901"/>
      <c r="JCH528" s="901"/>
      <c r="JCI528" s="901"/>
      <c r="JCJ528" s="901"/>
      <c r="JCK528" s="901"/>
      <c r="JCL528" s="901"/>
      <c r="JCM528" s="901"/>
      <c r="JCN528" s="901"/>
      <c r="JCO528" s="901"/>
      <c r="JCP528" s="901"/>
      <c r="JCQ528" s="901"/>
      <c r="JCR528" s="901"/>
      <c r="JCS528" s="901"/>
      <c r="JCT528" s="901"/>
      <c r="JCU528" s="901"/>
      <c r="JCV528" s="901"/>
      <c r="JCW528" s="901"/>
      <c r="JCX528" s="901"/>
      <c r="JCY528" s="901"/>
      <c r="JCZ528" s="901"/>
      <c r="JDA528" s="901"/>
      <c r="JDB528" s="901"/>
      <c r="JDC528" s="901"/>
      <c r="JDD528" s="901"/>
      <c r="JDE528" s="901"/>
      <c r="JDF528" s="901"/>
      <c r="JDG528" s="901"/>
      <c r="JDH528" s="901"/>
      <c r="JDI528" s="901"/>
      <c r="JDJ528" s="901"/>
      <c r="JDK528" s="901"/>
      <c r="JDL528" s="901"/>
      <c r="JDM528" s="901"/>
      <c r="JDN528" s="901"/>
      <c r="JDO528" s="901"/>
      <c r="JDP528" s="901"/>
      <c r="JDQ528" s="901"/>
      <c r="JDR528" s="901"/>
      <c r="JDS528" s="901"/>
      <c r="JDT528" s="901"/>
      <c r="JDU528" s="901"/>
      <c r="JDV528" s="901"/>
      <c r="JDW528" s="901"/>
      <c r="JDX528" s="901"/>
      <c r="JDY528" s="901"/>
      <c r="JDZ528" s="901"/>
      <c r="JEA528" s="901"/>
      <c r="JEB528" s="901"/>
      <c r="JEC528" s="901"/>
      <c r="JED528" s="901"/>
      <c r="JEE528" s="901"/>
      <c r="JEF528" s="901"/>
      <c r="JEG528" s="901"/>
      <c r="JEH528" s="901"/>
      <c r="JEI528" s="901"/>
      <c r="JEJ528" s="901"/>
      <c r="JEK528" s="901"/>
      <c r="JEL528" s="901"/>
      <c r="JEM528" s="901"/>
      <c r="JEN528" s="901"/>
      <c r="JEO528" s="901"/>
      <c r="JEP528" s="901"/>
      <c r="JEQ528" s="901"/>
      <c r="JER528" s="901"/>
      <c r="JES528" s="901"/>
      <c r="JET528" s="901"/>
      <c r="JEU528" s="901"/>
      <c r="JEV528" s="901"/>
      <c r="JEW528" s="901"/>
      <c r="JEX528" s="901"/>
      <c r="JEY528" s="901"/>
      <c r="JEZ528" s="901"/>
      <c r="JFA528" s="901"/>
      <c r="JFB528" s="901"/>
      <c r="JFC528" s="901"/>
      <c r="JFD528" s="901"/>
      <c r="JFE528" s="901"/>
      <c r="JFF528" s="901"/>
      <c r="JFG528" s="901"/>
      <c r="JFH528" s="901"/>
      <c r="JFI528" s="901"/>
      <c r="JFJ528" s="901"/>
      <c r="JFK528" s="901"/>
      <c r="JFL528" s="901"/>
      <c r="JFM528" s="901"/>
      <c r="JFN528" s="901"/>
      <c r="JFO528" s="901"/>
      <c r="JFP528" s="901"/>
      <c r="JFQ528" s="901"/>
      <c r="JFR528" s="901"/>
      <c r="JFS528" s="901"/>
      <c r="JFT528" s="901"/>
      <c r="JFU528" s="901"/>
      <c r="JFV528" s="901"/>
      <c r="JFW528" s="901"/>
      <c r="JFX528" s="901"/>
      <c r="JFY528" s="901"/>
      <c r="JFZ528" s="901"/>
      <c r="JGA528" s="901"/>
      <c r="JGB528" s="901"/>
      <c r="JGC528" s="901"/>
      <c r="JGD528" s="901"/>
      <c r="JGE528" s="901"/>
      <c r="JGF528" s="901"/>
      <c r="JGG528" s="901"/>
      <c r="JGH528" s="901"/>
      <c r="JGI528" s="901"/>
      <c r="JGJ528" s="901"/>
      <c r="JGK528" s="901"/>
      <c r="JGL528" s="901"/>
      <c r="JGM528" s="901"/>
      <c r="JGN528" s="901"/>
      <c r="JGO528" s="901"/>
      <c r="JGP528" s="901"/>
      <c r="JGQ528" s="901"/>
      <c r="JGR528" s="901"/>
      <c r="JGS528" s="901"/>
      <c r="JGT528" s="901"/>
      <c r="JGU528" s="901"/>
      <c r="JGV528" s="901"/>
      <c r="JGW528" s="901"/>
      <c r="JGX528" s="901"/>
      <c r="JGY528" s="901"/>
      <c r="JGZ528" s="901"/>
      <c r="JHA528" s="901"/>
      <c r="JHB528" s="901"/>
      <c r="JHC528" s="901"/>
      <c r="JHD528" s="901"/>
      <c r="JHE528" s="901"/>
      <c r="JHF528" s="901"/>
      <c r="JHG528" s="901"/>
      <c r="JHH528" s="901"/>
      <c r="JHI528" s="901"/>
      <c r="JHJ528" s="901"/>
      <c r="JHK528" s="901"/>
      <c r="JHL528" s="901"/>
      <c r="JHM528" s="901"/>
      <c r="JHN528" s="901"/>
      <c r="JHO528" s="901"/>
      <c r="JHP528" s="901"/>
      <c r="JHQ528" s="901"/>
      <c r="JHR528" s="901"/>
      <c r="JHS528" s="901"/>
      <c r="JHT528" s="901"/>
      <c r="JHU528" s="901"/>
      <c r="JHV528" s="901"/>
      <c r="JHW528" s="901"/>
      <c r="JHX528" s="901"/>
      <c r="JHY528" s="901"/>
      <c r="JHZ528" s="901"/>
      <c r="JIA528" s="901"/>
      <c r="JIB528" s="901"/>
      <c r="JIC528" s="901"/>
      <c r="JID528" s="901"/>
      <c r="JIE528" s="901"/>
      <c r="JIF528" s="901"/>
      <c r="JIG528" s="901"/>
      <c r="JIH528" s="901"/>
      <c r="JII528" s="901"/>
      <c r="JIJ528" s="901"/>
      <c r="JIK528" s="901"/>
      <c r="JIL528" s="901"/>
      <c r="JIM528" s="901"/>
      <c r="JIN528" s="901"/>
      <c r="JIO528" s="901"/>
      <c r="JIP528" s="901"/>
      <c r="JIQ528" s="901"/>
      <c r="JIR528" s="901"/>
      <c r="JIS528" s="901"/>
      <c r="JIT528" s="901"/>
      <c r="JIU528" s="901"/>
      <c r="JIV528" s="901"/>
      <c r="JIW528" s="901"/>
      <c r="JIX528" s="901"/>
      <c r="JIY528" s="901"/>
      <c r="JIZ528" s="901"/>
      <c r="JJA528" s="901"/>
      <c r="JJB528" s="901"/>
      <c r="JJC528" s="901"/>
      <c r="JJD528" s="901"/>
      <c r="JJE528" s="901"/>
      <c r="JJF528" s="901"/>
      <c r="JJG528" s="901"/>
      <c r="JJH528" s="901"/>
      <c r="JJI528" s="901"/>
      <c r="JJJ528" s="901"/>
      <c r="JJK528" s="901"/>
      <c r="JJL528" s="901"/>
      <c r="JJM528" s="901"/>
      <c r="JJN528" s="901"/>
      <c r="JJO528" s="901"/>
      <c r="JJP528" s="901"/>
      <c r="JJQ528" s="901"/>
      <c r="JJR528" s="901"/>
      <c r="JJS528" s="901"/>
      <c r="JJT528" s="901"/>
      <c r="JJU528" s="901"/>
      <c r="JJV528" s="901"/>
      <c r="JJW528" s="901"/>
      <c r="JJX528" s="901"/>
      <c r="JJY528" s="901"/>
      <c r="JJZ528" s="901"/>
      <c r="JKA528" s="901"/>
      <c r="JKB528" s="901"/>
      <c r="JKC528" s="901"/>
      <c r="JKD528" s="901"/>
      <c r="JKE528" s="901"/>
      <c r="JKF528" s="901"/>
      <c r="JKG528" s="901"/>
      <c r="JKH528" s="901"/>
      <c r="JKI528" s="901"/>
      <c r="JKJ528" s="901"/>
      <c r="JKK528" s="901"/>
      <c r="JKL528" s="901"/>
      <c r="JKM528" s="901"/>
      <c r="JKN528" s="901"/>
      <c r="JKO528" s="901"/>
      <c r="JKP528" s="901"/>
      <c r="JKQ528" s="901"/>
      <c r="JKR528" s="901"/>
      <c r="JKS528" s="901"/>
      <c r="JKT528" s="901"/>
      <c r="JKU528" s="901"/>
      <c r="JKV528" s="901"/>
      <c r="JKW528" s="901"/>
      <c r="JKX528" s="901"/>
      <c r="JKY528" s="901"/>
      <c r="JKZ528" s="901"/>
      <c r="JLA528" s="901"/>
      <c r="JLB528" s="901"/>
      <c r="JLC528" s="901"/>
      <c r="JLD528" s="901"/>
      <c r="JLE528" s="901"/>
      <c r="JLF528" s="901"/>
      <c r="JLG528" s="901"/>
      <c r="JLH528" s="901"/>
      <c r="JLI528" s="901"/>
      <c r="JLJ528" s="901"/>
      <c r="JLK528" s="901"/>
      <c r="JLL528" s="901"/>
      <c r="JLM528" s="901"/>
      <c r="JLN528" s="901"/>
      <c r="JLO528" s="901"/>
      <c r="JLP528" s="901"/>
      <c r="JLQ528" s="901"/>
      <c r="JLR528" s="901"/>
      <c r="JLS528" s="901"/>
      <c r="JLT528" s="901"/>
      <c r="JLU528" s="901"/>
      <c r="JLV528" s="901"/>
      <c r="JLW528" s="901"/>
      <c r="JLX528" s="901"/>
      <c r="JLY528" s="901"/>
      <c r="JLZ528" s="901"/>
      <c r="JMA528" s="901"/>
      <c r="JMB528" s="901"/>
      <c r="JMC528" s="901"/>
      <c r="JMD528" s="901"/>
      <c r="JME528" s="901"/>
      <c r="JMF528" s="901"/>
      <c r="JMG528" s="901"/>
      <c r="JMH528" s="901"/>
      <c r="JMI528" s="901"/>
      <c r="JMJ528" s="901"/>
      <c r="JMK528" s="901"/>
      <c r="JML528" s="901"/>
      <c r="JMM528" s="901"/>
      <c r="JMN528" s="901"/>
      <c r="JMO528" s="901"/>
      <c r="JMP528" s="901"/>
      <c r="JMQ528" s="901"/>
      <c r="JMR528" s="901"/>
      <c r="JMS528" s="901"/>
      <c r="JMT528" s="901"/>
      <c r="JMU528" s="901"/>
      <c r="JMV528" s="901"/>
      <c r="JMW528" s="901"/>
      <c r="JMX528" s="901"/>
      <c r="JMY528" s="901"/>
      <c r="JMZ528" s="901"/>
      <c r="JNA528" s="901"/>
      <c r="JNB528" s="901"/>
      <c r="JNC528" s="901"/>
      <c r="JND528" s="901"/>
      <c r="JNE528" s="901"/>
      <c r="JNF528" s="901"/>
      <c r="JNG528" s="901"/>
      <c r="JNH528" s="901"/>
      <c r="JNI528" s="901"/>
      <c r="JNJ528" s="901"/>
      <c r="JNK528" s="901"/>
      <c r="JNL528" s="901"/>
      <c r="JNM528" s="901"/>
      <c r="JNN528" s="901"/>
      <c r="JNO528" s="901"/>
      <c r="JNP528" s="901"/>
      <c r="JNQ528" s="901"/>
      <c r="JNR528" s="901"/>
      <c r="JNS528" s="901"/>
      <c r="JNT528" s="901"/>
      <c r="JNU528" s="901"/>
      <c r="JNV528" s="901"/>
      <c r="JNW528" s="901"/>
      <c r="JNX528" s="901"/>
      <c r="JNY528" s="901"/>
      <c r="JNZ528" s="901"/>
      <c r="JOA528" s="901"/>
      <c r="JOB528" s="901"/>
      <c r="JOC528" s="901"/>
      <c r="JOD528" s="901"/>
      <c r="JOE528" s="901"/>
      <c r="JOF528" s="901"/>
      <c r="JOG528" s="901"/>
      <c r="JOH528" s="901"/>
      <c r="JOI528" s="901"/>
      <c r="JOJ528" s="901"/>
      <c r="JOK528" s="901"/>
      <c r="JOL528" s="901"/>
      <c r="JOM528" s="901"/>
      <c r="JON528" s="901"/>
      <c r="JOO528" s="901"/>
      <c r="JOP528" s="901"/>
      <c r="JOQ528" s="901"/>
      <c r="JOR528" s="901"/>
      <c r="JOS528" s="901"/>
      <c r="JOT528" s="901"/>
      <c r="JOU528" s="901"/>
      <c r="JOV528" s="901"/>
      <c r="JOW528" s="901"/>
      <c r="JOX528" s="901"/>
      <c r="JOY528" s="901"/>
      <c r="JOZ528" s="901"/>
      <c r="JPA528" s="901"/>
      <c r="JPB528" s="901"/>
      <c r="JPC528" s="901"/>
      <c r="JPD528" s="901"/>
      <c r="JPE528" s="901"/>
      <c r="JPF528" s="901"/>
      <c r="JPG528" s="901"/>
      <c r="JPH528" s="901"/>
      <c r="JPI528" s="901"/>
      <c r="JPJ528" s="901"/>
      <c r="JPK528" s="901"/>
      <c r="JPL528" s="901"/>
      <c r="JPM528" s="901"/>
      <c r="JPN528" s="901"/>
      <c r="JPO528" s="901"/>
      <c r="JPP528" s="901"/>
      <c r="JPQ528" s="901"/>
      <c r="JPR528" s="901"/>
      <c r="JPS528" s="901"/>
      <c r="JPT528" s="901"/>
      <c r="JPU528" s="901"/>
      <c r="JPV528" s="901"/>
      <c r="JPW528" s="901"/>
      <c r="JPX528" s="901"/>
      <c r="JPY528" s="901"/>
      <c r="JPZ528" s="901"/>
      <c r="JQA528" s="901"/>
      <c r="JQB528" s="901"/>
      <c r="JQC528" s="901"/>
      <c r="JQD528" s="901"/>
      <c r="JQE528" s="901"/>
      <c r="JQF528" s="901"/>
      <c r="JQG528" s="901"/>
      <c r="JQH528" s="901"/>
      <c r="JQI528" s="901"/>
      <c r="JQJ528" s="901"/>
      <c r="JQK528" s="901"/>
      <c r="JQL528" s="901"/>
      <c r="JQM528" s="901"/>
      <c r="JQN528" s="901"/>
      <c r="JQO528" s="901"/>
      <c r="JQP528" s="901"/>
      <c r="JQQ528" s="901"/>
      <c r="JQR528" s="901"/>
      <c r="JQS528" s="901"/>
      <c r="JQT528" s="901"/>
      <c r="JQU528" s="901"/>
      <c r="JQV528" s="901"/>
      <c r="JQW528" s="901"/>
      <c r="JQX528" s="901"/>
      <c r="JQY528" s="901"/>
      <c r="JQZ528" s="901"/>
      <c r="JRA528" s="901"/>
      <c r="JRB528" s="901"/>
      <c r="JRC528" s="901"/>
      <c r="JRD528" s="901"/>
      <c r="JRE528" s="901"/>
      <c r="JRF528" s="901"/>
      <c r="JRG528" s="901"/>
      <c r="JRH528" s="901"/>
      <c r="JRI528" s="901"/>
      <c r="JRJ528" s="901"/>
      <c r="JRK528" s="901"/>
      <c r="JRL528" s="901"/>
      <c r="JRM528" s="901"/>
      <c r="JRN528" s="901"/>
      <c r="JRO528" s="901"/>
      <c r="JRP528" s="901"/>
      <c r="JRQ528" s="901"/>
      <c r="JRR528" s="901"/>
      <c r="JRS528" s="901"/>
      <c r="JRT528" s="901"/>
      <c r="JRU528" s="901"/>
      <c r="JRV528" s="901"/>
      <c r="JRW528" s="901"/>
      <c r="JRX528" s="901"/>
      <c r="JRY528" s="901"/>
      <c r="JRZ528" s="901"/>
      <c r="JSA528" s="901"/>
      <c r="JSB528" s="901"/>
      <c r="JSC528" s="901"/>
      <c r="JSD528" s="901"/>
      <c r="JSE528" s="901"/>
      <c r="JSF528" s="901"/>
      <c r="JSG528" s="901"/>
      <c r="JSH528" s="901"/>
      <c r="JSI528" s="901"/>
      <c r="JSJ528" s="901"/>
      <c r="JSK528" s="901"/>
      <c r="JSL528" s="901"/>
      <c r="JSM528" s="901"/>
      <c r="JSN528" s="901"/>
      <c r="JSO528" s="901"/>
      <c r="JSP528" s="901"/>
      <c r="JSQ528" s="901"/>
      <c r="JSR528" s="901"/>
      <c r="JSS528" s="901"/>
      <c r="JST528" s="901"/>
      <c r="JSU528" s="901"/>
      <c r="JSV528" s="901"/>
      <c r="JSW528" s="901"/>
      <c r="JSX528" s="901"/>
      <c r="JSY528" s="901"/>
      <c r="JSZ528" s="901"/>
      <c r="JTA528" s="901"/>
      <c r="JTB528" s="901"/>
      <c r="JTC528" s="901"/>
      <c r="JTD528" s="901"/>
      <c r="JTE528" s="901"/>
      <c r="JTF528" s="901"/>
      <c r="JTG528" s="901"/>
      <c r="JTH528" s="901"/>
      <c r="JTI528" s="901"/>
      <c r="JTJ528" s="901"/>
      <c r="JTK528" s="901"/>
      <c r="JTL528" s="901"/>
      <c r="JTM528" s="901"/>
      <c r="JTN528" s="901"/>
      <c r="JTO528" s="901"/>
      <c r="JTP528" s="901"/>
      <c r="JTQ528" s="901"/>
      <c r="JTR528" s="901"/>
      <c r="JTS528" s="901"/>
      <c r="JTT528" s="901"/>
      <c r="JTU528" s="901"/>
      <c r="JTV528" s="901"/>
      <c r="JTW528" s="901"/>
      <c r="JTX528" s="901"/>
      <c r="JTY528" s="901"/>
      <c r="JTZ528" s="901"/>
      <c r="JUA528" s="901"/>
      <c r="JUB528" s="901"/>
      <c r="JUC528" s="901"/>
      <c r="JUD528" s="901"/>
      <c r="JUE528" s="901"/>
      <c r="JUF528" s="901"/>
      <c r="JUG528" s="901"/>
      <c r="JUH528" s="901"/>
      <c r="JUI528" s="901"/>
      <c r="JUJ528" s="901"/>
      <c r="JUK528" s="901"/>
      <c r="JUL528" s="901"/>
      <c r="JUM528" s="901"/>
      <c r="JUN528" s="901"/>
      <c r="JUO528" s="901"/>
      <c r="JUP528" s="901"/>
      <c r="JUQ528" s="901"/>
      <c r="JUR528" s="901"/>
      <c r="JUS528" s="901"/>
      <c r="JUT528" s="901"/>
      <c r="JUU528" s="901"/>
      <c r="JUV528" s="901"/>
      <c r="JUW528" s="901"/>
      <c r="JUX528" s="901"/>
      <c r="JUY528" s="901"/>
      <c r="JUZ528" s="901"/>
      <c r="JVA528" s="901"/>
      <c r="JVB528" s="901"/>
      <c r="JVC528" s="901"/>
      <c r="JVD528" s="901"/>
      <c r="JVE528" s="901"/>
      <c r="JVF528" s="901"/>
      <c r="JVG528" s="901"/>
      <c r="JVH528" s="901"/>
      <c r="JVI528" s="901"/>
      <c r="JVJ528" s="901"/>
      <c r="JVK528" s="901"/>
      <c r="JVL528" s="901"/>
      <c r="JVM528" s="901"/>
      <c r="JVN528" s="901"/>
      <c r="JVO528" s="901"/>
      <c r="JVP528" s="901"/>
      <c r="JVQ528" s="901"/>
      <c r="JVR528" s="901"/>
      <c r="JVS528" s="901"/>
      <c r="JVT528" s="901"/>
      <c r="JVU528" s="901"/>
      <c r="JVV528" s="901"/>
      <c r="JVW528" s="901"/>
      <c r="JVX528" s="901"/>
      <c r="JVY528" s="901"/>
      <c r="JVZ528" s="901"/>
      <c r="JWA528" s="901"/>
      <c r="JWB528" s="901"/>
      <c r="JWC528" s="901"/>
      <c r="JWD528" s="901"/>
      <c r="JWE528" s="901"/>
      <c r="JWF528" s="901"/>
      <c r="JWG528" s="901"/>
      <c r="JWH528" s="901"/>
      <c r="JWI528" s="901"/>
      <c r="JWJ528" s="901"/>
      <c r="JWK528" s="901"/>
      <c r="JWL528" s="901"/>
      <c r="JWM528" s="901"/>
      <c r="JWN528" s="901"/>
      <c r="JWO528" s="901"/>
      <c r="JWP528" s="901"/>
      <c r="JWQ528" s="901"/>
      <c r="JWR528" s="901"/>
      <c r="JWS528" s="901"/>
      <c r="JWT528" s="901"/>
      <c r="JWU528" s="901"/>
      <c r="JWV528" s="901"/>
      <c r="JWW528" s="901"/>
      <c r="JWX528" s="901"/>
      <c r="JWY528" s="901"/>
      <c r="JWZ528" s="901"/>
      <c r="JXA528" s="901"/>
      <c r="JXB528" s="901"/>
      <c r="JXC528" s="901"/>
      <c r="JXD528" s="901"/>
      <c r="JXE528" s="901"/>
      <c r="JXF528" s="901"/>
      <c r="JXG528" s="901"/>
      <c r="JXH528" s="901"/>
      <c r="JXI528" s="901"/>
      <c r="JXJ528" s="901"/>
      <c r="JXK528" s="901"/>
      <c r="JXL528" s="901"/>
      <c r="JXM528" s="901"/>
      <c r="JXN528" s="901"/>
      <c r="JXO528" s="901"/>
      <c r="JXP528" s="901"/>
      <c r="JXQ528" s="901"/>
      <c r="JXR528" s="901"/>
      <c r="JXS528" s="901"/>
      <c r="JXT528" s="901"/>
      <c r="JXU528" s="901"/>
      <c r="JXV528" s="901"/>
      <c r="JXW528" s="901"/>
      <c r="JXX528" s="901"/>
      <c r="JXY528" s="901"/>
      <c r="JXZ528" s="901"/>
      <c r="JYA528" s="901"/>
      <c r="JYB528" s="901"/>
      <c r="JYC528" s="901"/>
      <c r="JYD528" s="901"/>
      <c r="JYE528" s="901"/>
      <c r="JYF528" s="901"/>
      <c r="JYG528" s="901"/>
      <c r="JYH528" s="901"/>
      <c r="JYI528" s="901"/>
      <c r="JYJ528" s="901"/>
      <c r="JYK528" s="901"/>
      <c r="JYL528" s="901"/>
      <c r="JYM528" s="901"/>
      <c r="JYN528" s="901"/>
      <c r="JYO528" s="901"/>
      <c r="JYP528" s="901"/>
      <c r="JYQ528" s="901"/>
      <c r="JYR528" s="901"/>
      <c r="JYS528" s="901"/>
      <c r="JYT528" s="901"/>
      <c r="JYU528" s="901"/>
      <c r="JYV528" s="901"/>
      <c r="JYW528" s="901"/>
      <c r="JYX528" s="901"/>
      <c r="JYY528" s="901"/>
      <c r="JYZ528" s="901"/>
      <c r="JZA528" s="901"/>
      <c r="JZB528" s="901"/>
      <c r="JZC528" s="901"/>
      <c r="JZD528" s="901"/>
      <c r="JZE528" s="901"/>
      <c r="JZF528" s="901"/>
      <c r="JZG528" s="901"/>
      <c r="JZH528" s="901"/>
      <c r="JZI528" s="901"/>
      <c r="JZJ528" s="901"/>
      <c r="JZK528" s="901"/>
      <c r="JZL528" s="901"/>
      <c r="JZM528" s="901"/>
      <c r="JZN528" s="901"/>
      <c r="JZO528" s="901"/>
      <c r="JZP528" s="901"/>
      <c r="JZQ528" s="901"/>
      <c r="JZR528" s="901"/>
      <c r="JZS528" s="901"/>
      <c r="JZT528" s="901"/>
      <c r="JZU528" s="901"/>
      <c r="JZV528" s="901"/>
      <c r="JZW528" s="901"/>
      <c r="JZX528" s="901"/>
      <c r="JZY528" s="901"/>
      <c r="JZZ528" s="901"/>
      <c r="KAA528" s="901"/>
      <c r="KAB528" s="901"/>
      <c r="KAC528" s="901"/>
      <c r="KAD528" s="901"/>
      <c r="KAE528" s="901"/>
      <c r="KAF528" s="901"/>
      <c r="KAG528" s="901"/>
      <c r="KAH528" s="901"/>
      <c r="KAI528" s="901"/>
      <c r="KAJ528" s="901"/>
      <c r="KAK528" s="901"/>
      <c r="KAL528" s="901"/>
      <c r="KAM528" s="901"/>
      <c r="KAN528" s="901"/>
      <c r="KAO528" s="901"/>
      <c r="KAP528" s="901"/>
      <c r="KAQ528" s="901"/>
      <c r="KAR528" s="901"/>
      <c r="KAS528" s="901"/>
      <c r="KAT528" s="901"/>
      <c r="KAU528" s="901"/>
      <c r="KAV528" s="901"/>
      <c r="KAW528" s="901"/>
      <c r="KAX528" s="901"/>
      <c r="KAY528" s="901"/>
      <c r="KAZ528" s="901"/>
      <c r="KBA528" s="901"/>
      <c r="KBB528" s="901"/>
      <c r="KBC528" s="901"/>
      <c r="KBD528" s="901"/>
      <c r="KBE528" s="901"/>
      <c r="KBF528" s="901"/>
      <c r="KBG528" s="901"/>
      <c r="KBH528" s="901"/>
      <c r="KBI528" s="901"/>
      <c r="KBJ528" s="901"/>
      <c r="KBK528" s="901"/>
      <c r="KBL528" s="901"/>
      <c r="KBM528" s="901"/>
      <c r="KBN528" s="901"/>
      <c r="KBO528" s="901"/>
      <c r="KBP528" s="901"/>
      <c r="KBQ528" s="901"/>
      <c r="KBR528" s="901"/>
      <c r="KBS528" s="901"/>
      <c r="KBT528" s="901"/>
      <c r="KBU528" s="901"/>
      <c r="KBV528" s="901"/>
      <c r="KBW528" s="901"/>
      <c r="KBX528" s="901"/>
      <c r="KBY528" s="901"/>
      <c r="KBZ528" s="901"/>
      <c r="KCA528" s="901"/>
      <c r="KCB528" s="901"/>
      <c r="KCC528" s="901"/>
      <c r="KCD528" s="901"/>
      <c r="KCE528" s="901"/>
      <c r="KCF528" s="901"/>
      <c r="KCG528" s="901"/>
      <c r="KCH528" s="901"/>
      <c r="KCI528" s="901"/>
      <c r="KCJ528" s="901"/>
      <c r="KCK528" s="901"/>
      <c r="KCL528" s="901"/>
      <c r="KCM528" s="901"/>
      <c r="KCN528" s="901"/>
      <c r="KCO528" s="901"/>
      <c r="KCP528" s="901"/>
      <c r="KCQ528" s="901"/>
      <c r="KCR528" s="901"/>
      <c r="KCS528" s="901"/>
      <c r="KCT528" s="901"/>
      <c r="KCU528" s="901"/>
      <c r="KCV528" s="901"/>
      <c r="KCW528" s="901"/>
      <c r="KCX528" s="901"/>
      <c r="KCY528" s="901"/>
      <c r="KCZ528" s="901"/>
      <c r="KDA528" s="901"/>
      <c r="KDB528" s="901"/>
      <c r="KDC528" s="901"/>
      <c r="KDD528" s="901"/>
      <c r="KDE528" s="901"/>
      <c r="KDF528" s="901"/>
      <c r="KDG528" s="901"/>
      <c r="KDH528" s="901"/>
      <c r="KDI528" s="901"/>
      <c r="KDJ528" s="901"/>
      <c r="KDK528" s="901"/>
      <c r="KDL528" s="901"/>
      <c r="KDM528" s="901"/>
      <c r="KDN528" s="901"/>
      <c r="KDO528" s="901"/>
      <c r="KDP528" s="901"/>
      <c r="KDQ528" s="901"/>
      <c r="KDR528" s="901"/>
      <c r="KDS528" s="901"/>
      <c r="KDT528" s="901"/>
      <c r="KDU528" s="901"/>
      <c r="KDV528" s="901"/>
      <c r="KDW528" s="901"/>
      <c r="KDX528" s="901"/>
      <c r="KDY528" s="901"/>
      <c r="KDZ528" s="901"/>
      <c r="KEA528" s="901"/>
      <c r="KEB528" s="901"/>
      <c r="KEC528" s="901"/>
      <c r="KED528" s="901"/>
      <c r="KEE528" s="901"/>
      <c r="KEF528" s="901"/>
      <c r="KEG528" s="901"/>
      <c r="KEH528" s="901"/>
      <c r="KEI528" s="901"/>
      <c r="KEJ528" s="901"/>
      <c r="KEK528" s="901"/>
      <c r="KEL528" s="901"/>
      <c r="KEM528" s="901"/>
      <c r="KEN528" s="901"/>
      <c r="KEO528" s="901"/>
      <c r="KEP528" s="901"/>
      <c r="KEQ528" s="901"/>
      <c r="KER528" s="901"/>
      <c r="KES528" s="901"/>
      <c r="KET528" s="901"/>
      <c r="KEU528" s="901"/>
      <c r="KEV528" s="901"/>
      <c r="KEW528" s="901"/>
      <c r="KEX528" s="901"/>
      <c r="KEY528" s="901"/>
      <c r="KEZ528" s="901"/>
      <c r="KFA528" s="901"/>
      <c r="KFB528" s="901"/>
      <c r="KFC528" s="901"/>
      <c r="KFD528" s="901"/>
      <c r="KFE528" s="901"/>
      <c r="KFF528" s="901"/>
      <c r="KFG528" s="901"/>
      <c r="KFH528" s="901"/>
      <c r="KFI528" s="901"/>
      <c r="KFJ528" s="901"/>
      <c r="KFK528" s="901"/>
      <c r="KFL528" s="901"/>
      <c r="KFM528" s="901"/>
      <c r="KFN528" s="901"/>
      <c r="KFO528" s="901"/>
      <c r="KFP528" s="901"/>
      <c r="KFQ528" s="901"/>
      <c r="KFR528" s="901"/>
      <c r="KFS528" s="901"/>
      <c r="KFT528" s="901"/>
      <c r="KFU528" s="901"/>
      <c r="KFV528" s="901"/>
      <c r="KFW528" s="901"/>
      <c r="KFX528" s="901"/>
      <c r="KFY528" s="901"/>
      <c r="KFZ528" s="901"/>
      <c r="KGA528" s="901"/>
      <c r="KGB528" s="901"/>
      <c r="KGC528" s="901"/>
      <c r="KGD528" s="901"/>
      <c r="KGE528" s="901"/>
      <c r="KGF528" s="901"/>
      <c r="KGG528" s="901"/>
      <c r="KGH528" s="901"/>
      <c r="KGI528" s="901"/>
      <c r="KGJ528" s="901"/>
      <c r="KGK528" s="901"/>
      <c r="KGL528" s="901"/>
      <c r="KGM528" s="901"/>
      <c r="KGN528" s="901"/>
      <c r="KGO528" s="901"/>
      <c r="KGP528" s="901"/>
      <c r="KGQ528" s="901"/>
      <c r="KGR528" s="901"/>
      <c r="KGS528" s="901"/>
      <c r="KGT528" s="901"/>
      <c r="KGU528" s="901"/>
      <c r="KGV528" s="901"/>
      <c r="KGW528" s="901"/>
      <c r="KGX528" s="901"/>
      <c r="KGY528" s="901"/>
      <c r="KGZ528" s="901"/>
      <c r="KHA528" s="901"/>
      <c r="KHB528" s="901"/>
      <c r="KHC528" s="901"/>
      <c r="KHD528" s="901"/>
      <c r="KHE528" s="901"/>
      <c r="KHF528" s="901"/>
      <c r="KHG528" s="901"/>
      <c r="KHH528" s="901"/>
      <c r="KHI528" s="901"/>
      <c r="KHJ528" s="901"/>
      <c r="KHK528" s="901"/>
      <c r="KHL528" s="901"/>
      <c r="KHM528" s="901"/>
      <c r="KHN528" s="901"/>
      <c r="KHO528" s="901"/>
      <c r="KHP528" s="901"/>
      <c r="KHQ528" s="901"/>
      <c r="KHR528" s="901"/>
      <c r="KHS528" s="901"/>
      <c r="KHT528" s="901"/>
      <c r="KHU528" s="901"/>
      <c r="KHV528" s="901"/>
      <c r="KHW528" s="901"/>
      <c r="KHX528" s="901"/>
      <c r="KHY528" s="901"/>
      <c r="KHZ528" s="901"/>
      <c r="KIA528" s="901"/>
      <c r="KIB528" s="901"/>
      <c r="KIC528" s="901"/>
      <c r="KID528" s="901"/>
      <c r="KIE528" s="901"/>
      <c r="KIF528" s="901"/>
      <c r="KIG528" s="901"/>
      <c r="KIH528" s="901"/>
      <c r="KII528" s="901"/>
      <c r="KIJ528" s="901"/>
      <c r="KIK528" s="901"/>
      <c r="KIL528" s="901"/>
      <c r="KIM528" s="901"/>
      <c r="KIN528" s="901"/>
      <c r="KIO528" s="901"/>
      <c r="KIP528" s="901"/>
      <c r="KIQ528" s="901"/>
      <c r="KIR528" s="901"/>
      <c r="KIS528" s="901"/>
      <c r="KIT528" s="901"/>
      <c r="KIU528" s="901"/>
      <c r="KIV528" s="901"/>
      <c r="KIW528" s="901"/>
      <c r="KIX528" s="901"/>
      <c r="KIY528" s="901"/>
      <c r="KIZ528" s="901"/>
      <c r="KJA528" s="901"/>
      <c r="KJB528" s="901"/>
      <c r="KJC528" s="901"/>
      <c r="KJD528" s="901"/>
      <c r="KJE528" s="901"/>
      <c r="KJF528" s="901"/>
      <c r="KJG528" s="901"/>
      <c r="KJH528" s="901"/>
      <c r="KJI528" s="901"/>
      <c r="KJJ528" s="901"/>
      <c r="KJK528" s="901"/>
      <c r="KJL528" s="901"/>
      <c r="KJM528" s="901"/>
      <c r="KJN528" s="901"/>
      <c r="KJO528" s="901"/>
      <c r="KJP528" s="901"/>
      <c r="KJQ528" s="901"/>
      <c r="KJR528" s="901"/>
      <c r="KJS528" s="901"/>
      <c r="KJT528" s="901"/>
      <c r="KJU528" s="901"/>
      <c r="KJV528" s="901"/>
      <c r="KJW528" s="901"/>
      <c r="KJX528" s="901"/>
      <c r="KJY528" s="901"/>
      <c r="KJZ528" s="901"/>
      <c r="KKA528" s="901"/>
      <c r="KKB528" s="901"/>
      <c r="KKC528" s="901"/>
      <c r="KKD528" s="901"/>
      <c r="KKE528" s="901"/>
      <c r="KKF528" s="901"/>
      <c r="KKG528" s="901"/>
      <c r="KKH528" s="901"/>
      <c r="KKI528" s="901"/>
      <c r="KKJ528" s="901"/>
      <c r="KKK528" s="901"/>
      <c r="KKL528" s="901"/>
      <c r="KKM528" s="901"/>
      <c r="KKN528" s="901"/>
      <c r="KKO528" s="901"/>
      <c r="KKP528" s="901"/>
      <c r="KKQ528" s="901"/>
      <c r="KKR528" s="901"/>
      <c r="KKS528" s="901"/>
      <c r="KKT528" s="901"/>
      <c r="KKU528" s="901"/>
      <c r="KKV528" s="901"/>
      <c r="KKW528" s="901"/>
      <c r="KKX528" s="901"/>
      <c r="KKY528" s="901"/>
      <c r="KKZ528" s="901"/>
      <c r="KLA528" s="901"/>
      <c r="KLB528" s="901"/>
      <c r="KLC528" s="901"/>
      <c r="KLD528" s="901"/>
      <c r="KLE528" s="901"/>
      <c r="KLF528" s="901"/>
      <c r="KLG528" s="901"/>
      <c r="KLH528" s="901"/>
      <c r="KLI528" s="901"/>
      <c r="KLJ528" s="901"/>
      <c r="KLK528" s="901"/>
      <c r="KLL528" s="901"/>
      <c r="KLM528" s="901"/>
      <c r="KLN528" s="901"/>
      <c r="KLO528" s="901"/>
      <c r="KLP528" s="901"/>
      <c r="KLQ528" s="901"/>
      <c r="KLR528" s="901"/>
      <c r="KLS528" s="901"/>
      <c r="KLT528" s="901"/>
      <c r="KLU528" s="901"/>
      <c r="KLV528" s="901"/>
      <c r="KLW528" s="901"/>
      <c r="KLX528" s="901"/>
      <c r="KLY528" s="901"/>
      <c r="KLZ528" s="901"/>
      <c r="KMA528" s="901"/>
      <c r="KMB528" s="901"/>
      <c r="KMC528" s="901"/>
      <c r="KMD528" s="901"/>
      <c r="KME528" s="901"/>
      <c r="KMF528" s="901"/>
      <c r="KMG528" s="901"/>
      <c r="KMH528" s="901"/>
      <c r="KMI528" s="901"/>
      <c r="KMJ528" s="901"/>
      <c r="KMK528" s="901"/>
      <c r="KML528" s="901"/>
      <c r="KMM528" s="901"/>
      <c r="KMN528" s="901"/>
      <c r="KMO528" s="901"/>
      <c r="KMP528" s="901"/>
      <c r="KMQ528" s="901"/>
      <c r="KMR528" s="901"/>
      <c r="KMS528" s="901"/>
      <c r="KMT528" s="901"/>
      <c r="KMU528" s="901"/>
      <c r="KMV528" s="901"/>
      <c r="KMW528" s="901"/>
      <c r="KMX528" s="901"/>
      <c r="KMY528" s="901"/>
      <c r="KMZ528" s="901"/>
      <c r="KNA528" s="901"/>
      <c r="KNB528" s="901"/>
      <c r="KNC528" s="901"/>
      <c r="KND528" s="901"/>
      <c r="KNE528" s="901"/>
      <c r="KNF528" s="901"/>
      <c r="KNG528" s="901"/>
      <c r="KNH528" s="901"/>
      <c r="KNI528" s="901"/>
      <c r="KNJ528" s="901"/>
      <c r="KNK528" s="901"/>
      <c r="KNL528" s="901"/>
      <c r="KNM528" s="901"/>
      <c r="KNN528" s="901"/>
      <c r="KNO528" s="901"/>
      <c r="KNP528" s="901"/>
      <c r="KNQ528" s="901"/>
      <c r="KNR528" s="901"/>
      <c r="KNS528" s="901"/>
      <c r="KNT528" s="901"/>
      <c r="KNU528" s="901"/>
      <c r="KNV528" s="901"/>
      <c r="KNW528" s="901"/>
      <c r="KNX528" s="901"/>
      <c r="KNY528" s="901"/>
      <c r="KNZ528" s="901"/>
      <c r="KOA528" s="901"/>
      <c r="KOB528" s="901"/>
      <c r="KOC528" s="901"/>
      <c r="KOD528" s="901"/>
      <c r="KOE528" s="901"/>
      <c r="KOF528" s="901"/>
      <c r="KOG528" s="901"/>
      <c r="KOH528" s="901"/>
      <c r="KOI528" s="901"/>
      <c r="KOJ528" s="901"/>
      <c r="KOK528" s="901"/>
      <c r="KOL528" s="901"/>
      <c r="KOM528" s="901"/>
      <c r="KON528" s="901"/>
      <c r="KOO528" s="901"/>
      <c r="KOP528" s="901"/>
      <c r="KOQ528" s="901"/>
      <c r="KOR528" s="901"/>
      <c r="KOS528" s="901"/>
      <c r="KOT528" s="901"/>
      <c r="KOU528" s="901"/>
      <c r="KOV528" s="901"/>
      <c r="KOW528" s="901"/>
      <c r="KOX528" s="901"/>
      <c r="KOY528" s="901"/>
      <c r="KOZ528" s="901"/>
      <c r="KPA528" s="901"/>
      <c r="KPB528" s="901"/>
      <c r="KPC528" s="901"/>
      <c r="KPD528" s="901"/>
      <c r="KPE528" s="901"/>
      <c r="KPF528" s="901"/>
      <c r="KPG528" s="901"/>
      <c r="KPH528" s="901"/>
      <c r="KPI528" s="901"/>
      <c r="KPJ528" s="901"/>
      <c r="KPK528" s="901"/>
      <c r="KPL528" s="901"/>
      <c r="KPM528" s="901"/>
      <c r="KPN528" s="901"/>
      <c r="KPO528" s="901"/>
      <c r="KPP528" s="901"/>
      <c r="KPQ528" s="901"/>
      <c r="KPR528" s="901"/>
      <c r="KPS528" s="901"/>
      <c r="KPT528" s="901"/>
      <c r="KPU528" s="901"/>
      <c r="KPV528" s="901"/>
      <c r="KPW528" s="901"/>
      <c r="KPX528" s="901"/>
      <c r="KPY528" s="901"/>
      <c r="KPZ528" s="901"/>
      <c r="KQA528" s="901"/>
      <c r="KQB528" s="901"/>
      <c r="KQC528" s="901"/>
      <c r="KQD528" s="901"/>
      <c r="KQE528" s="901"/>
      <c r="KQF528" s="901"/>
      <c r="KQG528" s="901"/>
      <c r="KQH528" s="901"/>
      <c r="KQI528" s="901"/>
      <c r="KQJ528" s="901"/>
      <c r="KQK528" s="901"/>
      <c r="KQL528" s="901"/>
      <c r="KQM528" s="901"/>
      <c r="KQN528" s="901"/>
      <c r="KQO528" s="901"/>
      <c r="KQP528" s="901"/>
      <c r="KQQ528" s="901"/>
      <c r="KQR528" s="901"/>
      <c r="KQS528" s="901"/>
      <c r="KQT528" s="901"/>
      <c r="KQU528" s="901"/>
      <c r="KQV528" s="901"/>
      <c r="KQW528" s="901"/>
      <c r="KQX528" s="901"/>
      <c r="KQY528" s="901"/>
      <c r="KQZ528" s="901"/>
      <c r="KRA528" s="901"/>
      <c r="KRB528" s="901"/>
      <c r="KRC528" s="901"/>
      <c r="KRD528" s="901"/>
      <c r="KRE528" s="901"/>
      <c r="KRF528" s="901"/>
      <c r="KRG528" s="901"/>
      <c r="KRH528" s="901"/>
      <c r="KRI528" s="901"/>
      <c r="KRJ528" s="901"/>
      <c r="KRK528" s="901"/>
      <c r="KRL528" s="901"/>
      <c r="KRM528" s="901"/>
      <c r="KRN528" s="901"/>
      <c r="KRO528" s="901"/>
      <c r="KRP528" s="901"/>
      <c r="KRQ528" s="901"/>
      <c r="KRR528" s="901"/>
      <c r="KRS528" s="901"/>
      <c r="KRT528" s="901"/>
      <c r="KRU528" s="901"/>
      <c r="KRV528" s="901"/>
      <c r="KRW528" s="901"/>
      <c r="KRX528" s="901"/>
      <c r="KRY528" s="901"/>
      <c r="KRZ528" s="901"/>
      <c r="KSA528" s="901"/>
      <c r="KSB528" s="901"/>
      <c r="KSC528" s="901"/>
      <c r="KSD528" s="901"/>
      <c r="KSE528" s="901"/>
      <c r="KSF528" s="901"/>
      <c r="KSG528" s="901"/>
      <c r="KSH528" s="901"/>
      <c r="KSI528" s="901"/>
      <c r="KSJ528" s="901"/>
      <c r="KSK528" s="901"/>
      <c r="KSL528" s="901"/>
      <c r="KSM528" s="901"/>
      <c r="KSN528" s="901"/>
      <c r="KSO528" s="901"/>
      <c r="KSP528" s="901"/>
      <c r="KSQ528" s="901"/>
      <c r="KSR528" s="901"/>
      <c r="KSS528" s="901"/>
      <c r="KST528" s="901"/>
      <c r="KSU528" s="901"/>
      <c r="KSV528" s="901"/>
      <c r="KSW528" s="901"/>
      <c r="KSX528" s="901"/>
      <c r="KSY528" s="901"/>
      <c r="KSZ528" s="901"/>
      <c r="KTA528" s="901"/>
      <c r="KTB528" s="901"/>
      <c r="KTC528" s="901"/>
      <c r="KTD528" s="901"/>
      <c r="KTE528" s="901"/>
      <c r="KTF528" s="901"/>
      <c r="KTG528" s="901"/>
      <c r="KTH528" s="901"/>
      <c r="KTI528" s="901"/>
      <c r="KTJ528" s="901"/>
      <c r="KTK528" s="901"/>
      <c r="KTL528" s="901"/>
      <c r="KTM528" s="901"/>
      <c r="KTN528" s="901"/>
      <c r="KTO528" s="901"/>
      <c r="KTP528" s="901"/>
      <c r="KTQ528" s="901"/>
      <c r="KTR528" s="901"/>
      <c r="KTS528" s="901"/>
      <c r="KTT528" s="901"/>
      <c r="KTU528" s="901"/>
      <c r="KTV528" s="901"/>
      <c r="KTW528" s="901"/>
      <c r="KTX528" s="901"/>
      <c r="KTY528" s="901"/>
      <c r="KTZ528" s="901"/>
      <c r="KUA528" s="901"/>
      <c r="KUB528" s="901"/>
      <c r="KUC528" s="901"/>
      <c r="KUD528" s="901"/>
      <c r="KUE528" s="901"/>
      <c r="KUF528" s="901"/>
      <c r="KUG528" s="901"/>
      <c r="KUH528" s="901"/>
      <c r="KUI528" s="901"/>
      <c r="KUJ528" s="901"/>
      <c r="KUK528" s="901"/>
      <c r="KUL528" s="901"/>
      <c r="KUM528" s="901"/>
      <c r="KUN528" s="901"/>
      <c r="KUO528" s="901"/>
      <c r="KUP528" s="901"/>
      <c r="KUQ528" s="901"/>
      <c r="KUR528" s="901"/>
      <c r="KUS528" s="901"/>
      <c r="KUT528" s="901"/>
      <c r="KUU528" s="901"/>
      <c r="KUV528" s="901"/>
      <c r="KUW528" s="901"/>
      <c r="KUX528" s="901"/>
      <c r="KUY528" s="901"/>
      <c r="KUZ528" s="901"/>
      <c r="KVA528" s="901"/>
      <c r="KVB528" s="901"/>
      <c r="KVC528" s="901"/>
      <c r="KVD528" s="901"/>
      <c r="KVE528" s="901"/>
      <c r="KVF528" s="901"/>
      <c r="KVG528" s="901"/>
      <c r="KVH528" s="901"/>
      <c r="KVI528" s="901"/>
      <c r="KVJ528" s="901"/>
      <c r="KVK528" s="901"/>
      <c r="KVL528" s="901"/>
      <c r="KVM528" s="901"/>
      <c r="KVN528" s="901"/>
      <c r="KVO528" s="901"/>
      <c r="KVP528" s="901"/>
      <c r="KVQ528" s="901"/>
      <c r="KVR528" s="901"/>
      <c r="KVS528" s="901"/>
      <c r="KVT528" s="901"/>
      <c r="KVU528" s="901"/>
      <c r="KVV528" s="901"/>
      <c r="KVW528" s="901"/>
      <c r="KVX528" s="901"/>
      <c r="KVY528" s="901"/>
      <c r="KVZ528" s="901"/>
      <c r="KWA528" s="901"/>
      <c r="KWB528" s="901"/>
      <c r="KWC528" s="901"/>
      <c r="KWD528" s="901"/>
      <c r="KWE528" s="901"/>
      <c r="KWF528" s="901"/>
      <c r="KWG528" s="901"/>
      <c r="KWH528" s="901"/>
      <c r="KWI528" s="901"/>
      <c r="KWJ528" s="901"/>
      <c r="KWK528" s="901"/>
      <c r="KWL528" s="901"/>
      <c r="KWM528" s="901"/>
      <c r="KWN528" s="901"/>
      <c r="KWO528" s="901"/>
      <c r="KWP528" s="901"/>
      <c r="KWQ528" s="901"/>
      <c r="KWR528" s="901"/>
      <c r="KWS528" s="901"/>
      <c r="KWT528" s="901"/>
      <c r="KWU528" s="901"/>
      <c r="KWV528" s="901"/>
      <c r="KWW528" s="901"/>
      <c r="KWX528" s="901"/>
      <c r="KWY528" s="901"/>
      <c r="KWZ528" s="901"/>
      <c r="KXA528" s="901"/>
      <c r="KXB528" s="901"/>
      <c r="KXC528" s="901"/>
      <c r="KXD528" s="901"/>
      <c r="KXE528" s="901"/>
      <c r="KXF528" s="901"/>
      <c r="KXG528" s="901"/>
      <c r="KXH528" s="901"/>
      <c r="KXI528" s="901"/>
      <c r="KXJ528" s="901"/>
      <c r="KXK528" s="901"/>
      <c r="KXL528" s="901"/>
      <c r="KXM528" s="901"/>
      <c r="KXN528" s="901"/>
      <c r="KXO528" s="901"/>
      <c r="KXP528" s="901"/>
      <c r="KXQ528" s="901"/>
      <c r="KXR528" s="901"/>
      <c r="KXS528" s="901"/>
      <c r="KXT528" s="901"/>
      <c r="KXU528" s="901"/>
      <c r="KXV528" s="901"/>
      <c r="KXW528" s="901"/>
      <c r="KXX528" s="901"/>
      <c r="KXY528" s="901"/>
      <c r="KXZ528" s="901"/>
      <c r="KYA528" s="901"/>
      <c r="KYB528" s="901"/>
      <c r="KYC528" s="901"/>
      <c r="KYD528" s="901"/>
      <c r="KYE528" s="901"/>
      <c r="KYF528" s="901"/>
      <c r="KYG528" s="901"/>
      <c r="KYH528" s="901"/>
      <c r="KYI528" s="901"/>
      <c r="KYJ528" s="901"/>
      <c r="KYK528" s="901"/>
      <c r="KYL528" s="901"/>
      <c r="KYM528" s="901"/>
      <c r="KYN528" s="901"/>
      <c r="KYO528" s="901"/>
      <c r="KYP528" s="901"/>
      <c r="KYQ528" s="901"/>
      <c r="KYR528" s="901"/>
      <c r="KYS528" s="901"/>
      <c r="KYT528" s="901"/>
      <c r="KYU528" s="901"/>
      <c r="KYV528" s="901"/>
      <c r="KYW528" s="901"/>
      <c r="KYX528" s="901"/>
      <c r="KYY528" s="901"/>
      <c r="KYZ528" s="901"/>
      <c r="KZA528" s="901"/>
      <c r="KZB528" s="901"/>
      <c r="KZC528" s="901"/>
      <c r="KZD528" s="901"/>
      <c r="KZE528" s="901"/>
      <c r="KZF528" s="901"/>
      <c r="KZG528" s="901"/>
      <c r="KZH528" s="901"/>
      <c r="KZI528" s="901"/>
      <c r="KZJ528" s="901"/>
      <c r="KZK528" s="901"/>
      <c r="KZL528" s="901"/>
      <c r="KZM528" s="901"/>
      <c r="KZN528" s="901"/>
      <c r="KZO528" s="901"/>
      <c r="KZP528" s="901"/>
      <c r="KZQ528" s="901"/>
      <c r="KZR528" s="901"/>
      <c r="KZS528" s="901"/>
      <c r="KZT528" s="901"/>
      <c r="KZU528" s="901"/>
      <c r="KZV528" s="901"/>
      <c r="KZW528" s="901"/>
      <c r="KZX528" s="901"/>
      <c r="KZY528" s="901"/>
      <c r="KZZ528" s="901"/>
      <c r="LAA528" s="901"/>
      <c r="LAB528" s="901"/>
      <c r="LAC528" s="901"/>
      <c r="LAD528" s="901"/>
      <c r="LAE528" s="901"/>
      <c r="LAF528" s="901"/>
      <c r="LAG528" s="901"/>
      <c r="LAH528" s="901"/>
      <c r="LAI528" s="901"/>
      <c r="LAJ528" s="901"/>
      <c r="LAK528" s="901"/>
      <c r="LAL528" s="901"/>
      <c r="LAM528" s="901"/>
      <c r="LAN528" s="901"/>
      <c r="LAO528" s="901"/>
      <c r="LAP528" s="901"/>
      <c r="LAQ528" s="901"/>
      <c r="LAR528" s="901"/>
      <c r="LAS528" s="901"/>
      <c r="LAT528" s="901"/>
      <c r="LAU528" s="901"/>
      <c r="LAV528" s="901"/>
      <c r="LAW528" s="901"/>
      <c r="LAX528" s="901"/>
      <c r="LAY528" s="901"/>
      <c r="LAZ528" s="901"/>
      <c r="LBA528" s="901"/>
      <c r="LBB528" s="901"/>
      <c r="LBC528" s="901"/>
      <c r="LBD528" s="901"/>
      <c r="LBE528" s="901"/>
      <c r="LBF528" s="901"/>
      <c r="LBG528" s="901"/>
      <c r="LBH528" s="901"/>
      <c r="LBI528" s="901"/>
      <c r="LBJ528" s="901"/>
      <c r="LBK528" s="901"/>
      <c r="LBL528" s="901"/>
      <c r="LBM528" s="901"/>
      <c r="LBN528" s="901"/>
      <c r="LBO528" s="901"/>
      <c r="LBP528" s="901"/>
      <c r="LBQ528" s="901"/>
      <c r="LBR528" s="901"/>
      <c r="LBS528" s="901"/>
      <c r="LBT528" s="901"/>
      <c r="LBU528" s="901"/>
      <c r="LBV528" s="901"/>
      <c r="LBW528" s="901"/>
      <c r="LBX528" s="901"/>
      <c r="LBY528" s="901"/>
      <c r="LBZ528" s="901"/>
      <c r="LCA528" s="901"/>
      <c r="LCB528" s="901"/>
      <c r="LCC528" s="901"/>
      <c r="LCD528" s="901"/>
      <c r="LCE528" s="901"/>
      <c r="LCF528" s="901"/>
      <c r="LCG528" s="901"/>
      <c r="LCH528" s="901"/>
      <c r="LCI528" s="901"/>
      <c r="LCJ528" s="901"/>
      <c r="LCK528" s="901"/>
      <c r="LCL528" s="901"/>
      <c r="LCM528" s="901"/>
      <c r="LCN528" s="901"/>
      <c r="LCO528" s="901"/>
      <c r="LCP528" s="901"/>
      <c r="LCQ528" s="901"/>
      <c r="LCR528" s="901"/>
      <c r="LCS528" s="901"/>
      <c r="LCT528" s="901"/>
      <c r="LCU528" s="901"/>
      <c r="LCV528" s="901"/>
      <c r="LCW528" s="901"/>
      <c r="LCX528" s="901"/>
      <c r="LCY528" s="901"/>
      <c r="LCZ528" s="901"/>
      <c r="LDA528" s="901"/>
      <c r="LDB528" s="901"/>
      <c r="LDC528" s="901"/>
      <c r="LDD528" s="901"/>
      <c r="LDE528" s="901"/>
      <c r="LDF528" s="901"/>
      <c r="LDG528" s="901"/>
      <c r="LDH528" s="901"/>
      <c r="LDI528" s="901"/>
      <c r="LDJ528" s="901"/>
      <c r="LDK528" s="901"/>
      <c r="LDL528" s="901"/>
      <c r="LDM528" s="901"/>
      <c r="LDN528" s="901"/>
      <c r="LDO528" s="901"/>
      <c r="LDP528" s="901"/>
      <c r="LDQ528" s="901"/>
      <c r="LDR528" s="901"/>
      <c r="LDS528" s="901"/>
      <c r="LDT528" s="901"/>
      <c r="LDU528" s="901"/>
      <c r="LDV528" s="901"/>
      <c r="LDW528" s="901"/>
      <c r="LDX528" s="901"/>
      <c r="LDY528" s="901"/>
      <c r="LDZ528" s="901"/>
      <c r="LEA528" s="901"/>
      <c r="LEB528" s="901"/>
      <c r="LEC528" s="901"/>
      <c r="LED528" s="901"/>
      <c r="LEE528" s="901"/>
      <c r="LEF528" s="901"/>
      <c r="LEG528" s="901"/>
      <c r="LEH528" s="901"/>
      <c r="LEI528" s="901"/>
      <c r="LEJ528" s="901"/>
      <c r="LEK528" s="901"/>
      <c r="LEL528" s="901"/>
      <c r="LEM528" s="901"/>
      <c r="LEN528" s="901"/>
      <c r="LEO528" s="901"/>
      <c r="LEP528" s="901"/>
      <c r="LEQ528" s="901"/>
      <c r="LER528" s="901"/>
      <c r="LES528" s="901"/>
      <c r="LET528" s="901"/>
      <c r="LEU528" s="901"/>
      <c r="LEV528" s="901"/>
      <c r="LEW528" s="901"/>
      <c r="LEX528" s="901"/>
      <c r="LEY528" s="901"/>
      <c r="LEZ528" s="901"/>
      <c r="LFA528" s="901"/>
      <c r="LFB528" s="901"/>
      <c r="LFC528" s="901"/>
      <c r="LFD528" s="901"/>
      <c r="LFE528" s="901"/>
      <c r="LFF528" s="901"/>
      <c r="LFG528" s="901"/>
      <c r="LFH528" s="901"/>
      <c r="LFI528" s="901"/>
      <c r="LFJ528" s="901"/>
      <c r="LFK528" s="901"/>
      <c r="LFL528" s="901"/>
      <c r="LFM528" s="901"/>
      <c r="LFN528" s="901"/>
      <c r="LFO528" s="901"/>
      <c r="LFP528" s="901"/>
      <c r="LFQ528" s="901"/>
      <c r="LFR528" s="901"/>
      <c r="LFS528" s="901"/>
      <c r="LFT528" s="901"/>
      <c r="LFU528" s="901"/>
      <c r="LFV528" s="901"/>
      <c r="LFW528" s="901"/>
      <c r="LFX528" s="901"/>
      <c r="LFY528" s="901"/>
      <c r="LFZ528" s="901"/>
      <c r="LGA528" s="901"/>
      <c r="LGB528" s="901"/>
      <c r="LGC528" s="901"/>
      <c r="LGD528" s="901"/>
      <c r="LGE528" s="901"/>
      <c r="LGF528" s="901"/>
      <c r="LGG528" s="901"/>
      <c r="LGH528" s="901"/>
      <c r="LGI528" s="901"/>
      <c r="LGJ528" s="901"/>
      <c r="LGK528" s="901"/>
      <c r="LGL528" s="901"/>
      <c r="LGM528" s="901"/>
      <c r="LGN528" s="901"/>
      <c r="LGO528" s="901"/>
      <c r="LGP528" s="901"/>
      <c r="LGQ528" s="901"/>
      <c r="LGR528" s="901"/>
      <c r="LGS528" s="901"/>
      <c r="LGT528" s="901"/>
      <c r="LGU528" s="901"/>
      <c r="LGV528" s="901"/>
      <c r="LGW528" s="901"/>
      <c r="LGX528" s="901"/>
      <c r="LGY528" s="901"/>
      <c r="LGZ528" s="901"/>
      <c r="LHA528" s="901"/>
      <c r="LHB528" s="901"/>
      <c r="LHC528" s="901"/>
      <c r="LHD528" s="901"/>
      <c r="LHE528" s="901"/>
      <c r="LHF528" s="901"/>
      <c r="LHG528" s="901"/>
      <c r="LHH528" s="901"/>
      <c r="LHI528" s="901"/>
      <c r="LHJ528" s="901"/>
      <c r="LHK528" s="901"/>
      <c r="LHL528" s="901"/>
      <c r="LHM528" s="901"/>
      <c r="LHN528" s="901"/>
      <c r="LHO528" s="901"/>
      <c r="LHP528" s="901"/>
      <c r="LHQ528" s="901"/>
      <c r="LHR528" s="901"/>
      <c r="LHS528" s="901"/>
      <c r="LHT528" s="901"/>
      <c r="LHU528" s="901"/>
      <c r="LHV528" s="901"/>
      <c r="LHW528" s="901"/>
      <c r="LHX528" s="901"/>
      <c r="LHY528" s="901"/>
      <c r="LHZ528" s="901"/>
      <c r="LIA528" s="901"/>
      <c r="LIB528" s="901"/>
      <c r="LIC528" s="901"/>
      <c r="LID528" s="901"/>
      <c r="LIE528" s="901"/>
      <c r="LIF528" s="901"/>
      <c r="LIG528" s="901"/>
      <c r="LIH528" s="901"/>
      <c r="LII528" s="901"/>
      <c r="LIJ528" s="901"/>
      <c r="LIK528" s="901"/>
      <c r="LIL528" s="901"/>
      <c r="LIM528" s="901"/>
      <c r="LIN528" s="901"/>
      <c r="LIO528" s="901"/>
      <c r="LIP528" s="901"/>
      <c r="LIQ528" s="901"/>
      <c r="LIR528" s="901"/>
      <c r="LIS528" s="901"/>
      <c r="LIT528" s="901"/>
      <c r="LIU528" s="901"/>
      <c r="LIV528" s="901"/>
      <c r="LIW528" s="901"/>
      <c r="LIX528" s="901"/>
      <c r="LIY528" s="901"/>
      <c r="LIZ528" s="901"/>
      <c r="LJA528" s="901"/>
      <c r="LJB528" s="901"/>
      <c r="LJC528" s="901"/>
      <c r="LJD528" s="901"/>
      <c r="LJE528" s="901"/>
      <c r="LJF528" s="901"/>
      <c r="LJG528" s="901"/>
      <c r="LJH528" s="901"/>
      <c r="LJI528" s="901"/>
      <c r="LJJ528" s="901"/>
      <c r="LJK528" s="901"/>
      <c r="LJL528" s="901"/>
      <c r="LJM528" s="901"/>
      <c r="LJN528" s="901"/>
      <c r="LJO528" s="901"/>
      <c r="LJP528" s="901"/>
      <c r="LJQ528" s="901"/>
      <c r="LJR528" s="901"/>
      <c r="LJS528" s="901"/>
      <c r="LJT528" s="901"/>
      <c r="LJU528" s="901"/>
      <c r="LJV528" s="901"/>
      <c r="LJW528" s="901"/>
      <c r="LJX528" s="901"/>
      <c r="LJY528" s="901"/>
      <c r="LJZ528" s="901"/>
      <c r="LKA528" s="901"/>
      <c r="LKB528" s="901"/>
      <c r="LKC528" s="901"/>
      <c r="LKD528" s="901"/>
      <c r="LKE528" s="901"/>
      <c r="LKF528" s="901"/>
      <c r="LKG528" s="901"/>
      <c r="LKH528" s="901"/>
      <c r="LKI528" s="901"/>
      <c r="LKJ528" s="901"/>
      <c r="LKK528" s="901"/>
      <c r="LKL528" s="901"/>
      <c r="LKM528" s="901"/>
      <c r="LKN528" s="901"/>
      <c r="LKO528" s="901"/>
      <c r="LKP528" s="901"/>
      <c r="LKQ528" s="901"/>
      <c r="LKR528" s="901"/>
      <c r="LKS528" s="901"/>
      <c r="LKT528" s="901"/>
      <c r="LKU528" s="901"/>
      <c r="LKV528" s="901"/>
      <c r="LKW528" s="901"/>
      <c r="LKX528" s="901"/>
      <c r="LKY528" s="901"/>
      <c r="LKZ528" s="901"/>
      <c r="LLA528" s="901"/>
      <c r="LLB528" s="901"/>
      <c r="LLC528" s="901"/>
      <c r="LLD528" s="901"/>
      <c r="LLE528" s="901"/>
      <c r="LLF528" s="901"/>
      <c r="LLG528" s="901"/>
      <c r="LLH528" s="901"/>
      <c r="LLI528" s="901"/>
      <c r="LLJ528" s="901"/>
      <c r="LLK528" s="901"/>
      <c r="LLL528" s="901"/>
      <c r="LLM528" s="901"/>
      <c r="LLN528" s="901"/>
      <c r="LLO528" s="901"/>
      <c r="LLP528" s="901"/>
      <c r="LLQ528" s="901"/>
      <c r="LLR528" s="901"/>
      <c r="LLS528" s="901"/>
      <c r="LLT528" s="901"/>
      <c r="LLU528" s="901"/>
      <c r="LLV528" s="901"/>
      <c r="LLW528" s="901"/>
      <c r="LLX528" s="901"/>
      <c r="LLY528" s="901"/>
      <c r="LLZ528" s="901"/>
      <c r="LMA528" s="901"/>
      <c r="LMB528" s="901"/>
      <c r="LMC528" s="901"/>
      <c r="LMD528" s="901"/>
      <c r="LME528" s="901"/>
      <c r="LMF528" s="901"/>
      <c r="LMG528" s="901"/>
      <c r="LMH528" s="901"/>
      <c r="LMI528" s="901"/>
      <c r="LMJ528" s="901"/>
      <c r="LMK528" s="901"/>
      <c r="LML528" s="901"/>
      <c r="LMM528" s="901"/>
      <c r="LMN528" s="901"/>
      <c r="LMO528" s="901"/>
      <c r="LMP528" s="901"/>
      <c r="LMQ528" s="901"/>
      <c r="LMR528" s="901"/>
      <c r="LMS528" s="901"/>
      <c r="LMT528" s="901"/>
      <c r="LMU528" s="901"/>
      <c r="LMV528" s="901"/>
      <c r="LMW528" s="901"/>
      <c r="LMX528" s="901"/>
      <c r="LMY528" s="901"/>
      <c r="LMZ528" s="901"/>
      <c r="LNA528" s="901"/>
      <c r="LNB528" s="901"/>
      <c r="LNC528" s="901"/>
      <c r="LND528" s="901"/>
      <c r="LNE528" s="901"/>
      <c r="LNF528" s="901"/>
      <c r="LNG528" s="901"/>
      <c r="LNH528" s="901"/>
      <c r="LNI528" s="901"/>
      <c r="LNJ528" s="901"/>
      <c r="LNK528" s="901"/>
      <c r="LNL528" s="901"/>
      <c r="LNM528" s="901"/>
      <c r="LNN528" s="901"/>
      <c r="LNO528" s="901"/>
      <c r="LNP528" s="901"/>
      <c r="LNQ528" s="901"/>
      <c r="LNR528" s="901"/>
      <c r="LNS528" s="901"/>
      <c r="LNT528" s="901"/>
      <c r="LNU528" s="901"/>
      <c r="LNV528" s="901"/>
      <c r="LNW528" s="901"/>
      <c r="LNX528" s="901"/>
      <c r="LNY528" s="901"/>
      <c r="LNZ528" s="901"/>
      <c r="LOA528" s="901"/>
      <c r="LOB528" s="901"/>
      <c r="LOC528" s="901"/>
      <c r="LOD528" s="901"/>
      <c r="LOE528" s="901"/>
      <c r="LOF528" s="901"/>
      <c r="LOG528" s="901"/>
      <c r="LOH528" s="901"/>
      <c r="LOI528" s="901"/>
      <c r="LOJ528" s="901"/>
      <c r="LOK528" s="901"/>
      <c r="LOL528" s="901"/>
      <c r="LOM528" s="901"/>
      <c r="LON528" s="901"/>
      <c r="LOO528" s="901"/>
      <c r="LOP528" s="901"/>
      <c r="LOQ528" s="901"/>
      <c r="LOR528" s="901"/>
      <c r="LOS528" s="901"/>
      <c r="LOT528" s="901"/>
      <c r="LOU528" s="901"/>
      <c r="LOV528" s="901"/>
      <c r="LOW528" s="901"/>
      <c r="LOX528" s="901"/>
      <c r="LOY528" s="901"/>
      <c r="LOZ528" s="901"/>
      <c r="LPA528" s="901"/>
      <c r="LPB528" s="901"/>
      <c r="LPC528" s="901"/>
      <c r="LPD528" s="901"/>
      <c r="LPE528" s="901"/>
      <c r="LPF528" s="901"/>
      <c r="LPG528" s="901"/>
      <c r="LPH528" s="901"/>
      <c r="LPI528" s="901"/>
      <c r="LPJ528" s="901"/>
      <c r="LPK528" s="901"/>
      <c r="LPL528" s="901"/>
      <c r="LPM528" s="901"/>
      <c r="LPN528" s="901"/>
      <c r="LPO528" s="901"/>
      <c r="LPP528" s="901"/>
      <c r="LPQ528" s="901"/>
      <c r="LPR528" s="901"/>
      <c r="LPS528" s="901"/>
      <c r="LPT528" s="901"/>
      <c r="LPU528" s="901"/>
      <c r="LPV528" s="901"/>
      <c r="LPW528" s="901"/>
      <c r="LPX528" s="901"/>
      <c r="LPY528" s="901"/>
      <c r="LPZ528" s="901"/>
      <c r="LQA528" s="901"/>
      <c r="LQB528" s="901"/>
      <c r="LQC528" s="901"/>
      <c r="LQD528" s="901"/>
      <c r="LQE528" s="901"/>
      <c r="LQF528" s="901"/>
      <c r="LQG528" s="901"/>
      <c r="LQH528" s="901"/>
      <c r="LQI528" s="901"/>
      <c r="LQJ528" s="901"/>
      <c r="LQK528" s="901"/>
      <c r="LQL528" s="901"/>
      <c r="LQM528" s="901"/>
      <c r="LQN528" s="901"/>
      <c r="LQO528" s="901"/>
      <c r="LQP528" s="901"/>
      <c r="LQQ528" s="901"/>
      <c r="LQR528" s="901"/>
      <c r="LQS528" s="901"/>
      <c r="LQT528" s="901"/>
      <c r="LQU528" s="901"/>
      <c r="LQV528" s="901"/>
      <c r="LQW528" s="901"/>
      <c r="LQX528" s="901"/>
      <c r="LQY528" s="901"/>
      <c r="LQZ528" s="901"/>
      <c r="LRA528" s="901"/>
      <c r="LRB528" s="901"/>
      <c r="LRC528" s="901"/>
      <c r="LRD528" s="901"/>
      <c r="LRE528" s="901"/>
      <c r="LRF528" s="901"/>
      <c r="LRG528" s="901"/>
      <c r="LRH528" s="901"/>
      <c r="LRI528" s="901"/>
      <c r="LRJ528" s="901"/>
      <c r="LRK528" s="901"/>
      <c r="LRL528" s="901"/>
      <c r="LRM528" s="901"/>
      <c r="LRN528" s="901"/>
      <c r="LRO528" s="901"/>
      <c r="LRP528" s="901"/>
      <c r="LRQ528" s="901"/>
      <c r="LRR528" s="901"/>
      <c r="LRS528" s="901"/>
      <c r="LRT528" s="901"/>
      <c r="LRU528" s="901"/>
      <c r="LRV528" s="901"/>
      <c r="LRW528" s="901"/>
      <c r="LRX528" s="901"/>
      <c r="LRY528" s="901"/>
      <c r="LRZ528" s="901"/>
      <c r="LSA528" s="901"/>
      <c r="LSB528" s="901"/>
      <c r="LSC528" s="901"/>
      <c r="LSD528" s="901"/>
      <c r="LSE528" s="901"/>
      <c r="LSF528" s="901"/>
      <c r="LSG528" s="901"/>
      <c r="LSH528" s="901"/>
      <c r="LSI528" s="901"/>
      <c r="LSJ528" s="901"/>
      <c r="LSK528" s="901"/>
      <c r="LSL528" s="901"/>
      <c r="LSM528" s="901"/>
      <c r="LSN528" s="901"/>
      <c r="LSO528" s="901"/>
      <c r="LSP528" s="901"/>
      <c r="LSQ528" s="901"/>
      <c r="LSR528" s="901"/>
      <c r="LSS528" s="901"/>
      <c r="LST528" s="901"/>
      <c r="LSU528" s="901"/>
      <c r="LSV528" s="901"/>
      <c r="LSW528" s="901"/>
      <c r="LSX528" s="901"/>
      <c r="LSY528" s="901"/>
      <c r="LSZ528" s="901"/>
      <c r="LTA528" s="901"/>
      <c r="LTB528" s="901"/>
      <c r="LTC528" s="901"/>
      <c r="LTD528" s="901"/>
      <c r="LTE528" s="901"/>
      <c r="LTF528" s="901"/>
      <c r="LTG528" s="901"/>
      <c r="LTH528" s="901"/>
      <c r="LTI528" s="901"/>
      <c r="LTJ528" s="901"/>
      <c r="LTK528" s="901"/>
      <c r="LTL528" s="901"/>
      <c r="LTM528" s="901"/>
      <c r="LTN528" s="901"/>
      <c r="LTO528" s="901"/>
      <c r="LTP528" s="901"/>
      <c r="LTQ528" s="901"/>
      <c r="LTR528" s="901"/>
      <c r="LTS528" s="901"/>
      <c r="LTT528" s="901"/>
      <c r="LTU528" s="901"/>
      <c r="LTV528" s="901"/>
      <c r="LTW528" s="901"/>
      <c r="LTX528" s="901"/>
      <c r="LTY528" s="901"/>
      <c r="LTZ528" s="901"/>
      <c r="LUA528" s="901"/>
      <c r="LUB528" s="901"/>
      <c r="LUC528" s="901"/>
      <c r="LUD528" s="901"/>
      <c r="LUE528" s="901"/>
      <c r="LUF528" s="901"/>
      <c r="LUG528" s="901"/>
      <c r="LUH528" s="901"/>
      <c r="LUI528" s="901"/>
      <c r="LUJ528" s="901"/>
      <c r="LUK528" s="901"/>
      <c r="LUL528" s="901"/>
      <c r="LUM528" s="901"/>
      <c r="LUN528" s="901"/>
      <c r="LUO528" s="901"/>
      <c r="LUP528" s="901"/>
      <c r="LUQ528" s="901"/>
      <c r="LUR528" s="901"/>
      <c r="LUS528" s="901"/>
      <c r="LUT528" s="901"/>
      <c r="LUU528" s="901"/>
      <c r="LUV528" s="901"/>
      <c r="LUW528" s="901"/>
      <c r="LUX528" s="901"/>
      <c r="LUY528" s="901"/>
      <c r="LUZ528" s="901"/>
      <c r="LVA528" s="901"/>
      <c r="LVB528" s="901"/>
      <c r="LVC528" s="901"/>
      <c r="LVD528" s="901"/>
      <c r="LVE528" s="901"/>
      <c r="LVF528" s="901"/>
      <c r="LVG528" s="901"/>
      <c r="LVH528" s="901"/>
      <c r="LVI528" s="901"/>
      <c r="LVJ528" s="901"/>
      <c r="LVK528" s="901"/>
      <c r="LVL528" s="901"/>
      <c r="LVM528" s="901"/>
      <c r="LVN528" s="901"/>
      <c r="LVO528" s="901"/>
      <c r="LVP528" s="901"/>
      <c r="LVQ528" s="901"/>
      <c r="LVR528" s="901"/>
      <c r="LVS528" s="901"/>
      <c r="LVT528" s="901"/>
      <c r="LVU528" s="901"/>
      <c r="LVV528" s="901"/>
      <c r="LVW528" s="901"/>
      <c r="LVX528" s="901"/>
      <c r="LVY528" s="901"/>
      <c r="LVZ528" s="901"/>
      <c r="LWA528" s="901"/>
      <c r="LWB528" s="901"/>
      <c r="LWC528" s="901"/>
      <c r="LWD528" s="901"/>
      <c r="LWE528" s="901"/>
      <c r="LWF528" s="901"/>
      <c r="LWG528" s="901"/>
      <c r="LWH528" s="901"/>
      <c r="LWI528" s="901"/>
      <c r="LWJ528" s="901"/>
      <c r="LWK528" s="901"/>
      <c r="LWL528" s="901"/>
      <c r="LWM528" s="901"/>
      <c r="LWN528" s="901"/>
      <c r="LWO528" s="901"/>
      <c r="LWP528" s="901"/>
      <c r="LWQ528" s="901"/>
      <c r="LWR528" s="901"/>
      <c r="LWS528" s="901"/>
      <c r="LWT528" s="901"/>
      <c r="LWU528" s="901"/>
      <c r="LWV528" s="901"/>
      <c r="LWW528" s="901"/>
      <c r="LWX528" s="901"/>
      <c r="LWY528" s="901"/>
      <c r="LWZ528" s="901"/>
      <c r="LXA528" s="901"/>
      <c r="LXB528" s="901"/>
      <c r="LXC528" s="901"/>
      <c r="LXD528" s="901"/>
      <c r="LXE528" s="901"/>
      <c r="LXF528" s="901"/>
      <c r="LXG528" s="901"/>
      <c r="LXH528" s="901"/>
      <c r="LXI528" s="901"/>
      <c r="LXJ528" s="901"/>
      <c r="LXK528" s="901"/>
      <c r="LXL528" s="901"/>
      <c r="LXM528" s="901"/>
      <c r="LXN528" s="901"/>
      <c r="LXO528" s="901"/>
      <c r="LXP528" s="901"/>
      <c r="LXQ528" s="901"/>
      <c r="LXR528" s="901"/>
      <c r="LXS528" s="901"/>
      <c r="LXT528" s="901"/>
      <c r="LXU528" s="901"/>
      <c r="LXV528" s="901"/>
      <c r="LXW528" s="901"/>
      <c r="LXX528" s="901"/>
      <c r="LXY528" s="901"/>
      <c r="LXZ528" s="901"/>
      <c r="LYA528" s="901"/>
      <c r="LYB528" s="901"/>
      <c r="LYC528" s="901"/>
      <c r="LYD528" s="901"/>
      <c r="LYE528" s="901"/>
      <c r="LYF528" s="901"/>
      <c r="LYG528" s="901"/>
      <c r="LYH528" s="901"/>
      <c r="LYI528" s="901"/>
      <c r="LYJ528" s="901"/>
      <c r="LYK528" s="901"/>
      <c r="LYL528" s="901"/>
      <c r="LYM528" s="901"/>
      <c r="LYN528" s="901"/>
      <c r="LYO528" s="901"/>
      <c r="LYP528" s="901"/>
      <c r="LYQ528" s="901"/>
      <c r="LYR528" s="901"/>
      <c r="LYS528" s="901"/>
      <c r="LYT528" s="901"/>
      <c r="LYU528" s="901"/>
      <c r="LYV528" s="901"/>
      <c r="LYW528" s="901"/>
      <c r="LYX528" s="901"/>
      <c r="LYY528" s="901"/>
      <c r="LYZ528" s="901"/>
      <c r="LZA528" s="901"/>
      <c r="LZB528" s="901"/>
      <c r="LZC528" s="901"/>
      <c r="LZD528" s="901"/>
      <c r="LZE528" s="901"/>
      <c r="LZF528" s="901"/>
      <c r="LZG528" s="901"/>
      <c r="LZH528" s="901"/>
      <c r="LZI528" s="901"/>
      <c r="LZJ528" s="901"/>
      <c r="LZK528" s="901"/>
      <c r="LZL528" s="901"/>
      <c r="LZM528" s="901"/>
      <c r="LZN528" s="901"/>
      <c r="LZO528" s="901"/>
      <c r="LZP528" s="901"/>
      <c r="LZQ528" s="901"/>
      <c r="LZR528" s="901"/>
      <c r="LZS528" s="901"/>
      <c r="LZT528" s="901"/>
      <c r="LZU528" s="901"/>
      <c r="LZV528" s="901"/>
      <c r="LZW528" s="901"/>
      <c r="LZX528" s="901"/>
      <c r="LZY528" s="901"/>
      <c r="LZZ528" s="901"/>
      <c r="MAA528" s="901"/>
      <c r="MAB528" s="901"/>
      <c r="MAC528" s="901"/>
      <c r="MAD528" s="901"/>
      <c r="MAE528" s="901"/>
      <c r="MAF528" s="901"/>
      <c r="MAG528" s="901"/>
      <c r="MAH528" s="901"/>
      <c r="MAI528" s="901"/>
      <c r="MAJ528" s="901"/>
      <c r="MAK528" s="901"/>
      <c r="MAL528" s="901"/>
      <c r="MAM528" s="901"/>
      <c r="MAN528" s="901"/>
      <c r="MAO528" s="901"/>
      <c r="MAP528" s="901"/>
      <c r="MAQ528" s="901"/>
      <c r="MAR528" s="901"/>
      <c r="MAS528" s="901"/>
      <c r="MAT528" s="901"/>
      <c r="MAU528" s="901"/>
      <c r="MAV528" s="901"/>
      <c r="MAW528" s="901"/>
      <c r="MAX528" s="901"/>
      <c r="MAY528" s="901"/>
      <c r="MAZ528" s="901"/>
      <c r="MBA528" s="901"/>
      <c r="MBB528" s="901"/>
      <c r="MBC528" s="901"/>
      <c r="MBD528" s="901"/>
      <c r="MBE528" s="901"/>
      <c r="MBF528" s="901"/>
      <c r="MBG528" s="901"/>
      <c r="MBH528" s="901"/>
      <c r="MBI528" s="901"/>
      <c r="MBJ528" s="901"/>
      <c r="MBK528" s="901"/>
      <c r="MBL528" s="901"/>
      <c r="MBM528" s="901"/>
      <c r="MBN528" s="901"/>
      <c r="MBO528" s="901"/>
      <c r="MBP528" s="901"/>
      <c r="MBQ528" s="901"/>
      <c r="MBR528" s="901"/>
      <c r="MBS528" s="901"/>
      <c r="MBT528" s="901"/>
      <c r="MBU528" s="901"/>
      <c r="MBV528" s="901"/>
      <c r="MBW528" s="901"/>
      <c r="MBX528" s="901"/>
      <c r="MBY528" s="901"/>
      <c r="MBZ528" s="901"/>
      <c r="MCA528" s="901"/>
      <c r="MCB528" s="901"/>
      <c r="MCC528" s="901"/>
      <c r="MCD528" s="901"/>
      <c r="MCE528" s="901"/>
      <c r="MCF528" s="901"/>
      <c r="MCG528" s="901"/>
      <c r="MCH528" s="901"/>
      <c r="MCI528" s="901"/>
      <c r="MCJ528" s="901"/>
      <c r="MCK528" s="901"/>
      <c r="MCL528" s="901"/>
      <c r="MCM528" s="901"/>
      <c r="MCN528" s="901"/>
      <c r="MCO528" s="901"/>
      <c r="MCP528" s="901"/>
      <c r="MCQ528" s="901"/>
      <c r="MCR528" s="901"/>
      <c r="MCS528" s="901"/>
      <c r="MCT528" s="901"/>
      <c r="MCU528" s="901"/>
      <c r="MCV528" s="901"/>
      <c r="MCW528" s="901"/>
      <c r="MCX528" s="901"/>
      <c r="MCY528" s="901"/>
      <c r="MCZ528" s="901"/>
      <c r="MDA528" s="901"/>
      <c r="MDB528" s="901"/>
      <c r="MDC528" s="901"/>
      <c r="MDD528" s="901"/>
      <c r="MDE528" s="901"/>
      <c r="MDF528" s="901"/>
      <c r="MDG528" s="901"/>
      <c r="MDH528" s="901"/>
      <c r="MDI528" s="901"/>
      <c r="MDJ528" s="901"/>
      <c r="MDK528" s="901"/>
      <c r="MDL528" s="901"/>
      <c r="MDM528" s="901"/>
      <c r="MDN528" s="901"/>
      <c r="MDO528" s="901"/>
      <c r="MDP528" s="901"/>
      <c r="MDQ528" s="901"/>
      <c r="MDR528" s="901"/>
      <c r="MDS528" s="901"/>
      <c r="MDT528" s="901"/>
      <c r="MDU528" s="901"/>
      <c r="MDV528" s="901"/>
      <c r="MDW528" s="901"/>
      <c r="MDX528" s="901"/>
      <c r="MDY528" s="901"/>
      <c r="MDZ528" s="901"/>
      <c r="MEA528" s="901"/>
      <c r="MEB528" s="901"/>
      <c r="MEC528" s="901"/>
      <c r="MED528" s="901"/>
      <c r="MEE528" s="901"/>
      <c r="MEF528" s="901"/>
      <c r="MEG528" s="901"/>
      <c r="MEH528" s="901"/>
      <c r="MEI528" s="901"/>
      <c r="MEJ528" s="901"/>
      <c r="MEK528" s="901"/>
      <c r="MEL528" s="901"/>
      <c r="MEM528" s="901"/>
      <c r="MEN528" s="901"/>
      <c r="MEO528" s="901"/>
      <c r="MEP528" s="901"/>
      <c r="MEQ528" s="901"/>
      <c r="MER528" s="901"/>
      <c r="MES528" s="901"/>
      <c r="MET528" s="901"/>
      <c r="MEU528" s="901"/>
      <c r="MEV528" s="901"/>
      <c r="MEW528" s="901"/>
      <c r="MEX528" s="901"/>
      <c r="MEY528" s="901"/>
      <c r="MEZ528" s="901"/>
      <c r="MFA528" s="901"/>
      <c r="MFB528" s="901"/>
      <c r="MFC528" s="901"/>
      <c r="MFD528" s="901"/>
      <c r="MFE528" s="901"/>
      <c r="MFF528" s="901"/>
      <c r="MFG528" s="901"/>
      <c r="MFH528" s="901"/>
      <c r="MFI528" s="901"/>
      <c r="MFJ528" s="901"/>
      <c r="MFK528" s="901"/>
      <c r="MFL528" s="901"/>
      <c r="MFM528" s="901"/>
      <c r="MFN528" s="901"/>
      <c r="MFO528" s="901"/>
      <c r="MFP528" s="901"/>
      <c r="MFQ528" s="901"/>
      <c r="MFR528" s="901"/>
      <c r="MFS528" s="901"/>
      <c r="MFT528" s="901"/>
      <c r="MFU528" s="901"/>
      <c r="MFV528" s="901"/>
      <c r="MFW528" s="901"/>
      <c r="MFX528" s="901"/>
      <c r="MFY528" s="901"/>
      <c r="MFZ528" s="901"/>
      <c r="MGA528" s="901"/>
      <c r="MGB528" s="901"/>
      <c r="MGC528" s="901"/>
      <c r="MGD528" s="901"/>
      <c r="MGE528" s="901"/>
      <c r="MGF528" s="901"/>
      <c r="MGG528" s="901"/>
      <c r="MGH528" s="901"/>
      <c r="MGI528" s="901"/>
      <c r="MGJ528" s="901"/>
      <c r="MGK528" s="901"/>
      <c r="MGL528" s="901"/>
      <c r="MGM528" s="901"/>
      <c r="MGN528" s="901"/>
      <c r="MGO528" s="901"/>
      <c r="MGP528" s="901"/>
      <c r="MGQ528" s="901"/>
      <c r="MGR528" s="901"/>
      <c r="MGS528" s="901"/>
      <c r="MGT528" s="901"/>
      <c r="MGU528" s="901"/>
      <c r="MGV528" s="901"/>
      <c r="MGW528" s="901"/>
      <c r="MGX528" s="901"/>
      <c r="MGY528" s="901"/>
      <c r="MGZ528" s="901"/>
      <c r="MHA528" s="901"/>
      <c r="MHB528" s="901"/>
      <c r="MHC528" s="901"/>
      <c r="MHD528" s="901"/>
      <c r="MHE528" s="901"/>
      <c r="MHF528" s="901"/>
      <c r="MHG528" s="901"/>
      <c r="MHH528" s="901"/>
      <c r="MHI528" s="901"/>
      <c r="MHJ528" s="901"/>
      <c r="MHK528" s="901"/>
      <c r="MHL528" s="901"/>
      <c r="MHM528" s="901"/>
      <c r="MHN528" s="901"/>
      <c r="MHO528" s="901"/>
      <c r="MHP528" s="901"/>
      <c r="MHQ528" s="901"/>
      <c r="MHR528" s="901"/>
      <c r="MHS528" s="901"/>
      <c r="MHT528" s="901"/>
      <c r="MHU528" s="901"/>
      <c r="MHV528" s="901"/>
      <c r="MHW528" s="901"/>
      <c r="MHX528" s="901"/>
      <c r="MHY528" s="901"/>
      <c r="MHZ528" s="901"/>
      <c r="MIA528" s="901"/>
      <c r="MIB528" s="901"/>
      <c r="MIC528" s="901"/>
      <c r="MID528" s="901"/>
      <c r="MIE528" s="901"/>
      <c r="MIF528" s="901"/>
      <c r="MIG528" s="901"/>
      <c r="MIH528" s="901"/>
      <c r="MII528" s="901"/>
      <c r="MIJ528" s="901"/>
      <c r="MIK528" s="901"/>
      <c r="MIL528" s="901"/>
      <c r="MIM528" s="901"/>
      <c r="MIN528" s="901"/>
      <c r="MIO528" s="901"/>
      <c r="MIP528" s="901"/>
      <c r="MIQ528" s="901"/>
      <c r="MIR528" s="901"/>
      <c r="MIS528" s="901"/>
      <c r="MIT528" s="901"/>
      <c r="MIU528" s="901"/>
      <c r="MIV528" s="901"/>
      <c r="MIW528" s="901"/>
      <c r="MIX528" s="901"/>
      <c r="MIY528" s="901"/>
      <c r="MIZ528" s="901"/>
      <c r="MJA528" s="901"/>
      <c r="MJB528" s="901"/>
      <c r="MJC528" s="901"/>
      <c r="MJD528" s="901"/>
      <c r="MJE528" s="901"/>
      <c r="MJF528" s="901"/>
      <c r="MJG528" s="901"/>
      <c r="MJH528" s="901"/>
      <c r="MJI528" s="901"/>
      <c r="MJJ528" s="901"/>
      <c r="MJK528" s="901"/>
      <c r="MJL528" s="901"/>
      <c r="MJM528" s="901"/>
      <c r="MJN528" s="901"/>
      <c r="MJO528" s="901"/>
      <c r="MJP528" s="901"/>
      <c r="MJQ528" s="901"/>
      <c r="MJR528" s="901"/>
      <c r="MJS528" s="901"/>
      <c r="MJT528" s="901"/>
      <c r="MJU528" s="901"/>
      <c r="MJV528" s="901"/>
      <c r="MJW528" s="901"/>
      <c r="MJX528" s="901"/>
      <c r="MJY528" s="901"/>
      <c r="MJZ528" s="901"/>
      <c r="MKA528" s="901"/>
      <c r="MKB528" s="901"/>
      <c r="MKC528" s="901"/>
      <c r="MKD528" s="901"/>
      <c r="MKE528" s="901"/>
      <c r="MKF528" s="901"/>
      <c r="MKG528" s="901"/>
      <c r="MKH528" s="901"/>
      <c r="MKI528" s="901"/>
      <c r="MKJ528" s="901"/>
      <c r="MKK528" s="901"/>
      <c r="MKL528" s="901"/>
      <c r="MKM528" s="901"/>
      <c r="MKN528" s="901"/>
      <c r="MKO528" s="901"/>
      <c r="MKP528" s="901"/>
      <c r="MKQ528" s="901"/>
      <c r="MKR528" s="901"/>
      <c r="MKS528" s="901"/>
      <c r="MKT528" s="901"/>
      <c r="MKU528" s="901"/>
      <c r="MKV528" s="901"/>
      <c r="MKW528" s="901"/>
      <c r="MKX528" s="901"/>
      <c r="MKY528" s="901"/>
      <c r="MKZ528" s="901"/>
      <c r="MLA528" s="901"/>
      <c r="MLB528" s="901"/>
      <c r="MLC528" s="901"/>
      <c r="MLD528" s="901"/>
      <c r="MLE528" s="901"/>
      <c r="MLF528" s="901"/>
      <c r="MLG528" s="901"/>
      <c r="MLH528" s="901"/>
      <c r="MLI528" s="901"/>
      <c r="MLJ528" s="901"/>
      <c r="MLK528" s="901"/>
      <c r="MLL528" s="901"/>
      <c r="MLM528" s="901"/>
      <c r="MLN528" s="901"/>
      <c r="MLO528" s="901"/>
      <c r="MLP528" s="901"/>
      <c r="MLQ528" s="901"/>
      <c r="MLR528" s="901"/>
      <c r="MLS528" s="901"/>
      <c r="MLT528" s="901"/>
      <c r="MLU528" s="901"/>
      <c r="MLV528" s="901"/>
      <c r="MLW528" s="901"/>
      <c r="MLX528" s="901"/>
      <c r="MLY528" s="901"/>
      <c r="MLZ528" s="901"/>
      <c r="MMA528" s="901"/>
      <c r="MMB528" s="901"/>
      <c r="MMC528" s="901"/>
      <c r="MMD528" s="901"/>
      <c r="MME528" s="901"/>
      <c r="MMF528" s="901"/>
      <c r="MMG528" s="901"/>
      <c r="MMH528" s="901"/>
      <c r="MMI528" s="901"/>
      <c r="MMJ528" s="901"/>
      <c r="MMK528" s="901"/>
      <c r="MML528" s="901"/>
      <c r="MMM528" s="901"/>
      <c r="MMN528" s="901"/>
      <c r="MMO528" s="901"/>
      <c r="MMP528" s="901"/>
      <c r="MMQ528" s="901"/>
      <c r="MMR528" s="901"/>
      <c r="MMS528" s="901"/>
      <c r="MMT528" s="901"/>
      <c r="MMU528" s="901"/>
      <c r="MMV528" s="901"/>
      <c r="MMW528" s="901"/>
      <c r="MMX528" s="901"/>
      <c r="MMY528" s="901"/>
      <c r="MMZ528" s="901"/>
      <c r="MNA528" s="901"/>
      <c r="MNB528" s="901"/>
      <c r="MNC528" s="901"/>
      <c r="MND528" s="901"/>
      <c r="MNE528" s="901"/>
      <c r="MNF528" s="901"/>
      <c r="MNG528" s="901"/>
      <c r="MNH528" s="901"/>
      <c r="MNI528" s="901"/>
      <c r="MNJ528" s="901"/>
      <c r="MNK528" s="901"/>
      <c r="MNL528" s="901"/>
      <c r="MNM528" s="901"/>
      <c r="MNN528" s="901"/>
      <c r="MNO528" s="901"/>
      <c r="MNP528" s="901"/>
      <c r="MNQ528" s="901"/>
      <c r="MNR528" s="901"/>
      <c r="MNS528" s="901"/>
      <c r="MNT528" s="901"/>
      <c r="MNU528" s="901"/>
      <c r="MNV528" s="901"/>
      <c r="MNW528" s="901"/>
      <c r="MNX528" s="901"/>
      <c r="MNY528" s="901"/>
      <c r="MNZ528" s="901"/>
      <c r="MOA528" s="901"/>
      <c r="MOB528" s="901"/>
      <c r="MOC528" s="901"/>
      <c r="MOD528" s="901"/>
      <c r="MOE528" s="901"/>
      <c r="MOF528" s="901"/>
      <c r="MOG528" s="901"/>
      <c r="MOH528" s="901"/>
      <c r="MOI528" s="901"/>
      <c r="MOJ528" s="901"/>
      <c r="MOK528" s="901"/>
      <c r="MOL528" s="901"/>
      <c r="MOM528" s="901"/>
      <c r="MON528" s="901"/>
      <c r="MOO528" s="901"/>
      <c r="MOP528" s="901"/>
      <c r="MOQ528" s="901"/>
      <c r="MOR528" s="901"/>
      <c r="MOS528" s="901"/>
      <c r="MOT528" s="901"/>
      <c r="MOU528" s="901"/>
      <c r="MOV528" s="901"/>
      <c r="MOW528" s="901"/>
      <c r="MOX528" s="901"/>
      <c r="MOY528" s="901"/>
      <c r="MOZ528" s="901"/>
      <c r="MPA528" s="901"/>
      <c r="MPB528" s="901"/>
      <c r="MPC528" s="901"/>
      <c r="MPD528" s="901"/>
      <c r="MPE528" s="901"/>
      <c r="MPF528" s="901"/>
      <c r="MPG528" s="901"/>
      <c r="MPH528" s="901"/>
      <c r="MPI528" s="901"/>
      <c r="MPJ528" s="901"/>
      <c r="MPK528" s="901"/>
      <c r="MPL528" s="901"/>
      <c r="MPM528" s="901"/>
      <c r="MPN528" s="901"/>
      <c r="MPO528" s="901"/>
      <c r="MPP528" s="901"/>
      <c r="MPQ528" s="901"/>
      <c r="MPR528" s="901"/>
      <c r="MPS528" s="901"/>
      <c r="MPT528" s="901"/>
      <c r="MPU528" s="901"/>
      <c r="MPV528" s="901"/>
      <c r="MPW528" s="901"/>
      <c r="MPX528" s="901"/>
      <c r="MPY528" s="901"/>
      <c r="MPZ528" s="901"/>
      <c r="MQA528" s="901"/>
      <c r="MQB528" s="901"/>
      <c r="MQC528" s="901"/>
      <c r="MQD528" s="901"/>
      <c r="MQE528" s="901"/>
      <c r="MQF528" s="901"/>
      <c r="MQG528" s="901"/>
      <c r="MQH528" s="901"/>
      <c r="MQI528" s="901"/>
      <c r="MQJ528" s="901"/>
      <c r="MQK528" s="901"/>
      <c r="MQL528" s="901"/>
      <c r="MQM528" s="901"/>
      <c r="MQN528" s="901"/>
      <c r="MQO528" s="901"/>
      <c r="MQP528" s="901"/>
      <c r="MQQ528" s="901"/>
      <c r="MQR528" s="901"/>
      <c r="MQS528" s="901"/>
      <c r="MQT528" s="901"/>
      <c r="MQU528" s="901"/>
      <c r="MQV528" s="901"/>
      <c r="MQW528" s="901"/>
      <c r="MQX528" s="901"/>
      <c r="MQY528" s="901"/>
      <c r="MQZ528" s="901"/>
      <c r="MRA528" s="901"/>
      <c r="MRB528" s="901"/>
      <c r="MRC528" s="901"/>
      <c r="MRD528" s="901"/>
      <c r="MRE528" s="901"/>
      <c r="MRF528" s="901"/>
      <c r="MRG528" s="901"/>
      <c r="MRH528" s="901"/>
      <c r="MRI528" s="901"/>
      <c r="MRJ528" s="901"/>
      <c r="MRK528" s="901"/>
      <c r="MRL528" s="901"/>
      <c r="MRM528" s="901"/>
      <c r="MRN528" s="901"/>
      <c r="MRO528" s="901"/>
      <c r="MRP528" s="901"/>
      <c r="MRQ528" s="901"/>
      <c r="MRR528" s="901"/>
      <c r="MRS528" s="901"/>
      <c r="MRT528" s="901"/>
      <c r="MRU528" s="901"/>
      <c r="MRV528" s="901"/>
      <c r="MRW528" s="901"/>
      <c r="MRX528" s="901"/>
      <c r="MRY528" s="901"/>
      <c r="MRZ528" s="901"/>
      <c r="MSA528" s="901"/>
      <c r="MSB528" s="901"/>
      <c r="MSC528" s="901"/>
      <c r="MSD528" s="901"/>
      <c r="MSE528" s="901"/>
      <c r="MSF528" s="901"/>
      <c r="MSG528" s="901"/>
      <c r="MSH528" s="901"/>
      <c r="MSI528" s="901"/>
      <c r="MSJ528" s="901"/>
      <c r="MSK528" s="901"/>
      <c r="MSL528" s="901"/>
      <c r="MSM528" s="901"/>
      <c r="MSN528" s="901"/>
      <c r="MSO528" s="901"/>
      <c r="MSP528" s="901"/>
      <c r="MSQ528" s="901"/>
      <c r="MSR528" s="901"/>
      <c r="MSS528" s="901"/>
      <c r="MST528" s="901"/>
      <c r="MSU528" s="901"/>
      <c r="MSV528" s="901"/>
      <c r="MSW528" s="901"/>
      <c r="MSX528" s="901"/>
      <c r="MSY528" s="901"/>
      <c r="MSZ528" s="901"/>
      <c r="MTA528" s="901"/>
      <c r="MTB528" s="901"/>
      <c r="MTC528" s="901"/>
      <c r="MTD528" s="901"/>
      <c r="MTE528" s="901"/>
      <c r="MTF528" s="901"/>
      <c r="MTG528" s="901"/>
      <c r="MTH528" s="901"/>
      <c r="MTI528" s="901"/>
      <c r="MTJ528" s="901"/>
      <c r="MTK528" s="901"/>
      <c r="MTL528" s="901"/>
      <c r="MTM528" s="901"/>
      <c r="MTN528" s="901"/>
      <c r="MTO528" s="901"/>
      <c r="MTP528" s="901"/>
      <c r="MTQ528" s="901"/>
      <c r="MTR528" s="901"/>
      <c r="MTS528" s="901"/>
      <c r="MTT528" s="901"/>
      <c r="MTU528" s="901"/>
      <c r="MTV528" s="901"/>
      <c r="MTW528" s="901"/>
      <c r="MTX528" s="901"/>
      <c r="MTY528" s="901"/>
      <c r="MTZ528" s="901"/>
      <c r="MUA528" s="901"/>
      <c r="MUB528" s="901"/>
      <c r="MUC528" s="901"/>
      <c r="MUD528" s="901"/>
      <c r="MUE528" s="901"/>
      <c r="MUF528" s="901"/>
      <c r="MUG528" s="901"/>
      <c r="MUH528" s="901"/>
      <c r="MUI528" s="901"/>
      <c r="MUJ528" s="901"/>
      <c r="MUK528" s="901"/>
      <c r="MUL528" s="901"/>
      <c r="MUM528" s="901"/>
      <c r="MUN528" s="901"/>
      <c r="MUO528" s="901"/>
      <c r="MUP528" s="901"/>
      <c r="MUQ528" s="901"/>
      <c r="MUR528" s="901"/>
      <c r="MUS528" s="901"/>
      <c r="MUT528" s="901"/>
      <c r="MUU528" s="901"/>
      <c r="MUV528" s="901"/>
      <c r="MUW528" s="901"/>
      <c r="MUX528" s="901"/>
      <c r="MUY528" s="901"/>
      <c r="MUZ528" s="901"/>
      <c r="MVA528" s="901"/>
      <c r="MVB528" s="901"/>
      <c r="MVC528" s="901"/>
      <c r="MVD528" s="901"/>
      <c r="MVE528" s="901"/>
      <c r="MVF528" s="901"/>
      <c r="MVG528" s="901"/>
      <c r="MVH528" s="901"/>
      <c r="MVI528" s="901"/>
      <c r="MVJ528" s="901"/>
      <c r="MVK528" s="901"/>
      <c r="MVL528" s="901"/>
      <c r="MVM528" s="901"/>
      <c r="MVN528" s="901"/>
      <c r="MVO528" s="901"/>
      <c r="MVP528" s="901"/>
      <c r="MVQ528" s="901"/>
      <c r="MVR528" s="901"/>
      <c r="MVS528" s="901"/>
      <c r="MVT528" s="901"/>
      <c r="MVU528" s="901"/>
      <c r="MVV528" s="901"/>
      <c r="MVW528" s="901"/>
      <c r="MVX528" s="901"/>
      <c r="MVY528" s="901"/>
      <c r="MVZ528" s="901"/>
      <c r="MWA528" s="901"/>
      <c r="MWB528" s="901"/>
      <c r="MWC528" s="901"/>
      <c r="MWD528" s="901"/>
      <c r="MWE528" s="901"/>
      <c r="MWF528" s="901"/>
      <c r="MWG528" s="901"/>
      <c r="MWH528" s="901"/>
      <c r="MWI528" s="901"/>
      <c r="MWJ528" s="901"/>
      <c r="MWK528" s="901"/>
      <c r="MWL528" s="901"/>
      <c r="MWM528" s="901"/>
      <c r="MWN528" s="901"/>
      <c r="MWO528" s="901"/>
      <c r="MWP528" s="901"/>
      <c r="MWQ528" s="901"/>
      <c r="MWR528" s="901"/>
      <c r="MWS528" s="901"/>
      <c r="MWT528" s="901"/>
      <c r="MWU528" s="901"/>
      <c r="MWV528" s="901"/>
      <c r="MWW528" s="901"/>
      <c r="MWX528" s="901"/>
      <c r="MWY528" s="901"/>
      <c r="MWZ528" s="901"/>
      <c r="MXA528" s="901"/>
      <c r="MXB528" s="901"/>
      <c r="MXC528" s="901"/>
      <c r="MXD528" s="901"/>
      <c r="MXE528" s="901"/>
      <c r="MXF528" s="901"/>
      <c r="MXG528" s="901"/>
      <c r="MXH528" s="901"/>
      <c r="MXI528" s="901"/>
      <c r="MXJ528" s="901"/>
      <c r="MXK528" s="901"/>
      <c r="MXL528" s="901"/>
      <c r="MXM528" s="901"/>
      <c r="MXN528" s="901"/>
      <c r="MXO528" s="901"/>
      <c r="MXP528" s="901"/>
      <c r="MXQ528" s="901"/>
      <c r="MXR528" s="901"/>
      <c r="MXS528" s="901"/>
      <c r="MXT528" s="901"/>
      <c r="MXU528" s="901"/>
      <c r="MXV528" s="901"/>
      <c r="MXW528" s="901"/>
      <c r="MXX528" s="901"/>
      <c r="MXY528" s="901"/>
      <c r="MXZ528" s="901"/>
      <c r="MYA528" s="901"/>
      <c r="MYB528" s="901"/>
      <c r="MYC528" s="901"/>
      <c r="MYD528" s="901"/>
      <c r="MYE528" s="901"/>
      <c r="MYF528" s="901"/>
      <c r="MYG528" s="901"/>
      <c r="MYH528" s="901"/>
      <c r="MYI528" s="901"/>
      <c r="MYJ528" s="901"/>
      <c r="MYK528" s="901"/>
      <c r="MYL528" s="901"/>
      <c r="MYM528" s="901"/>
      <c r="MYN528" s="901"/>
      <c r="MYO528" s="901"/>
      <c r="MYP528" s="901"/>
      <c r="MYQ528" s="901"/>
      <c r="MYR528" s="901"/>
      <c r="MYS528" s="901"/>
      <c r="MYT528" s="901"/>
      <c r="MYU528" s="901"/>
      <c r="MYV528" s="901"/>
      <c r="MYW528" s="901"/>
      <c r="MYX528" s="901"/>
      <c r="MYY528" s="901"/>
      <c r="MYZ528" s="901"/>
      <c r="MZA528" s="901"/>
      <c r="MZB528" s="901"/>
      <c r="MZC528" s="901"/>
      <c r="MZD528" s="901"/>
      <c r="MZE528" s="901"/>
      <c r="MZF528" s="901"/>
      <c r="MZG528" s="901"/>
      <c r="MZH528" s="901"/>
      <c r="MZI528" s="901"/>
      <c r="MZJ528" s="901"/>
      <c r="MZK528" s="901"/>
      <c r="MZL528" s="901"/>
      <c r="MZM528" s="901"/>
      <c r="MZN528" s="901"/>
      <c r="MZO528" s="901"/>
      <c r="MZP528" s="901"/>
      <c r="MZQ528" s="901"/>
      <c r="MZR528" s="901"/>
      <c r="MZS528" s="901"/>
      <c r="MZT528" s="901"/>
      <c r="MZU528" s="901"/>
      <c r="MZV528" s="901"/>
      <c r="MZW528" s="901"/>
      <c r="MZX528" s="901"/>
      <c r="MZY528" s="901"/>
      <c r="MZZ528" s="901"/>
      <c r="NAA528" s="901"/>
      <c r="NAB528" s="901"/>
      <c r="NAC528" s="901"/>
      <c r="NAD528" s="901"/>
      <c r="NAE528" s="901"/>
      <c r="NAF528" s="901"/>
      <c r="NAG528" s="901"/>
      <c r="NAH528" s="901"/>
      <c r="NAI528" s="901"/>
      <c r="NAJ528" s="901"/>
      <c r="NAK528" s="901"/>
      <c r="NAL528" s="901"/>
      <c r="NAM528" s="901"/>
      <c r="NAN528" s="901"/>
      <c r="NAO528" s="901"/>
      <c r="NAP528" s="901"/>
      <c r="NAQ528" s="901"/>
      <c r="NAR528" s="901"/>
      <c r="NAS528" s="901"/>
      <c r="NAT528" s="901"/>
      <c r="NAU528" s="901"/>
      <c r="NAV528" s="901"/>
      <c r="NAW528" s="901"/>
      <c r="NAX528" s="901"/>
      <c r="NAY528" s="901"/>
      <c r="NAZ528" s="901"/>
      <c r="NBA528" s="901"/>
      <c r="NBB528" s="901"/>
      <c r="NBC528" s="901"/>
      <c r="NBD528" s="901"/>
      <c r="NBE528" s="901"/>
      <c r="NBF528" s="901"/>
      <c r="NBG528" s="901"/>
      <c r="NBH528" s="901"/>
      <c r="NBI528" s="901"/>
      <c r="NBJ528" s="901"/>
      <c r="NBK528" s="901"/>
      <c r="NBL528" s="901"/>
      <c r="NBM528" s="901"/>
      <c r="NBN528" s="901"/>
      <c r="NBO528" s="901"/>
      <c r="NBP528" s="901"/>
      <c r="NBQ528" s="901"/>
      <c r="NBR528" s="901"/>
      <c r="NBS528" s="901"/>
      <c r="NBT528" s="901"/>
      <c r="NBU528" s="901"/>
      <c r="NBV528" s="901"/>
      <c r="NBW528" s="901"/>
      <c r="NBX528" s="901"/>
      <c r="NBY528" s="901"/>
      <c r="NBZ528" s="901"/>
      <c r="NCA528" s="901"/>
      <c r="NCB528" s="901"/>
      <c r="NCC528" s="901"/>
      <c r="NCD528" s="901"/>
      <c r="NCE528" s="901"/>
      <c r="NCF528" s="901"/>
      <c r="NCG528" s="901"/>
      <c r="NCH528" s="901"/>
      <c r="NCI528" s="901"/>
      <c r="NCJ528" s="901"/>
      <c r="NCK528" s="901"/>
      <c r="NCL528" s="901"/>
      <c r="NCM528" s="901"/>
      <c r="NCN528" s="901"/>
      <c r="NCO528" s="901"/>
      <c r="NCP528" s="901"/>
      <c r="NCQ528" s="901"/>
      <c r="NCR528" s="901"/>
      <c r="NCS528" s="901"/>
      <c r="NCT528" s="901"/>
      <c r="NCU528" s="901"/>
      <c r="NCV528" s="901"/>
      <c r="NCW528" s="901"/>
      <c r="NCX528" s="901"/>
      <c r="NCY528" s="901"/>
      <c r="NCZ528" s="901"/>
      <c r="NDA528" s="901"/>
      <c r="NDB528" s="901"/>
      <c r="NDC528" s="901"/>
      <c r="NDD528" s="901"/>
      <c r="NDE528" s="901"/>
      <c r="NDF528" s="901"/>
      <c r="NDG528" s="901"/>
      <c r="NDH528" s="901"/>
      <c r="NDI528" s="901"/>
      <c r="NDJ528" s="901"/>
      <c r="NDK528" s="901"/>
      <c r="NDL528" s="901"/>
      <c r="NDM528" s="901"/>
      <c r="NDN528" s="901"/>
      <c r="NDO528" s="901"/>
      <c r="NDP528" s="901"/>
      <c r="NDQ528" s="901"/>
      <c r="NDR528" s="901"/>
      <c r="NDS528" s="901"/>
      <c r="NDT528" s="901"/>
      <c r="NDU528" s="901"/>
      <c r="NDV528" s="901"/>
      <c r="NDW528" s="901"/>
      <c r="NDX528" s="901"/>
      <c r="NDY528" s="901"/>
      <c r="NDZ528" s="901"/>
      <c r="NEA528" s="901"/>
      <c r="NEB528" s="901"/>
      <c r="NEC528" s="901"/>
      <c r="NED528" s="901"/>
      <c r="NEE528" s="901"/>
      <c r="NEF528" s="901"/>
      <c r="NEG528" s="901"/>
      <c r="NEH528" s="901"/>
      <c r="NEI528" s="901"/>
      <c r="NEJ528" s="901"/>
      <c r="NEK528" s="901"/>
      <c r="NEL528" s="901"/>
      <c r="NEM528" s="901"/>
      <c r="NEN528" s="901"/>
      <c r="NEO528" s="901"/>
      <c r="NEP528" s="901"/>
      <c r="NEQ528" s="901"/>
      <c r="NER528" s="901"/>
      <c r="NES528" s="901"/>
      <c r="NET528" s="901"/>
      <c r="NEU528" s="901"/>
      <c r="NEV528" s="901"/>
      <c r="NEW528" s="901"/>
      <c r="NEX528" s="901"/>
      <c r="NEY528" s="901"/>
      <c r="NEZ528" s="901"/>
      <c r="NFA528" s="901"/>
      <c r="NFB528" s="901"/>
      <c r="NFC528" s="901"/>
      <c r="NFD528" s="901"/>
      <c r="NFE528" s="901"/>
      <c r="NFF528" s="901"/>
      <c r="NFG528" s="901"/>
      <c r="NFH528" s="901"/>
      <c r="NFI528" s="901"/>
      <c r="NFJ528" s="901"/>
      <c r="NFK528" s="901"/>
      <c r="NFL528" s="901"/>
      <c r="NFM528" s="901"/>
      <c r="NFN528" s="901"/>
      <c r="NFO528" s="901"/>
      <c r="NFP528" s="901"/>
      <c r="NFQ528" s="901"/>
      <c r="NFR528" s="901"/>
      <c r="NFS528" s="901"/>
      <c r="NFT528" s="901"/>
      <c r="NFU528" s="901"/>
      <c r="NFV528" s="901"/>
      <c r="NFW528" s="901"/>
      <c r="NFX528" s="901"/>
      <c r="NFY528" s="901"/>
      <c r="NFZ528" s="901"/>
      <c r="NGA528" s="901"/>
      <c r="NGB528" s="901"/>
      <c r="NGC528" s="901"/>
      <c r="NGD528" s="901"/>
      <c r="NGE528" s="901"/>
      <c r="NGF528" s="901"/>
      <c r="NGG528" s="901"/>
      <c r="NGH528" s="901"/>
      <c r="NGI528" s="901"/>
      <c r="NGJ528" s="901"/>
      <c r="NGK528" s="901"/>
      <c r="NGL528" s="901"/>
      <c r="NGM528" s="901"/>
      <c r="NGN528" s="901"/>
      <c r="NGO528" s="901"/>
      <c r="NGP528" s="901"/>
      <c r="NGQ528" s="901"/>
      <c r="NGR528" s="901"/>
      <c r="NGS528" s="901"/>
      <c r="NGT528" s="901"/>
      <c r="NGU528" s="901"/>
      <c r="NGV528" s="901"/>
      <c r="NGW528" s="901"/>
      <c r="NGX528" s="901"/>
      <c r="NGY528" s="901"/>
      <c r="NGZ528" s="901"/>
      <c r="NHA528" s="901"/>
      <c r="NHB528" s="901"/>
      <c r="NHC528" s="901"/>
      <c r="NHD528" s="901"/>
      <c r="NHE528" s="901"/>
      <c r="NHF528" s="901"/>
      <c r="NHG528" s="901"/>
      <c r="NHH528" s="901"/>
      <c r="NHI528" s="901"/>
      <c r="NHJ528" s="901"/>
      <c r="NHK528" s="901"/>
      <c r="NHL528" s="901"/>
      <c r="NHM528" s="901"/>
      <c r="NHN528" s="901"/>
      <c r="NHO528" s="901"/>
      <c r="NHP528" s="901"/>
      <c r="NHQ528" s="901"/>
      <c r="NHR528" s="901"/>
      <c r="NHS528" s="901"/>
      <c r="NHT528" s="901"/>
      <c r="NHU528" s="901"/>
      <c r="NHV528" s="901"/>
      <c r="NHW528" s="901"/>
      <c r="NHX528" s="901"/>
      <c r="NHY528" s="901"/>
      <c r="NHZ528" s="901"/>
      <c r="NIA528" s="901"/>
      <c r="NIB528" s="901"/>
      <c r="NIC528" s="901"/>
      <c r="NID528" s="901"/>
      <c r="NIE528" s="901"/>
      <c r="NIF528" s="901"/>
      <c r="NIG528" s="901"/>
      <c r="NIH528" s="901"/>
      <c r="NII528" s="901"/>
      <c r="NIJ528" s="901"/>
      <c r="NIK528" s="901"/>
      <c r="NIL528" s="901"/>
      <c r="NIM528" s="901"/>
      <c r="NIN528" s="901"/>
      <c r="NIO528" s="901"/>
      <c r="NIP528" s="901"/>
      <c r="NIQ528" s="901"/>
      <c r="NIR528" s="901"/>
      <c r="NIS528" s="901"/>
      <c r="NIT528" s="901"/>
      <c r="NIU528" s="901"/>
      <c r="NIV528" s="901"/>
      <c r="NIW528" s="901"/>
      <c r="NIX528" s="901"/>
      <c r="NIY528" s="901"/>
      <c r="NIZ528" s="901"/>
      <c r="NJA528" s="901"/>
      <c r="NJB528" s="901"/>
      <c r="NJC528" s="901"/>
      <c r="NJD528" s="901"/>
      <c r="NJE528" s="901"/>
      <c r="NJF528" s="901"/>
      <c r="NJG528" s="901"/>
      <c r="NJH528" s="901"/>
      <c r="NJI528" s="901"/>
      <c r="NJJ528" s="901"/>
      <c r="NJK528" s="901"/>
      <c r="NJL528" s="901"/>
      <c r="NJM528" s="901"/>
      <c r="NJN528" s="901"/>
      <c r="NJO528" s="901"/>
      <c r="NJP528" s="901"/>
      <c r="NJQ528" s="901"/>
      <c r="NJR528" s="901"/>
      <c r="NJS528" s="901"/>
      <c r="NJT528" s="901"/>
      <c r="NJU528" s="901"/>
      <c r="NJV528" s="901"/>
      <c r="NJW528" s="901"/>
      <c r="NJX528" s="901"/>
      <c r="NJY528" s="901"/>
      <c r="NJZ528" s="901"/>
      <c r="NKA528" s="901"/>
      <c r="NKB528" s="901"/>
      <c r="NKC528" s="901"/>
      <c r="NKD528" s="901"/>
      <c r="NKE528" s="901"/>
      <c r="NKF528" s="901"/>
      <c r="NKG528" s="901"/>
      <c r="NKH528" s="901"/>
      <c r="NKI528" s="901"/>
      <c r="NKJ528" s="901"/>
      <c r="NKK528" s="901"/>
      <c r="NKL528" s="901"/>
      <c r="NKM528" s="901"/>
      <c r="NKN528" s="901"/>
      <c r="NKO528" s="901"/>
      <c r="NKP528" s="901"/>
      <c r="NKQ528" s="901"/>
      <c r="NKR528" s="901"/>
      <c r="NKS528" s="901"/>
      <c r="NKT528" s="901"/>
      <c r="NKU528" s="901"/>
      <c r="NKV528" s="901"/>
      <c r="NKW528" s="901"/>
      <c r="NKX528" s="901"/>
      <c r="NKY528" s="901"/>
      <c r="NKZ528" s="901"/>
      <c r="NLA528" s="901"/>
      <c r="NLB528" s="901"/>
      <c r="NLC528" s="901"/>
      <c r="NLD528" s="901"/>
      <c r="NLE528" s="901"/>
      <c r="NLF528" s="901"/>
      <c r="NLG528" s="901"/>
      <c r="NLH528" s="901"/>
      <c r="NLI528" s="901"/>
      <c r="NLJ528" s="901"/>
      <c r="NLK528" s="901"/>
      <c r="NLL528" s="901"/>
      <c r="NLM528" s="901"/>
      <c r="NLN528" s="901"/>
      <c r="NLO528" s="901"/>
      <c r="NLP528" s="901"/>
      <c r="NLQ528" s="901"/>
      <c r="NLR528" s="901"/>
      <c r="NLS528" s="901"/>
      <c r="NLT528" s="901"/>
      <c r="NLU528" s="901"/>
      <c r="NLV528" s="901"/>
      <c r="NLW528" s="901"/>
      <c r="NLX528" s="901"/>
      <c r="NLY528" s="901"/>
      <c r="NLZ528" s="901"/>
      <c r="NMA528" s="901"/>
      <c r="NMB528" s="901"/>
      <c r="NMC528" s="901"/>
      <c r="NMD528" s="901"/>
      <c r="NME528" s="901"/>
      <c r="NMF528" s="901"/>
      <c r="NMG528" s="901"/>
      <c r="NMH528" s="901"/>
      <c r="NMI528" s="901"/>
      <c r="NMJ528" s="901"/>
      <c r="NMK528" s="901"/>
      <c r="NML528" s="901"/>
      <c r="NMM528" s="901"/>
      <c r="NMN528" s="901"/>
      <c r="NMO528" s="901"/>
      <c r="NMP528" s="901"/>
      <c r="NMQ528" s="901"/>
      <c r="NMR528" s="901"/>
      <c r="NMS528" s="901"/>
      <c r="NMT528" s="901"/>
      <c r="NMU528" s="901"/>
      <c r="NMV528" s="901"/>
      <c r="NMW528" s="901"/>
      <c r="NMX528" s="901"/>
      <c r="NMY528" s="901"/>
      <c r="NMZ528" s="901"/>
      <c r="NNA528" s="901"/>
      <c r="NNB528" s="901"/>
      <c r="NNC528" s="901"/>
      <c r="NND528" s="901"/>
      <c r="NNE528" s="901"/>
      <c r="NNF528" s="901"/>
      <c r="NNG528" s="901"/>
      <c r="NNH528" s="901"/>
      <c r="NNI528" s="901"/>
      <c r="NNJ528" s="901"/>
      <c r="NNK528" s="901"/>
      <c r="NNL528" s="901"/>
      <c r="NNM528" s="901"/>
      <c r="NNN528" s="901"/>
      <c r="NNO528" s="901"/>
      <c r="NNP528" s="901"/>
      <c r="NNQ528" s="901"/>
      <c r="NNR528" s="901"/>
      <c r="NNS528" s="901"/>
      <c r="NNT528" s="901"/>
      <c r="NNU528" s="901"/>
      <c r="NNV528" s="901"/>
      <c r="NNW528" s="901"/>
      <c r="NNX528" s="901"/>
      <c r="NNY528" s="901"/>
      <c r="NNZ528" s="901"/>
      <c r="NOA528" s="901"/>
      <c r="NOB528" s="901"/>
      <c r="NOC528" s="901"/>
      <c r="NOD528" s="901"/>
      <c r="NOE528" s="901"/>
      <c r="NOF528" s="901"/>
      <c r="NOG528" s="901"/>
      <c r="NOH528" s="901"/>
      <c r="NOI528" s="901"/>
      <c r="NOJ528" s="901"/>
      <c r="NOK528" s="901"/>
      <c r="NOL528" s="901"/>
      <c r="NOM528" s="901"/>
      <c r="NON528" s="901"/>
      <c r="NOO528" s="901"/>
      <c r="NOP528" s="901"/>
      <c r="NOQ528" s="901"/>
      <c r="NOR528" s="901"/>
      <c r="NOS528" s="901"/>
      <c r="NOT528" s="901"/>
      <c r="NOU528" s="901"/>
      <c r="NOV528" s="901"/>
      <c r="NOW528" s="901"/>
      <c r="NOX528" s="901"/>
      <c r="NOY528" s="901"/>
      <c r="NOZ528" s="901"/>
      <c r="NPA528" s="901"/>
      <c r="NPB528" s="901"/>
      <c r="NPC528" s="901"/>
      <c r="NPD528" s="901"/>
      <c r="NPE528" s="901"/>
      <c r="NPF528" s="901"/>
      <c r="NPG528" s="901"/>
      <c r="NPH528" s="901"/>
      <c r="NPI528" s="901"/>
      <c r="NPJ528" s="901"/>
      <c r="NPK528" s="901"/>
      <c r="NPL528" s="901"/>
      <c r="NPM528" s="901"/>
      <c r="NPN528" s="901"/>
      <c r="NPO528" s="901"/>
      <c r="NPP528" s="901"/>
      <c r="NPQ528" s="901"/>
      <c r="NPR528" s="901"/>
      <c r="NPS528" s="901"/>
      <c r="NPT528" s="901"/>
      <c r="NPU528" s="901"/>
      <c r="NPV528" s="901"/>
      <c r="NPW528" s="901"/>
      <c r="NPX528" s="901"/>
      <c r="NPY528" s="901"/>
      <c r="NPZ528" s="901"/>
      <c r="NQA528" s="901"/>
      <c r="NQB528" s="901"/>
      <c r="NQC528" s="901"/>
      <c r="NQD528" s="901"/>
      <c r="NQE528" s="901"/>
      <c r="NQF528" s="901"/>
      <c r="NQG528" s="901"/>
      <c r="NQH528" s="901"/>
      <c r="NQI528" s="901"/>
      <c r="NQJ528" s="901"/>
      <c r="NQK528" s="901"/>
      <c r="NQL528" s="901"/>
      <c r="NQM528" s="901"/>
      <c r="NQN528" s="901"/>
      <c r="NQO528" s="901"/>
      <c r="NQP528" s="901"/>
      <c r="NQQ528" s="901"/>
      <c r="NQR528" s="901"/>
      <c r="NQS528" s="901"/>
      <c r="NQT528" s="901"/>
      <c r="NQU528" s="901"/>
      <c r="NQV528" s="901"/>
      <c r="NQW528" s="901"/>
      <c r="NQX528" s="901"/>
      <c r="NQY528" s="901"/>
      <c r="NQZ528" s="901"/>
      <c r="NRA528" s="901"/>
      <c r="NRB528" s="901"/>
      <c r="NRC528" s="901"/>
      <c r="NRD528" s="901"/>
      <c r="NRE528" s="901"/>
      <c r="NRF528" s="901"/>
      <c r="NRG528" s="901"/>
      <c r="NRH528" s="901"/>
      <c r="NRI528" s="901"/>
      <c r="NRJ528" s="901"/>
      <c r="NRK528" s="901"/>
      <c r="NRL528" s="901"/>
      <c r="NRM528" s="901"/>
      <c r="NRN528" s="901"/>
      <c r="NRO528" s="901"/>
      <c r="NRP528" s="901"/>
      <c r="NRQ528" s="901"/>
      <c r="NRR528" s="901"/>
      <c r="NRS528" s="901"/>
      <c r="NRT528" s="901"/>
      <c r="NRU528" s="901"/>
      <c r="NRV528" s="901"/>
      <c r="NRW528" s="901"/>
      <c r="NRX528" s="901"/>
      <c r="NRY528" s="901"/>
      <c r="NRZ528" s="901"/>
      <c r="NSA528" s="901"/>
      <c r="NSB528" s="901"/>
      <c r="NSC528" s="901"/>
      <c r="NSD528" s="901"/>
      <c r="NSE528" s="901"/>
      <c r="NSF528" s="901"/>
      <c r="NSG528" s="901"/>
      <c r="NSH528" s="901"/>
      <c r="NSI528" s="901"/>
      <c r="NSJ528" s="901"/>
      <c r="NSK528" s="901"/>
      <c r="NSL528" s="901"/>
      <c r="NSM528" s="901"/>
      <c r="NSN528" s="901"/>
      <c r="NSO528" s="901"/>
      <c r="NSP528" s="901"/>
      <c r="NSQ528" s="901"/>
      <c r="NSR528" s="901"/>
      <c r="NSS528" s="901"/>
      <c r="NST528" s="901"/>
      <c r="NSU528" s="901"/>
      <c r="NSV528" s="901"/>
      <c r="NSW528" s="901"/>
      <c r="NSX528" s="901"/>
      <c r="NSY528" s="901"/>
      <c r="NSZ528" s="901"/>
      <c r="NTA528" s="901"/>
      <c r="NTB528" s="901"/>
      <c r="NTC528" s="901"/>
      <c r="NTD528" s="901"/>
      <c r="NTE528" s="901"/>
      <c r="NTF528" s="901"/>
      <c r="NTG528" s="901"/>
      <c r="NTH528" s="901"/>
      <c r="NTI528" s="901"/>
      <c r="NTJ528" s="901"/>
      <c r="NTK528" s="901"/>
      <c r="NTL528" s="901"/>
      <c r="NTM528" s="901"/>
      <c r="NTN528" s="901"/>
      <c r="NTO528" s="901"/>
      <c r="NTP528" s="901"/>
      <c r="NTQ528" s="901"/>
      <c r="NTR528" s="901"/>
      <c r="NTS528" s="901"/>
      <c r="NTT528" s="901"/>
      <c r="NTU528" s="901"/>
      <c r="NTV528" s="901"/>
      <c r="NTW528" s="901"/>
      <c r="NTX528" s="901"/>
      <c r="NTY528" s="901"/>
      <c r="NTZ528" s="901"/>
      <c r="NUA528" s="901"/>
      <c r="NUB528" s="901"/>
      <c r="NUC528" s="901"/>
      <c r="NUD528" s="901"/>
      <c r="NUE528" s="901"/>
      <c r="NUF528" s="901"/>
      <c r="NUG528" s="901"/>
      <c r="NUH528" s="901"/>
      <c r="NUI528" s="901"/>
      <c r="NUJ528" s="901"/>
      <c r="NUK528" s="901"/>
      <c r="NUL528" s="901"/>
      <c r="NUM528" s="901"/>
      <c r="NUN528" s="901"/>
      <c r="NUO528" s="901"/>
      <c r="NUP528" s="901"/>
      <c r="NUQ528" s="901"/>
      <c r="NUR528" s="901"/>
      <c r="NUS528" s="901"/>
      <c r="NUT528" s="901"/>
      <c r="NUU528" s="901"/>
      <c r="NUV528" s="901"/>
      <c r="NUW528" s="901"/>
      <c r="NUX528" s="901"/>
      <c r="NUY528" s="901"/>
      <c r="NUZ528" s="901"/>
      <c r="NVA528" s="901"/>
      <c r="NVB528" s="901"/>
      <c r="NVC528" s="901"/>
      <c r="NVD528" s="901"/>
      <c r="NVE528" s="901"/>
      <c r="NVF528" s="901"/>
      <c r="NVG528" s="901"/>
      <c r="NVH528" s="901"/>
      <c r="NVI528" s="901"/>
      <c r="NVJ528" s="901"/>
      <c r="NVK528" s="901"/>
      <c r="NVL528" s="901"/>
      <c r="NVM528" s="901"/>
      <c r="NVN528" s="901"/>
      <c r="NVO528" s="901"/>
      <c r="NVP528" s="901"/>
      <c r="NVQ528" s="901"/>
      <c r="NVR528" s="901"/>
      <c r="NVS528" s="901"/>
      <c r="NVT528" s="901"/>
      <c r="NVU528" s="901"/>
      <c r="NVV528" s="901"/>
      <c r="NVW528" s="901"/>
      <c r="NVX528" s="901"/>
      <c r="NVY528" s="901"/>
      <c r="NVZ528" s="901"/>
      <c r="NWA528" s="901"/>
      <c r="NWB528" s="901"/>
      <c r="NWC528" s="901"/>
      <c r="NWD528" s="901"/>
      <c r="NWE528" s="901"/>
      <c r="NWF528" s="901"/>
      <c r="NWG528" s="901"/>
      <c r="NWH528" s="901"/>
      <c r="NWI528" s="901"/>
      <c r="NWJ528" s="901"/>
      <c r="NWK528" s="901"/>
      <c r="NWL528" s="901"/>
      <c r="NWM528" s="901"/>
      <c r="NWN528" s="901"/>
      <c r="NWO528" s="901"/>
      <c r="NWP528" s="901"/>
      <c r="NWQ528" s="901"/>
      <c r="NWR528" s="901"/>
      <c r="NWS528" s="901"/>
      <c r="NWT528" s="901"/>
      <c r="NWU528" s="901"/>
      <c r="NWV528" s="901"/>
      <c r="NWW528" s="901"/>
      <c r="NWX528" s="901"/>
      <c r="NWY528" s="901"/>
      <c r="NWZ528" s="901"/>
      <c r="NXA528" s="901"/>
      <c r="NXB528" s="901"/>
      <c r="NXC528" s="901"/>
      <c r="NXD528" s="901"/>
      <c r="NXE528" s="901"/>
      <c r="NXF528" s="901"/>
      <c r="NXG528" s="901"/>
      <c r="NXH528" s="901"/>
      <c r="NXI528" s="901"/>
      <c r="NXJ528" s="901"/>
      <c r="NXK528" s="901"/>
      <c r="NXL528" s="901"/>
      <c r="NXM528" s="901"/>
      <c r="NXN528" s="901"/>
      <c r="NXO528" s="901"/>
      <c r="NXP528" s="901"/>
      <c r="NXQ528" s="901"/>
      <c r="NXR528" s="901"/>
      <c r="NXS528" s="901"/>
      <c r="NXT528" s="901"/>
      <c r="NXU528" s="901"/>
      <c r="NXV528" s="901"/>
      <c r="NXW528" s="901"/>
      <c r="NXX528" s="901"/>
      <c r="NXY528" s="901"/>
      <c r="NXZ528" s="901"/>
      <c r="NYA528" s="901"/>
      <c r="NYB528" s="901"/>
      <c r="NYC528" s="901"/>
      <c r="NYD528" s="901"/>
      <c r="NYE528" s="901"/>
      <c r="NYF528" s="901"/>
      <c r="NYG528" s="901"/>
      <c r="NYH528" s="901"/>
      <c r="NYI528" s="901"/>
      <c r="NYJ528" s="901"/>
      <c r="NYK528" s="901"/>
      <c r="NYL528" s="901"/>
      <c r="NYM528" s="901"/>
      <c r="NYN528" s="901"/>
      <c r="NYO528" s="901"/>
      <c r="NYP528" s="901"/>
      <c r="NYQ528" s="901"/>
      <c r="NYR528" s="901"/>
      <c r="NYS528" s="901"/>
      <c r="NYT528" s="901"/>
      <c r="NYU528" s="901"/>
      <c r="NYV528" s="901"/>
      <c r="NYW528" s="901"/>
      <c r="NYX528" s="901"/>
      <c r="NYY528" s="901"/>
      <c r="NYZ528" s="901"/>
      <c r="NZA528" s="901"/>
      <c r="NZB528" s="901"/>
      <c r="NZC528" s="901"/>
      <c r="NZD528" s="901"/>
      <c r="NZE528" s="901"/>
      <c r="NZF528" s="901"/>
      <c r="NZG528" s="901"/>
      <c r="NZH528" s="901"/>
      <c r="NZI528" s="901"/>
      <c r="NZJ528" s="901"/>
      <c r="NZK528" s="901"/>
      <c r="NZL528" s="901"/>
      <c r="NZM528" s="901"/>
      <c r="NZN528" s="901"/>
      <c r="NZO528" s="901"/>
      <c r="NZP528" s="901"/>
      <c r="NZQ528" s="901"/>
      <c r="NZR528" s="901"/>
      <c r="NZS528" s="901"/>
      <c r="NZT528" s="901"/>
      <c r="NZU528" s="901"/>
      <c r="NZV528" s="901"/>
      <c r="NZW528" s="901"/>
      <c r="NZX528" s="901"/>
      <c r="NZY528" s="901"/>
      <c r="NZZ528" s="901"/>
      <c r="OAA528" s="901"/>
      <c r="OAB528" s="901"/>
      <c r="OAC528" s="901"/>
      <c r="OAD528" s="901"/>
      <c r="OAE528" s="901"/>
      <c r="OAF528" s="901"/>
      <c r="OAG528" s="901"/>
      <c r="OAH528" s="901"/>
      <c r="OAI528" s="901"/>
      <c r="OAJ528" s="901"/>
      <c r="OAK528" s="901"/>
      <c r="OAL528" s="901"/>
      <c r="OAM528" s="901"/>
      <c r="OAN528" s="901"/>
      <c r="OAO528" s="901"/>
      <c r="OAP528" s="901"/>
      <c r="OAQ528" s="901"/>
      <c r="OAR528" s="901"/>
      <c r="OAS528" s="901"/>
      <c r="OAT528" s="901"/>
      <c r="OAU528" s="901"/>
      <c r="OAV528" s="901"/>
      <c r="OAW528" s="901"/>
      <c r="OAX528" s="901"/>
      <c r="OAY528" s="901"/>
      <c r="OAZ528" s="901"/>
      <c r="OBA528" s="901"/>
      <c r="OBB528" s="901"/>
      <c r="OBC528" s="901"/>
      <c r="OBD528" s="901"/>
      <c r="OBE528" s="901"/>
      <c r="OBF528" s="901"/>
      <c r="OBG528" s="901"/>
      <c r="OBH528" s="901"/>
      <c r="OBI528" s="901"/>
      <c r="OBJ528" s="901"/>
      <c r="OBK528" s="901"/>
      <c r="OBL528" s="901"/>
      <c r="OBM528" s="901"/>
      <c r="OBN528" s="901"/>
      <c r="OBO528" s="901"/>
      <c r="OBP528" s="901"/>
      <c r="OBQ528" s="901"/>
      <c r="OBR528" s="901"/>
      <c r="OBS528" s="901"/>
      <c r="OBT528" s="901"/>
      <c r="OBU528" s="901"/>
      <c r="OBV528" s="901"/>
      <c r="OBW528" s="901"/>
      <c r="OBX528" s="901"/>
      <c r="OBY528" s="901"/>
      <c r="OBZ528" s="901"/>
      <c r="OCA528" s="901"/>
      <c r="OCB528" s="901"/>
      <c r="OCC528" s="901"/>
      <c r="OCD528" s="901"/>
      <c r="OCE528" s="901"/>
      <c r="OCF528" s="901"/>
      <c r="OCG528" s="901"/>
      <c r="OCH528" s="901"/>
      <c r="OCI528" s="901"/>
      <c r="OCJ528" s="901"/>
      <c r="OCK528" s="901"/>
      <c r="OCL528" s="901"/>
      <c r="OCM528" s="901"/>
      <c r="OCN528" s="901"/>
      <c r="OCO528" s="901"/>
      <c r="OCP528" s="901"/>
      <c r="OCQ528" s="901"/>
      <c r="OCR528" s="901"/>
      <c r="OCS528" s="901"/>
      <c r="OCT528" s="901"/>
      <c r="OCU528" s="901"/>
      <c r="OCV528" s="901"/>
      <c r="OCW528" s="901"/>
      <c r="OCX528" s="901"/>
      <c r="OCY528" s="901"/>
      <c r="OCZ528" s="901"/>
      <c r="ODA528" s="901"/>
      <c r="ODB528" s="901"/>
      <c r="ODC528" s="901"/>
      <c r="ODD528" s="901"/>
      <c r="ODE528" s="901"/>
      <c r="ODF528" s="901"/>
      <c r="ODG528" s="901"/>
      <c r="ODH528" s="901"/>
      <c r="ODI528" s="901"/>
      <c r="ODJ528" s="901"/>
      <c r="ODK528" s="901"/>
      <c r="ODL528" s="901"/>
      <c r="ODM528" s="901"/>
      <c r="ODN528" s="901"/>
      <c r="ODO528" s="901"/>
      <c r="ODP528" s="901"/>
      <c r="ODQ528" s="901"/>
      <c r="ODR528" s="901"/>
      <c r="ODS528" s="901"/>
      <c r="ODT528" s="901"/>
      <c r="ODU528" s="901"/>
      <c r="ODV528" s="901"/>
      <c r="ODW528" s="901"/>
      <c r="ODX528" s="901"/>
      <c r="ODY528" s="901"/>
      <c r="ODZ528" s="901"/>
      <c r="OEA528" s="901"/>
      <c r="OEB528" s="901"/>
      <c r="OEC528" s="901"/>
      <c r="OED528" s="901"/>
      <c r="OEE528" s="901"/>
      <c r="OEF528" s="901"/>
      <c r="OEG528" s="901"/>
      <c r="OEH528" s="901"/>
      <c r="OEI528" s="901"/>
      <c r="OEJ528" s="901"/>
      <c r="OEK528" s="901"/>
      <c r="OEL528" s="901"/>
      <c r="OEM528" s="901"/>
      <c r="OEN528" s="901"/>
      <c r="OEO528" s="901"/>
      <c r="OEP528" s="901"/>
      <c r="OEQ528" s="901"/>
      <c r="OER528" s="901"/>
      <c r="OES528" s="901"/>
      <c r="OET528" s="901"/>
      <c r="OEU528" s="901"/>
      <c r="OEV528" s="901"/>
      <c r="OEW528" s="901"/>
      <c r="OEX528" s="901"/>
      <c r="OEY528" s="901"/>
      <c r="OEZ528" s="901"/>
      <c r="OFA528" s="901"/>
      <c r="OFB528" s="901"/>
      <c r="OFC528" s="901"/>
      <c r="OFD528" s="901"/>
      <c r="OFE528" s="901"/>
      <c r="OFF528" s="901"/>
      <c r="OFG528" s="901"/>
      <c r="OFH528" s="901"/>
      <c r="OFI528" s="901"/>
      <c r="OFJ528" s="901"/>
      <c r="OFK528" s="901"/>
      <c r="OFL528" s="901"/>
      <c r="OFM528" s="901"/>
      <c r="OFN528" s="901"/>
      <c r="OFO528" s="901"/>
      <c r="OFP528" s="901"/>
      <c r="OFQ528" s="901"/>
      <c r="OFR528" s="901"/>
      <c r="OFS528" s="901"/>
      <c r="OFT528" s="901"/>
      <c r="OFU528" s="901"/>
      <c r="OFV528" s="901"/>
      <c r="OFW528" s="901"/>
      <c r="OFX528" s="901"/>
      <c r="OFY528" s="901"/>
      <c r="OFZ528" s="901"/>
      <c r="OGA528" s="901"/>
      <c r="OGB528" s="901"/>
      <c r="OGC528" s="901"/>
      <c r="OGD528" s="901"/>
      <c r="OGE528" s="901"/>
      <c r="OGF528" s="901"/>
      <c r="OGG528" s="901"/>
      <c r="OGH528" s="901"/>
      <c r="OGI528" s="901"/>
      <c r="OGJ528" s="901"/>
      <c r="OGK528" s="901"/>
      <c r="OGL528" s="901"/>
      <c r="OGM528" s="901"/>
      <c r="OGN528" s="901"/>
      <c r="OGO528" s="901"/>
      <c r="OGP528" s="901"/>
      <c r="OGQ528" s="901"/>
      <c r="OGR528" s="901"/>
      <c r="OGS528" s="901"/>
      <c r="OGT528" s="901"/>
      <c r="OGU528" s="901"/>
      <c r="OGV528" s="901"/>
      <c r="OGW528" s="901"/>
      <c r="OGX528" s="901"/>
      <c r="OGY528" s="901"/>
      <c r="OGZ528" s="901"/>
      <c r="OHA528" s="901"/>
      <c r="OHB528" s="901"/>
      <c r="OHC528" s="901"/>
      <c r="OHD528" s="901"/>
      <c r="OHE528" s="901"/>
      <c r="OHF528" s="901"/>
      <c r="OHG528" s="901"/>
      <c r="OHH528" s="901"/>
      <c r="OHI528" s="901"/>
      <c r="OHJ528" s="901"/>
      <c r="OHK528" s="901"/>
      <c r="OHL528" s="901"/>
      <c r="OHM528" s="901"/>
      <c r="OHN528" s="901"/>
      <c r="OHO528" s="901"/>
      <c r="OHP528" s="901"/>
      <c r="OHQ528" s="901"/>
      <c r="OHR528" s="901"/>
      <c r="OHS528" s="901"/>
      <c r="OHT528" s="901"/>
      <c r="OHU528" s="901"/>
      <c r="OHV528" s="901"/>
      <c r="OHW528" s="901"/>
      <c r="OHX528" s="901"/>
      <c r="OHY528" s="901"/>
      <c r="OHZ528" s="901"/>
      <c r="OIA528" s="901"/>
      <c r="OIB528" s="901"/>
      <c r="OIC528" s="901"/>
      <c r="OID528" s="901"/>
      <c r="OIE528" s="901"/>
      <c r="OIF528" s="901"/>
      <c r="OIG528" s="901"/>
      <c r="OIH528" s="901"/>
      <c r="OII528" s="901"/>
      <c r="OIJ528" s="901"/>
      <c r="OIK528" s="901"/>
      <c r="OIL528" s="901"/>
      <c r="OIM528" s="901"/>
      <c r="OIN528" s="901"/>
      <c r="OIO528" s="901"/>
      <c r="OIP528" s="901"/>
      <c r="OIQ528" s="901"/>
      <c r="OIR528" s="901"/>
      <c r="OIS528" s="901"/>
      <c r="OIT528" s="901"/>
      <c r="OIU528" s="901"/>
      <c r="OIV528" s="901"/>
      <c r="OIW528" s="901"/>
      <c r="OIX528" s="901"/>
      <c r="OIY528" s="901"/>
      <c r="OIZ528" s="901"/>
      <c r="OJA528" s="901"/>
      <c r="OJB528" s="901"/>
      <c r="OJC528" s="901"/>
      <c r="OJD528" s="901"/>
      <c r="OJE528" s="901"/>
      <c r="OJF528" s="901"/>
      <c r="OJG528" s="901"/>
      <c r="OJH528" s="901"/>
      <c r="OJI528" s="901"/>
      <c r="OJJ528" s="901"/>
      <c r="OJK528" s="901"/>
      <c r="OJL528" s="901"/>
      <c r="OJM528" s="901"/>
      <c r="OJN528" s="901"/>
      <c r="OJO528" s="901"/>
      <c r="OJP528" s="901"/>
      <c r="OJQ528" s="901"/>
      <c r="OJR528" s="901"/>
      <c r="OJS528" s="901"/>
      <c r="OJT528" s="901"/>
      <c r="OJU528" s="901"/>
      <c r="OJV528" s="901"/>
      <c r="OJW528" s="901"/>
      <c r="OJX528" s="901"/>
      <c r="OJY528" s="901"/>
      <c r="OJZ528" s="901"/>
      <c r="OKA528" s="901"/>
      <c r="OKB528" s="901"/>
      <c r="OKC528" s="901"/>
      <c r="OKD528" s="901"/>
      <c r="OKE528" s="901"/>
      <c r="OKF528" s="901"/>
      <c r="OKG528" s="901"/>
      <c r="OKH528" s="901"/>
      <c r="OKI528" s="901"/>
      <c r="OKJ528" s="901"/>
      <c r="OKK528" s="901"/>
      <c r="OKL528" s="901"/>
      <c r="OKM528" s="901"/>
      <c r="OKN528" s="901"/>
      <c r="OKO528" s="901"/>
      <c r="OKP528" s="901"/>
      <c r="OKQ528" s="901"/>
      <c r="OKR528" s="901"/>
      <c r="OKS528" s="901"/>
      <c r="OKT528" s="901"/>
      <c r="OKU528" s="901"/>
      <c r="OKV528" s="901"/>
      <c r="OKW528" s="901"/>
      <c r="OKX528" s="901"/>
      <c r="OKY528" s="901"/>
      <c r="OKZ528" s="901"/>
      <c r="OLA528" s="901"/>
      <c r="OLB528" s="901"/>
      <c r="OLC528" s="901"/>
      <c r="OLD528" s="901"/>
      <c r="OLE528" s="901"/>
      <c r="OLF528" s="901"/>
      <c r="OLG528" s="901"/>
      <c r="OLH528" s="901"/>
      <c r="OLI528" s="901"/>
      <c r="OLJ528" s="901"/>
      <c r="OLK528" s="901"/>
      <c r="OLL528" s="901"/>
      <c r="OLM528" s="901"/>
      <c r="OLN528" s="901"/>
      <c r="OLO528" s="901"/>
      <c r="OLP528" s="901"/>
      <c r="OLQ528" s="901"/>
      <c r="OLR528" s="901"/>
      <c r="OLS528" s="901"/>
      <c r="OLT528" s="901"/>
      <c r="OLU528" s="901"/>
      <c r="OLV528" s="901"/>
      <c r="OLW528" s="901"/>
      <c r="OLX528" s="901"/>
      <c r="OLY528" s="901"/>
      <c r="OLZ528" s="901"/>
      <c r="OMA528" s="901"/>
      <c r="OMB528" s="901"/>
      <c r="OMC528" s="901"/>
      <c r="OMD528" s="901"/>
      <c r="OME528" s="901"/>
      <c r="OMF528" s="901"/>
      <c r="OMG528" s="901"/>
      <c r="OMH528" s="901"/>
      <c r="OMI528" s="901"/>
      <c r="OMJ528" s="901"/>
      <c r="OMK528" s="901"/>
      <c r="OML528" s="901"/>
      <c r="OMM528" s="901"/>
      <c r="OMN528" s="901"/>
      <c r="OMO528" s="901"/>
      <c r="OMP528" s="901"/>
      <c r="OMQ528" s="901"/>
      <c r="OMR528" s="901"/>
      <c r="OMS528" s="901"/>
      <c r="OMT528" s="901"/>
      <c r="OMU528" s="901"/>
      <c r="OMV528" s="901"/>
      <c r="OMW528" s="901"/>
      <c r="OMX528" s="901"/>
      <c r="OMY528" s="901"/>
      <c r="OMZ528" s="901"/>
      <c r="ONA528" s="901"/>
      <c r="ONB528" s="901"/>
      <c r="ONC528" s="901"/>
      <c r="OND528" s="901"/>
      <c r="ONE528" s="901"/>
      <c r="ONF528" s="901"/>
      <c r="ONG528" s="901"/>
      <c r="ONH528" s="901"/>
      <c r="ONI528" s="901"/>
      <c r="ONJ528" s="901"/>
      <c r="ONK528" s="901"/>
      <c r="ONL528" s="901"/>
      <c r="ONM528" s="901"/>
      <c r="ONN528" s="901"/>
      <c r="ONO528" s="901"/>
      <c r="ONP528" s="901"/>
      <c r="ONQ528" s="901"/>
      <c r="ONR528" s="901"/>
      <c r="ONS528" s="901"/>
      <c r="ONT528" s="901"/>
      <c r="ONU528" s="901"/>
      <c r="ONV528" s="901"/>
      <c r="ONW528" s="901"/>
      <c r="ONX528" s="901"/>
      <c r="ONY528" s="901"/>
      <c r="ONZ528" s="901"/>
      <c r="OOA528" s="901"/>
      <c r="OOB528" s="901"/>
      <c r="OOC528" s="901"/>
      <c r="OOD528" s="901"/>
      <c r="OOE528" s="901"/>
      <c r="OOF528" s="901"/>
      <c r="OOG528" s="901"/>
      <c r="OOH528" s="901"/>
      <c r="OOI528" s="901"/>
      <c r="OOJ528" s="901"/>
      <c r="OOK528" s="901"/>
      <c r="OOL528" s="901"/>
      <c r="OOM528" s="901"/>
      <c r="OON528" s="901"/>
      <c r="OOO528" s="901"/>
      <c r="OOP528" s="901"/>
      <c r="OOQ528" s="901"/>
      <c r="OOR528" s="901"/>
      <c r="OOS528" s="901"/>
      <c r="OOT528" s="901"/>
      <c r="OOU528" s="901"/>
      <c r="OOV528" s="901"/>
      <c r="OOW528" s="901"/>
      <c r="OOX528" s="901"/>
      <c r="OOY528" s="901"/>
      <c r="OOZ528" s="901"/>
      <c r="OPA528" s="901"/>
      <c r="OPB528" s="901"/>
      <c r="OPC528" s="901"/>
      <c r="OPD528" s="901"/>
      <c r="OPE528" s="901"/>
      <c r="OPF528" s="901"/>
      <c r="OPG528" s="901"/>
      <c r="OPH528" s="901"/>
      <c r="OPI528" s="901"/>
      <c r="OPJ528" s="901"/>
      <c r="OPK528" s="901"/>
      <c r="OPL528" s="901"/>
      <c r="OPM528" s="901"/>
      <c r="OPN528" s="901"/>
      <c r="OPO528" s="901"/>
      <c r="OPP528" s="901"/>
      <c r="OPQ528" s="901"/>
      <c r="OPR528" s="901"/>
      <c r="OPS528" s="901"/>
      <c r="OPT528" s="901"/>
      <c r="OPU528" s="901"/>
      <c r="OPV528" s="901"/>
      <c r="OPW528" s="901"/>
      <c r="OPX528" s="901"/>
      <c r="OPY528" s="901"/>
      <c r="OPZ528" s="901"/>
      <c r="OQA528" s="901"/>
      <c r="OQB528" s="901"/>
      <c r="OQC528" s="901"/>
      <c r="OQD528" s="901"/>
      <c r="OQE528" s="901"/>
      <c r="OQF528" s="901"/>
      <c r="OQG528" s="901"/>
      <c r="OQH528" s="901"/>
      <c r="OQI528" s="901"/>
      <c r="OQJ528" s="901"/>
      <c r="OQK528" s="901"/>
      <c r="OQL528" s="901"/>
      <c r="OQM528" s="901"/>
      <c r="OQN528" s="901"/>
      <c r="OQO528" s="901"/>
      <c r="OQP528" s="901"/>
      <c r="OQQ528" s="901"/>
      <c r="OQR528" s="901"/>
      <c r="OQS528" s="901"/>
      <c r="OQT528" s="901"/>
      <c r="OQU528" s="901"/>
      <c r="OQV528" s="901"/>
      <c r="OQW528" s="901"/>
      <c r="OQX528" s="901"/>
      <c r="OQY528" s="901"/>
      <c r="OQZ528" s="901"/>
      <c r="ORA528" s="901"/>
      <c r="ORB528" s="901"/>
      <c r="ORC528" s="901"/>
      <c r="ORD528" s="901"/>
      <c r="ORE528" s="901"/>
      <c r="ORF528" s="901"/>
      <c r="ORG528" s="901"/>
      <c r="ORH528" s="901"/>
      <c r="ORI528" s="901"/>
      <c r="ORJ528" s="901"/>
      <c r="ORK528" s="901"/>
      <c r="ORL528" s="901"/>
      <c r="ORM528" s="901"/>
      <c r="ORN528" s="901"/>
      <c r="ORO528" s="901"/>
      <c r="ORP528" s="901"/>
      <c r="ORQ528" s="901"/>
      <c r="ORR528" s="901"/>
      <c r="ORS528" s="901"/>
      <c r="ORT528" s="901"/>
      <c r="ORU528" s="901"/>
      <c r="ORV528" s="901"/>
      <c r="ORW528" s="901"/>
      <c r="ORX528" s="901"/>
      <c r="ORY528" s="901"/>
      <c r="ORZ528" s="901"/>
      <c r="OSA528" s="901"/>
      <c r="OSB528" s="901"/>
      <c r="OSC528" s="901"/>
      <c r="OSD528" s="901"/>
      <c r="OSE528" s="901"/>
      <c r="OSF528" s="901"/>
      <c r="OSG528" s="901"/>
      <c r="OSH528" s="901"/>
      <c r="OSI528" s="901"/>
      <c r="OSJ528" s="901"/>
      <c r="OSK528" s="901"/>
      <c r="OSL528" s="901"/>
      <c r="OSM528" s="901"/>
      <c r="OSN528" s="901"/>
      <c r="OSO528" s="901"/>
      <c r="OSP528" s="901"/>
      <c r="OSQ528" s="901"/>
      <c r="OSR528" s="901"/>
      <c r="OSS528" s="901"/>
      <c r="OST528" s="901"/>
      <c r="OSU528" s="901"/>
      <c r="OSV528" s="901"/>
      <c r="OSW528" s="901"/>
      <c r="OSX528" s="901"/>
      <c r="OSY528" s="901"/>
      <c r="OSZ528" s="901"/>
      <c r="OTA528" s="901"/>
      <c r="OTB528" s="901"/>
      <c r="OTC528" s="901"/>
      <c r="OTD528" s="901"/>
      <c r="OTE528" s="901"/>
      <c r="OTF528" s="901"/>
      <c r="OTG528" s="901"/>
      <c r="OTH528" s="901"/>
      <c r="OTI528" s="901"/>
      <c r="OTJ528" s="901"/>
      <c r="OTK528" s="901"/>
      <c r="OTL528" s="901"/>
      <c r="OTM528" s="901"/>
      <c r="OTN528" s="901"/>
      <c r="OTO528" s="901"/>
      <c r="OTP528" s="901"/>
      <c r="OTQ528" s="901"/>
      <c r="OTR528" s="901"/>
      <c r="OTS528" s="901"/>
      <c r="OTT528" s="901"/>
      <c r="OTU528" s="901"/>
      <c r="OTV528" s="901"/>
      <c r="OTW528" s="901"/>
      <c r="OTX528" s="901"/>
      <c r="OTY528" s="901"/>
      <c r="OTZ528" s="901"/>
      <c r="OUA528" s="901"/>
      <c r="OUB528" s="901"/>
      <c r="OUC528" s="901"/>
      <c r="OUD528" s="901"/>
      <c r="OUE528" s="901"/>
      <c r="OUF528" s="901"/>
      <c r="OUG528" s="901"/>
      <c r="OUH528" s="901"/>
      <c r="OUI528" s="901"/>
      <c r="OUJ528" s="901"/>
      <c r="OUK528" s="901"/>
      <c r="OUL528" s="901"/>
      <c r="OUM528" s="901"/>
      <c r="OUN528" s="901"/>
      <c r="OUO528" s="901"/>
      <c r="OUP528" s="901"/>
      <c r="OUQ528" s="901"/>
      <c r="OUR528" s="901"/>
      <c r="OUS528" s="901"/>
      <c r="OUT528" s="901"/>
      <c r="OUU528" s="901"/>
      <c r="OUV528" s="901"/>
      <c r="OUW528" s="901"/>
      <c r="OUX528" s="901"/>
      <c r="OUY528" s="901"/>
      <c r="OUZ528" s="901"/>
      <c r="OVA528" s="901"/>
      <c r="OVB528" s="901"/>
      <c r="OVC528" s="901"/>
      <c r="OVD528" s="901"/>
      <c r="OVE528" s="901"/>
      <c r="OVF528" s="901"/>
      <c r="OVG528" s="901"/>
      <c r="OVH528" s="901"/>
      <c r="OVI528" s="901"/>
      <c r="OVJ528" s="901"/>
      <c r="OVK528" s="901"/>
      <c r="OVL528" s="901"/>
      <c r="OVM528" s="901"/>
      <c r="OVN528" s="901"/>
      <c r="OVO528" s="901"/>
      <c r="OVP528" s="901"/>
      <c r="OVQ528" s="901"/>
      <c r="OVR528" s="901"/>
      <c r="OVS528" s="901"/>
      <c r="OVT528" s="901"/>
      <c r="OVU528" s="901"/>
      <c r="OVV528" s="901"/>
      <c r="OVW528" s="901"/>
      <c r="OVX528" s="901"/>
      <c r="OVY528" s="901"/>
      <c r="OVZ528" s="901"/>
      <c r="OWA528" s="901"/>
      <c r="OWB528" s="901"/>
      <c r="OWC528" s="901"/>
      <c r="OWD528" s="901"/>
      <c r="OWE528" s="901"/>
      <c r="OWF528" s="901"/>
      <c r="OWG528" s="901"/>
      <c r="OWH528" s="901"/>
      <c r="OWI528" s="901"/>
      <c r="OWJ528" s="901"/>
      <c r="OWK528" s="901"/>
      <c r="OWL528" s="901"/>
      <c r="OWM528" s="901"/>
      <c r="OWN528" s="901"/>
      <c r="OWO528" s="901"/>
      <c r="OWP528" s="901"/>
      <c r="OWQ528" s="901"/>
      <c r="OWR528" s="901"/>
      <c r="OWS528" s="901"/>
      <c r="OWT528" s="901"/>
      <c r="OWU528" s="901"/>
      <c r="OWV528" s="901"/>
      <c r="OWW528" s="901"/>
      <c r="OWX528" s="901"/>
      <c r="OWY528" s="901"/>
      <c r="OWZ528" s="901"/>
      <c r="OXA528" s="901"/>
      <c r="OXB528" s="901"/>
      <c r="OXC528" s="901"/>
      <c r="OXD528" s="901"/>
      <c r="OXE528" s="901"/>
      <c r="OXF528" s="901"/>
      <c r="OXG528" s="901"/>
      <c r="OXH528" s="901"/>
      <c r="OXI528" s="901"/>
      <c r="OXJ528" s="901"/>
      <c r="OXK528" s="901"/>
      <c r="OXL528" s="901"/>
      <c r="OXM528" s="901"/>
      <c r="OXN528" s="901"/>
      <c r="OXO528" s="901"/>
      <c r="OXP528" s="901"/>
      <c r="OXQ528" s="901"/>
      <c r="OXR528" s="901"/>
      <c r="OXS528" s="901"/>
      <c r="OXT528" s="901"/>
      <c r="OXU528" s="901"/>
      <c r="OXV528" s="901"/>
      <c r="OXW528" s="901"/>
      <c r="OXX528" s="901"/>
      <c r="OXY528" s="901"/>
      <c r="OXZ528" s="901"/>
      <c r="OYA528" s="901"/>
      <c r="OYB528" s="901"/>
      <c r="OYC528" s="901"/>
      <c r="OYD528" s="901"/>
      <c r="OYE528" s="901"/>
      <c r="OYF528" s="901"/>
      <c r="OYG528" s="901"/>
      <c r="OYH528" s="901"/>
      <c r="OYI528" s="901"/>
      <c r="OYJ528" s="901"/>
      <c r="OYK528" s="901"/>
      <c r="OYL528" s="901"/>
      <c r="OYM528" s="901"/>
      <c r="OYN528" s="901"/>
      <c r="OYO528" s="901"/>
      <c r="OYP528" s="901"/>
      <c r="OYQ528" s="901"/>
      <c r="OYR528" s="901"/>
      <c r="OYS528" s="901"/>
      <c r="OYT528" s="901"/>
      <c r="OYU528" s="901"/>
      <c r="OYV528" s="901"/>
      <c r="OYW528" s="901"/>
      <c r="OYX528" s="901"/>
      <c r="OYY528" s="901"/>
      <c r="OYZ528" s="901"/>
      <c r="OZA528" s="901"/>
      <c r="OZB528" s="901"/>
      <c r="OZC528" s="901"/>
      <c r="OZD528" s="901"/>
      <c r="OZE528" s="901"/>
      <c r="OZF528" s="901"/>
      <c r="OZG528" s="901"/>
      <c r="OZH528" s="901"/>
      <c r="OZI528" s="901"/>
      <c r="OZJ528" s="901"/>
      <c r="OZK528" s="901"/>
      <c r="OZL528" s="901"/>
      <c r="OZM528" s="901"/>
      <c r="OZN528" s="901"/>
      <c r="OZO528" s="901"/>
      <c r="OZP528" s="901"/>
      <c r="OZQ528" s="901"/>
      <c r="OZR528" s="901"/>
      <c r="OZS528" s="901"/>
      <c r="OZT528" s="901"/>
      <c r="OZU528" s="901"/>
      <c r="OZV528" s="901"/>
      <c r="OZW528" s="901"/>
      <c r="OZX528" s="901"/>
      <c r="OZY528" s="901"/>
      <c r="OZZ528" s="901"/>
      <c r="PAA528" s="901"/>
      <c r="PAB528" s="901"/>
      <c r="PAC528" s="901"/>
      <c r="PAD528" s="901"/>
      <c r="PAE528" s="901"/>
      <c r="PAF528" s="901"/>
      <c r="PAG528" s="901"/>
      <c r="PAH528" s="901"/>
      <c r="PAI528" s="901"/>
      <c r="PAJ528" s="901"/>
      <c r="PAK528" s="901"/>
      <c r="PAL528" s="901"/>
      <c r="PAM528" s="901"/>
      <c r="PAN528" s="901"/>
      <c r="PAO528" s="901"/>
      <c r="PAP528" s="901"/>
      <c r="PAQ528" s="901"/>
      <c r="PAR528" s="901"/>
      <c r="PAS528" s="901"/>
      <c r="PAT528" s="901"/>
      <c r="PAU528" s="901"/>
      <c r="PAV528" s="901"/>
      <c r="PAW528" s="901"/>
      <c r="PAX528" s="901"/>
      <c r="PAY528" s="901"/>
      <c r="PAZ528" s="901"/>
      <c r="PBA528" s="901"/>
      <c r="PBB528" s="901"/>
      <c r="PBC528" s="901"/>
      <c r="PBD528" s="901"/>
      <c r="PBE528" s="901"/>
      <c r="PBF528" s="901"/>
      <c r="PBG528" s="901"/>
      <c r="PBH528" s="901"/>
      <c r="PBI528" s="901"/>
      <c r="PBJ528" s="901"/>
      <c r="PBK528" s="901"/>
      <c r="PBL528" s="901"/>
      <c r="PBM528" s="901"/>
      <c r="PBN528" s="901"/>
      <c r="PBO528" s="901"/>
      <c r="PBP528" s="901"/>
      <c r="PBQ528" s="901"/>
      <c r="PBR528" s="901"/>
      <c r="PBS528" s="901"/>
      <c r="PBT528" s="901"/>
      <c r="PBU528" s="901"/>
      <c r="PBV528" s="901"/>
      <c r="PBW528" s="901"/>
      <c r="PBX528" s="901"/>
      <c r="PBY528" s="901"/>
      <c r="PBZ528" s="901"/>
      <c r="PCA528" s="901"/>
      <c r="PCB528" s="901"/>
      <c r="PCC528" s="901"/>
      <c r="PCD528" s="901"/>
      <c r="PCE528" s="901"/>
      <c r="PCF528" s="901"/>
      <c r="PCG528" s="901"/>
      <c r="PCH528" s="901"/>
      <c r="PCI528" s="901"/>
      <c r="PCJ528" s="901"/>
      <c r="PCK528" s="901"/>
      <c r="PCL528" s="901"/>
      <c r="PCM528" s="901"/>
      <c r="PCN528" s="901"/>
      <c r="PCO528" s="901"/>
      <c r="PCP528" s="901"/>
      <c r="PCQ528" s="901"/>
      <c r="PCR528" s="901"/>
      <c r="PCS528" s="901"/>
      <c r="PCT528" s="901"/>
      <c r="PCU528" s="901"/>
      <c r="PCV528" s="901"/>
      <c r="PCW528" s="901"/>
      <c r="PCX528" s="901"/>
      <c r="PCY528" s="901"/>
      <c r="PCZ528" s="901"/>
      <c r="PDA528" s="901"/>
      <c r="PDB528" s="901"/>
      <c r="PDC528" s="901"/>
      <c r="PDD528" s="901"/>
      <c r="PDE528" s="901"/>
      <c r="PDF528" s="901"/>
      <c r="PDG528" s="901"/>
      <c r="PDH528" s="901"/>
      <c r="PDI528" s="901"/>
      <c r="PDJ528" s="901"/>
      <c r="PDK528" s="901"/>
      <c r="PDL528" s="901"/>
      <c r="PDM528" s="901"/>
      <c r="PDN528" s="901"/>
      <c r="PDO528" s="901"/>
      <c r="PDP528" s="901"/>
      <c r="PDQ528" s="901"/>
      <c r="PDR528" s="901"/>
      <c r="PDS528" s="901"/>
      <c r="PDT528" s="901"/>
      <c r="PDU528" s="901"/>
      <c r="PDV528" s="901"/>
      <c r="PDW528" s="901"/>
      <c r="PDX528" s="901"/>
      <c r="PDY528" s="901"/>
      <c r="PDZ528" s="901"/>
      <c r="PEA528" s="901"/>
      <c r="PEB528" s="901"/>
      <c r="PEC528" s="901"/>
      <c r="PED528" s="901"/>
      <c r="PEE528" s="901"/>
      <c r="PEF528" s="901"/>
      <c r="PEG528" s="901"/>
      <c r="PEH528" s="901"/>
      <c r="PEI528" s="901"/>
      <c r="PEJ528" s="901"/>
      <c r="PEK528" s="901"/>
      <c r="PEL528" s="901"/>
      <c r="PEM528" s="901"/>
      <c r="PEN528" s="901"/>
      <c r="PEO528" s="901"/>
      <c r="PEP528" s="901"/>
      <c r="PEQ528" s="901"/>
      <c r="PER528" s="901"/>
      <c r="PES528" s="901"/>
      <c r="PET528" s="901"/>
      <c r="PEU528" s="901"/>
      <c r="PEV528" s="901"/>
      <c r="PEW528" s="901"/>
      <c r="PEX528" s="901"/>
      <c r="PEY528" s="901"/>
      <c r="PEZ528" s="901"/>
      <c r="PFA528" s="901"/>
      <c r="PFB528" s="901"/>
      <c r="PFC528" s="901"/>
      <c r="PFD528" s="901"/>
      <c r="PFE528" s="901"/>
      <c r="PFF528" s="901"/>
      <c r="PFG528" s="901"/>
      <c r="PFH528" s="901"/>
      <c r="PFI528" s="901"/>
      <c r="PFJ528" s="901"/>
      <c r="PFK528" s="901"/>
      <c r="PFL528" s="901"/>
      <c r="PFM528" s="901"/>
      <c r="PFN528" s="901"/>
      <c r="PFO528" s="901"/>
      <c r="PFP528" s="901"/>
      <c r="PFQ528" s="901"/>
      <c r="PFR528" s="901"/>
      <c r="PFS528" s="901"/>
      <c r="PFT528" s="901"/>
      <c r="PFU528" s="901"/>
      <c r="PFV528" s="901"/>
      <c r="PFW528" s="901"/>
      <c r="PFX528" s="901"/>
      <c r="PFY528" s="901"/>
      <c r="PFZ528" s="901"/>
      <c r="PGA528" s="901"/>
      <c r="PGB528" s="901"/>
      <c r="PGC528" s="901"/>
      <c r="PGD528" s="901"/>
      <c r="PGE528" s="901"/>
      <c r="PGF528" s="901"/>
      <c r="PGG528" s="901"/>
      <c r="PGH528" s="901"/>
      <c r="PGI528" s="901"/>
      <c r="PGJ528" s="901"/>
      <c r="PGK528" s="901"/>
      <c r="PGL528" s="901"/>
      <c r="PGM528" s="901"/>
      <c r="PGN528" s="901"/>
      <c r="PGO528" s="901"/>
      <c r="PGP528" s="901"/>
      <c r="PGQ528" s="901"/>
      <c r="PGR528" s="901"/>
      <c r="PGS528" s="901"/>
      <c r="PGT528" s="901"/>
      <c r="PGU528" s="901"/>
      <c r="PGV528" s="901"/>
      <c r="PGW528" s="901"/>
      <c r="PGX528" s="901"/>
      <c r="PGY528" s="901"/>
      <c r="PGZ528" s="901"/>
      <c r="PHA528" s="901"/>
      <c r="PHB528" s="901"/>
      <c r="PHC528" s="901"/>
      <c r="PHD528" s="901"/>
      <c r="PHE528" s="901"/>
      <c r="PHF528" s="901"/>
      <c r="PHG528" s="901"/>
      <c r="PHH528" s="901"/>
      <c r="PHI528" s="901"/>
      <c r="PHJ528" s="901"/>
      <c r="PHK528" s="901"/>
      <c r="PHL528" s="901"/>
      <c r="PHM528" s="901"/>
      <c r="PHN528" s="901"/>
      <c r="PHO528" s="901"/>
      <c r="PHP528" s="901"/>
      <c r="PHQ528" s="901"/>
      <c r="PHR528" s="901"/>
      <c r="PHS528" s="901"/>
      <c r="PHT528" s="901"/>
      <c r="PHU528" s="901"/>
      <c r="PHV528" s="901"/>
      <c r="PHW528" s="901"/>
      <c r="PHX528" s="901"/>
      <c r="PHY528" s="901"/>
      <c r="PHZ528" s="901"/>
      <c r="PIA528" s="901"/>
      <c r="PIB528" s="901"/>
      <c r="PIC528" s="901"/>
      <c r="PID528" s="901"/>
      <c r="PIE528" s="901"/>
      <c r="PIF528" s="901"/>
      <c r="PIG528" s="901"/>
      <c r="PIH528" s="901"/>
      <c r="PII528" s="901"/>
      <c r="PIJ528" s="901"/>
      <c r="PIK528" s="901"/>
      <c r="PIL528" s="901"/>
      <c r="PIM528" s="901"/>
      <c r="PIN528" s="901"/>
      <c r="PIO528" s="901"/>
      <c r="PIP528" s="901"/>
      <c r="PIQ528" s="901"/>
      <c r="PIR528" s="901"/>
      <c r="PIS528" s="901"/>
      <c r="PIT528" s="901"/>
      <c r="PIU528" s="901"/>
      <c r="PIV528" s="901"/>
      <c r="PIW528" s="901"/>
      <c r="PIX528" s="901"/>
      <c r="PIY528" s="901"/>
      <c r="PIZ528" s="901"/>
      <c r="PJA528" s="901"/>
      <c r="PJB528" s="901"/>
      <c r="PJC528" s="901"/>
      <c r="PJD528" s="901"/>
      <c r="PJE528" s="901"/>
      <c r="PJF528" s="901"/>
      <c r="PJG528" s="901"/>
      <c r="PJH528" s="901"/>
      <c r="PJI528" s="901"/>
      <c r="PJJ528" s="901"/>
      <c r="PJK528" s="901"/>
      <c r="PJL528" s="901"/>
      <c r="PJM528" s="901"/>
      <c r="PJN528" s="901"/>
      <c r="PJO528" s="901"/>
      <c r="PJP528" s="901"/>
      <c r="PJQ528" s="901"/>
      <c r="PJR528" s="901"/>
      <c r="PJS528" s="901"/>
      <c r="PJT528" s="901"/>
      <c r="PJU528" s="901"/>
      <c r="PJV528" s="901"/>
      <c r="PJW528" s="901"/>
      <c r="PJX528" s="901"/>
      <c r="PJY528" s="901"/>
      <c r="PJZ528" s="901"/>
      <c r="PKA528" s="901"/>
      <c r="PKB528" s="901"/>
      <c r="PKC528" s="901"/>
      <c r="PKD528" s="901"/>
      <c r="PKE528" s="901"/>
      <c r="PKF528" s="901"/>
      <c r="PKG528" s="901"/>
      <c r="PKH528" s="901"/>
      <c r="PKI528" s="901"/>
      <c r="PKJ528" s="901"/>
      <c r="PKK528" s="901"/>
      <c r="PKL528" s="901"/>
      <c r="PKM528" s="901"/>
      <c r="PKN528" s="901"/>
      <c r="PKO528" s="901"/>
      <c r="PKP528" s="901"/>
      <c r="PKQ528" s="901"/>
      <c r="PKR528" s="901"/>
      <c r="PKS528" s="901"/>
      <c r="PKT528" s="901"/>
      <c r="PKU528" s="901"/>
      <c r="PKV528" s="901"/>
      <c r="PKW528" s="901"/>
      <c r="PKX528" s="901"/>
      <c r="PKY528" s="901"/>
      <c r="PKZ528" s="901"/>
      <c r="PLA528" s="901"/>
      <c r="PLB528" s="901"/>
      <c r="PLC528" s="901"/>
      <c r="PLD528" s="901"/>
      <c r="PLE528" s="901"/>
      <c r="PLF528" s="901"/>
      <c r="PLG528" s="901"/>
      <c r="PLH528" s="901"/>
      <c r="PLI528" s="901"/>
      <c r="PLJ528" s="901"/>
      <c r="PLK528" s="901"/>
      <c r="PLL528" s="901"/>
      <c r="PLM528" s="901"/>
      <c r="PLN528" s="901"/>
      <c r="PLO528" s="901"/>
      <c r="PLP528" s="901"/>
      <c r="PLQ528" s="901"/>
      <c r="PLR528" s="901"/>
      <c r="PLS528" s="901"/>
      <c r="PLT528" s="901"/>
      <c r="PLU528" s="901"/>
      <c r="PLV528" s="901"/>
      <c r="PLW528" s="901"/>
      <c r="PLX528" s="901"/>
      <c r="PLY528" s="901"/>
      <c r="PLZ528" s="901"/>
      <c r="PMA528" s="901"/>
      <c r="PMB528" s="901"/>
      <c r="PMC528" s="901"/>
      <c r="PMD528" s="901"/>
      <c r="PME528" s="901"/>
      <c r="PMF528" s="901"/>
      <c r="PMG528" s="901"/>
      <c r="PMH528" s="901"/>
      <c r="PMI528" s="901"/>
      <c r="PMJ528" s="901"/>
      <c r="PMK528" s="901"/>
      <c r="PML528" s="901"/>
      <c r="PMM528" s="901"/>
      <c r="PMN528" s="901"/>
      <c r="PMO528" s="901"/>
      <c r="PMP528" s="901"/>
      <c r="PMQ528" s="901"/>
      <c r="PMR528" s="901"/>
      <c r="PMS528" s="901"/>
      <c r="PMT528" s="901"/>
      <c r="PMU528" s="901"/>
      <c r="PMV528" s="901"/>
      <c r="PMW528" s="901"/>
      <c r="PMX528" s="901"/>
      <c r="PMY528" s="901"/>
      <c r="PMZ528" s="901"/>
      <c r="PNA528" s="901"/>
      <c r="PNB528" s="901"/>
      <c r="PNC528" s="901"/>
      <c r="PND528" s="901"/>
      <c r="PNE528" s="901"/>
      <c r="PNF528" s="901"/>
      <c r="PNG528" s="901"/>
      <c r="PNH528" s="901"/>
      <c r="PNI528" s="901"/>
      <c r="PNJ528" s="901"/>
      <c r="PNK528" s="901"/>
      <c r="PNL528" s="901"/>
      <c r="PNM528" s="901"/>
      <c r="PNN528" s="901"/>
      <c r="PNO528" s="901"/>
      <c r="PNP528" s="901"/>
      <c r="PNQ528" s="901"/>
      <c r="PNR528" s="901"/>
      <c r="PNS528" s="901"/>
      <c r="PNT528" s="901"/>
      <c r="PNU528" s="901"/>
      <c r="PNV528" s="901"/>
      <c r="PNW528" s="901"/>
      <c r="PNX528" s="901"/>
      <c r="PNY528" s="901"/>
      <c r="PNZ528" s="901"/>
      <c r="POA528" s="901"/>
      <c r="POB528" s="901"/>
      <c r="POC528" s="901"/>
      <c r="POD528" s="901"/>
      <c r="POE528" s="901"/>
      <c r="POF528" s="901"/>
      <c r="POG528" s="901"/>
      <c r="POH528" s="901"/>
      <c r="POI528" s="901"/>
      <c r="POJ528" s="901"/>
      <c r="POK528" s="901"/>
      <c r="POL528" s="901"/>
      <c r="POM528" s="901"/>
      <c r="PON528" s="901"/>
      <c r="POO528" s="901"/>
      <c r="POP528" s="901"/>
      <c r="POQ528" s="901"/>
      <c r="POR528" s="901"/>
      <c r="POS528" s="901"/>
      <c r="POT528" s="901"/>
      <c r="POU528" s="901"/>
      <c r="POV528" s="901"/>
      <c r="POW528" s="901"/>
      <c r="POX528" s="901"/>
      <c r="POY528" s="901"/>
      <c r="POZ528" s="901"/>
      <c r="PPA528" s="901"/>
      <c r="PPB528" s="901"/>
      <c r="PPC528" s="901"/>
      <c r="PPD528" s="901"/>
      <c r="PPE528" s="901"/>
      <c r="PPF528" s="901"/>
      <c r="PPG528" s="901"/>
      <c r="PPH528" s="901"/>
      <c r="PPI528" s="901"/>
      <c r="PPJ528" s="901"/>
      <c r="PPK528" s="901"/>
      <c r="PPL528" s="901"/>
      <c r="PPM528" s="901"/>
      <c r="PPN528" s="901"/>
      <c r="PPO528" s="901"/>
      <c r="PPP528" s="901"/>
      <c r="PPQ528" s="901"/>
      <c r="PPR528" s="901"/>
      <c r="PPS528" s="901"/>
      <c r="PPT528" s="901"/>
      <c r="PPU528" s="901"/>
      <c r="PPV528" s="901"/>
      <c r="PPW528" s="901"/>
      <c r="PPX528" s="901"/>
      <c r="PPY528" s="901"/>
      <c r="PPZ528" s="901"/>
      <c r="PQA528" s="901"/>
      <c r="PQB528" s="901"/>
      <c r="PQC528" s="901"/>
      <c r="PQD528" s="901"/>
      <c r="PQE528" s="901"/>
      <c r="PQF528" s="901"/>
      <c r="PQG528" s="901"/>
      <c r="PQH528" s="901"/>
      <c r="PQI528" s="901"/>
      <c r="PQJ528" s="901"/>
      <c r="PQK528" s="901"/>
      <c r="PQL528" s="901"/>
      <c r="PQM528" s="901"/>
      <c r="PQN528" s="901"/>
      <c r="PQO528" s="901"/>
      <c r="PQP528" s="901"/>
      <c r="PQQ528" s="901"/>
      <c r="PQR528" s="901"/>
      <c r="PQS528" s="901"/>
      <c r="PQT528" s="901"/>
      <c r="PQU528" s="901"/>
      <c r="PQV528" s="901"/>
      <c r="PQW528" s="901"/>
      <c r="PQX528" s="901"/>
      <c r="PQY528" s="901"/>
      <c r="PQZ528" s="901"/>
      <c r="PRA528" s="901"/>
      <c r="PRB528" s="901"/>
      <c r="PRC528" s="901"/>
      <c r="PRD528" s="901"/>
      <c r="PRE528" s="901"/>
      <c r="PRF528" s="901"/>
      <c r="PRG528" s="901"/>
      <c r="PRH528" s="901"/>
      <c r="PRI528" s="901"/>
      <c r="PRJ528" s="901"/>
      <c r="PRK528" s="901"/>
      <c r="PRL528" s="901"/>
      <c r="PRM528" s="901"/>
      <c r="PRN528" s="901"/>
      <c r="PRO528" s="901"/>
      <c r="PRP528" s="901"/>
      <c r="PRQ528" s="901"/>
      <c r="PRR528" s="901"/>
      <c r="PRS528" s="901"/>
      <c r="PRT528" s="901"/>
      <c r="PRU528" s="901"/>
      <c r="PRV528" s="901"/>
      <c r="PRW528" s="901"/>
      <c r="PRX528" s="901"/>
      <c r="PRY528" s="901"/>
      <c r="PRZ528" s="901"/>
      <c r="PSA528" s="901"/>
      <c r="PSB528" s="901"/>
      <c r="PSC528" s="901"/>
      <c r="PSD528" s="901"/>
      <c r="PSE528" s="901"/>
      <c r="PSF528" s="901"/>
      <c r="PSG528" s="901"/>
      <c r="PSH528" s="901"/>
      <c r="PSI528" s="901"/>
      <c r="PSJ528" s="901"/>
      <c r="PSK528" s="901"/>
      <c r="PSL528" s="901"/>
      <c r="PSM528" s="901"/>
      <c r="PSN528" s="901"/>
      <c r="PSO528" s="901"/>
      <c r="PSP528" s="901"/>
      <c r="PSQ528" s="901"/>
      <c r="PSR528" s="901"/>
      <c r="PSS528" s="901"/>
      <c r="PST528" s="901"/>
      <c r="PSU528" s="901"/>
      <c r="PSV528" s="901"/>
      <c r="PSW528" s="901"/>
      <c r="PSX528" s="901"/>
      <c r="PSY528" s="901"/>
      <c r="PSZ528" s="901"/>
      <c r="PTA528" s="901"/>
      <c r="PTB528" s="901"/>
      <c r="PTC528" s="901"/>
      <c r="PTD528" s="901"/>
      <c r="PTE528" s="901"/>
      <c r="PTF528" s="901"/>
      <c r="PTG528" s="901"/>
      <c r="PTH528" s="901"/>
      <c r="PTI528" s="901"/>
      <c r="PTJ528" s="901"/>
      <c r="PTK528" s="901"/>
      <c r="PTL528" s="901"/>
      <c r="PTM528" s="901"/>
      <c r="PTN528" s="901"/>
      <c r="PTO528" s="901"/>
      <c r="PTP528" s="901"/>
      <c r="PTQ528" s="901"/>
      <c r="PTR528" s="901"/>
      <c r="PTS528" s="901"/>
      <c r="PTT528" s="901"/>
      <c r="PTU528" s="901"/>
      <c r="PTV528" s="901"/>
      <c r="PTW528" s="901"/>
      <c r="PTX528" s="901"/>
      <c r="PTY528" s="901"/>
      <c r="PTZ528" s="901"/>
      <c r="PUA528" s="901"/>
      <c r="PUB528" s="901"/>
      <c r="PUC528" s="901"/>
      <c r="PUD528" s="901"/>
      <c r="PUE528" s="901"/>
      <c r="PUF528" s="901"/>
      <c r="PUG528" s="901"/>
      <c r="PUH528" s="901"/>
      <c r="PUI528" s="901"/>
      <c r="PUJ528" s="901"/>
      <c r="PUK528" s="901"/>
      <c r="PUL528" s="901"/>
      <c r="PUM528" s="901"/>
      <c r="PUN528" s="901"/>
      <c r="PUO528" s="901"/>
      <c r="PUP528" s="901"/>
      <c r="PUQ528" s="901"/>
      <c r="PUR528" s="901"/>
      <c r="PUS528" s="901"/>
      <c r="PUT528" s="901"/>
      <c r="PUU528" s="901"/>
      <c r="PUV528" s="901"/>
      <c r="PUW528" s="901"/>
      <c r="PUX528" s="901"/>
      <c r="PUY528" s="901"/>
      <c r="PUZ528" s="901"/>
      <c r="PVA528" s="901"/>
      <c r="PVB528" s="901"/>
      <c r="PVC528" s="901"/>
      <c r="PVD528" s="901"/>
      <c r="PVE528" s="901"/>
      <c r="PVF528" s="901"/>
      <c r="PVG528" s="901"/>
      <c r="PVH528" s="901"/>
      <c r="PVI528" s="901"/>
      <c r="PVJ528" s="901"/>
      <c r="PVK528" s="901"/>
      <c r="PVL528" s="901"/>
      <c r="PVM528" s="901"/>
      <c r="PVN528" s="901"/>
      <c r="PVO528" s="901"/>
      <c r="PVP528" s="901"/>
      <c r="PVQ528" s="901"/>
      <c r="PVR528" s="901"/>
      <c r="PVS528" s="901"/>
      <c r="PVT528" s="901"/>
      <c r="PVU528" s="901"/>
      <c r="PVV528" s="901"/>
      <c r="PVW528" s="901"/>
      <c r="PVX528" s="901"/>
      <c r="PVY528" s="901"/>
      <c r="PVZ528" s="901"/>
      <c r="PWA528" s="901"/>
      <c r="PWB528" s="901"/>
      <c r="PWC528" s="901"/>
      <c r="PWD528" s="901"/>
      <c r="PWE528" s="901"/>
      <c r="PWF528" s="901"/>
      <c r="PWG528" s="901"/>
      <c r="PWH528" s="901"/>
      <c r="PWI528" s="901"/>
      <c r="PWJ528" s="901"/>
      <c r="PWK528" s="901"/>
      <c r="PWL528" s="901"/>
      <c r="PWM528" s="901"/>
      <c r="PWN528" s="901"/>
      <c r="PWO528" s="901"/>
      <c r="PWP528" s="901"/>
      <c r="PWQ528" s="901"/>
      <c r="PWR528" s="901"/>
      <c r="PWS528" s="901"/>
      <c r="PWT528" s="901"/>
      <c r="PWU528" s="901"/>
      <c r="PWV528" s="901"/>
      <c r="PWW528" s="901"/>
      <c r="PWX528" s="901"/>
      <c r="PWY528" s="901"/>
      <c r="PWZ528" s="901"/>
      <c r="PXA528" s="901"/>
      <c r="PXB528" s="901"/>
      <c r="PXC528" s="901"/>
      <c r="PXD528" s="901"/>
      <c r="PXE528" s="901"/>
      <c r="PXF528" s="901"/>
      <c r="PXG528" s="901"/>
      <c r="PXH528" s="901"/>
      <c r="PXI528" s="901"/>
      <c r="PXJ528" s="901"/>
      <c r="PXK528" s="901"/>
      <c r="PXL528" s="901"/>
      <c r="PXM528" s="901"/>
      <c r="PXN528" s="901"/>
      <c r="PXO528" s="901"/>
      <c r="PXP528" s="901"/>
      <c r="PXQ528" s="901"/>
      <c r="PXR528" s="901"/>
      <c r="PXS528" s="901"/>
      <c r="PXT528" s="901"/>
      <c r="PXU528" s="901"/>
      <c r="PXV528" s="901"/>
      <c r="PXW528" s="901"/>
      <c r="PXX528" s="901"/>
      <c r="PXY528" s="901"/>
      <c r="PXZ528" s="901"/>
      <c r="PYA528" s="901"/>
      <c r="PYB528" s="901"/>
      <c r="PYC528" s="901"/>
      <c r="PYD528" s="901"/>
      <c r="PYE528" s="901"/>
      <c r="PYF528" s="901"/>
      <c r="PYG528" s="901"/>
      <c r="PYH528" s="901"/>
      <c r="PYI528" s="901"/>
      <c r="PYJ528" s="901"/>
      <c r="PYK528" s="901"/>
      <c r="PYL528" s="901"/>
      <c r="PYM528" s="901"/>
      <c r="PYN528" s="901"/>
      <c r="PYO528" s="901"/>
      <c r="PYP528" s="901"/>
      <c r="PYQ528" s="901"/>
      <c r="PYR528" s="901"/>
      <c r="PYS528" s="901"/>
      <c r="PYT528" s="901"/>
      <c r="PYU528" s="901"/>
      <c r="PYV528" s="901"/>
      <c r="PYW528" s="901"/>
      <c r="PYX528" s="901"/>
      <c r="PYY528" s="901"/>
      <c r="PYZ528" s="901"/>
      <c r="PZA528" s="901"/>
      <c r="PZB528" s="901"/>
      <c r="PZC528" s="901"/>
      <c r="PZD528" s="901"/>
      <c r="PZE528" s="901"/>
      <c r="PZF528" s="901"/>
      <c r="PZG528" s="901"/>
      <c r="PZH528" s="901"/>
      <c r="PZI528" s="901"/>
      <c r="PZJ528" s="901"/>
      <c r="PZK528" s="901"/>
      <c r="PZL528" s="901"/>
      <c r="PZM528" s="901"/>
      <c r="PZN528" s="901"/>
      <c r="PZO528" s="901"/>
      <c r="PZP528" s="901"/>
      <c r="PZQ528" s="901"/>
      <c r="PZR528" s="901"/>
      <c r="PZS528" s="901"/>
      <c r="PZT528" s="901"/>
      <c r="PZU528" s="901"/>
      <c r="PZV528" s="901"/>
      <c r="PZW528" s="901"/>
      <c r="PZX528" s="901"/>
      <c r="PZY528" s="901"/>
      <c r="PZZ528" s="901"/>
      <c r="QAA528" s="901"/>
      <c r="QAB528" s="901"/>
      <c r="QAC528" s="901"/>
      <c r="QAD528" s="901"/>
      <c r="QAE528" s="901"/>
      <c r="QAF528" s="901"/>
      <c r="QAG528" s="901"/>
      <c r="QAH528" s="901"/>
      <c r="QAI528" s="901"/>
      <c r="QAJ528" s="901"/>
      <c r="QAK528" s="901"/>
      <c r="QAL528" s="901"/>
      <c r="QAM528" s="901"/>
      <c r="QAN528" s="901"/>
      <c r="QAO528" s="901"/>
      <c r="QAP528" s="901"/>
      <c r="QAQ528" s="901"/>
      <c r="QAR528" s="901"/>
      <c r="QAS528" s="901"/>
      <c r="QAT528" s="901"/>
      <c r="QAU528" s="901"/>
      <c r="QAV528" s="901"/>
      <c r="QAW528" s="901"/>
      <c r="QAX528" s="901"/>
      <c r="QAY528" s="901"/>
      <c r="QAZ528" s="901"/>
      <c r="QBA528" s="901"/>
      <c r="QBB528" s="901"/>
      <c r="QBC528" s="901"/>
      <c r="QBD528" s="901"/>
      <c r="QBE528" s="901"/>
      <c r="QBF528" s="901"/>
      <c r="QBG528" s="901"/>
      <c r="QBH528" s="901"/>
      <c r="QBI528" s="901"/>
      <c r="QBJ528" s="901"/>
      <c r="QBK528" s="901"/>
      <c r="QBL528" s="901"/>
      <c r="QBM528" s="901"/>
      <c r="QBN528" s="901"/>
      <c r="QBO528" s="901"/>
      <c r="QBP528" s="901"/>
      <c r="QBQ528" s="901"/>
      <c r="QBR528" s="901"/>
      <c r="QBS528" s="901"/>
      <c r="QBT528" s="901"/>
      <c r="QBU528" s="901"/>
      <c r="QBV528" s="901"/>
      <c r="QBW528" s="901"/>
      <c r="QBX528" s="901"/>
      <c r="QBY528" s="901"/>
      <c r="QBZ528" s="901"/>
      <c r="QCA528" s="901"/>
      <c r="QCB528" s="901"/>
      <c r="QCC528" s="901"/>
      <c r="QCD528" s="901"/>
      <c r="QCE528" s="901"/>
      <c r="QCF528" s="901"/>
      <c r="QCG528" s="901"/>
      <c r="QCH528" s="901"/>
      <c r="QCI528" s="901"/>
      <c r="QCJ528" s="901"/>
      <c r="QCK528" s="901"/>
      <c r="QCL528" s="901"/>
      <c r="QCM528" s="901"/>
      <c r="QCN528" s="901"/>
      <c r="QCO528" s="901"/>
      <c r="QCP528" s="901"/>
      <c r="QCQ528" s="901"/>
      <c r="QCR528" s="901"/>
      <c r="QCS528" s="901"/>
      <c r="QCT528" s="901"/>
      <c r="QCU528" s="901"/>
      <c r="QCV528" s="901"/>
      <c r="QCW528" s="901"/>
      <c r="QCX528" s="901"/>
      <c r="QCY528" s="901"/>
      <c r="QCZ528" s="901"/>
      <c r="QDA528" s="901"/>
      <c r="QDB528" s="901"/>
      <c r="QDC528" s="901"/>
      <c r="QDD528" s="901"/>
      <c r="QDE528" s="901"/>
      <c r="QDF528" s="901"/>
      <c r="QDG528" s="901"/>
      <c r="QDH528" s="901"/>
      <c r="QDI528" s="901"/>
      <c r="QDJ528" s="901"/>
      <c r="QDK528" s="901"/>
      <c r="QDL528" s="901"/>
      <c r="QDM528" s="901"/>
      <c r="QDN528" s="901"/>
      <c r="QDO528" s="901"/>
      <c r="QDP528" s="901"/>
      <c r="QDQ528" s="901"/>
      <c r="QDR528" s="901"/>
      <c r="QDS528" s="901"/>
      <c r="QDT528" s="901"/>
      <c r="QDU528" s="901"/>
      <c r="QDV528" s="901"/>
      <c r="QDW528" s="901"/>
      <c r="QDX528" s="901"/>
      <c r="QDY528" s="901"/>
      <c r="QDZ528" s="901"/>
      <c r="QEA528" s="901"/>
      <c r="QEB528" s="901"/>
      <c r="QEC528" s="901"/>
      <c r="QED528" s="901"/>
      <c r="QEE528" s="901"/>
      <c r="QEF528" s="901"/>
      <c r="QEG528" s="901"/>
      <c r="QEH528" s="901"/>
      <c r="QEI528" s="901"/>
      <c r="QEJ528" s="901"/>
      <c r="QEK528" s="901"/>
      <c r="QEL528" s="901"/>
      <c r="QEM528" s="901"/>
      <c r="QEN528" s="901"/>
      <c r="QEO528" s="901"/>
      <c r="QEP528" s="901"/>
      <c r="QEQ528" s="901"/>
      <c r="QER528" s="901"/>
      <c r="QES528" s="901"/>
      <c r="QET528" s="901"/>
      <c r="QEU528" s="901"/>
      <c r="QEV528" s="901"/>
      <c r="QEW528" s="901"/>
      <c r="QEX528" s="901"/>
      <c r="QEY528" s="901"/>
      <c r="QEZ528" s="901"/>
      <c r="QFA528" s="901"/>
      <c r="QFB528" s="901"/>
      <c r="QFC528" s="901"/>
      <c r="QFD528" s="901"/>
      <c r="QFE528" s="901"/>
      <c r="QFF528" s="901"/>
      <c r="QFG528" s="901"/>
      <c r="QFH528" s="901"/>
      <c r="QFI528" s="901"/>
      <c r="QFJ528" s="901"/>
      <c r="QFK528" s="901"/>
      <c r="QFL528" s="901"/>
      <c r="QFM528" s="901"/>
      <c r="QFN528" s="901"/>
      <c r="QFO528" s="901"/>
      <c r="QFP528" s="901"/>
      <c r="QFQ528" s="901"/>
      <c r="QFR528" s="901"/>
      <c r="QFS528" s="901"/>
      <c r="QFT528" s="901"/>
      <c r="QFU528" s="901"/>
      <c r="QFV528" s="901"/>
      <c r="QFW528" s="901"/>
      <c r="QFX528" s="901"/>
      <c r="QFY528" s="901"/>
      <c r="QFZ528" s="901"/>
      <c r="QGA528" s="901"/>
      <c r="QGB528" s="901"/>
      <c r="QGC528" s="901"/>
      <c r="QGD528" s="901"/>
      <c r="QGE528" s="901"/>
      <c r="QGF528" s="901"/>
      <c r="QGG528" s="901"/>
      <c r="QGH528" s="901"/>
      <c r="QGI528" s="901"/>
      <c r="QGJ528" s="901"/>
      <c r="QGK528" s="901"/>
      <c r="QGL528" s="901"/>
      <c r="QGM528" s="901"/>
      <c r="QGN528" s="901"/>
      <c r="QGO528" s="901"/>
      <c r="QGP528" s="901"/>
      <c r="QGQ528" s="901"/>
      <c r="QGR528" s="901"/>
      <c r="QGS528" s="901"/>
      <c r="QGT528" s="901"/>
      <c r="QGU528" s="901"/>
      <c r="QGV528" s="901"/>
      <c r="QGW528" s="901"/>
      <c r="QGX528" s="901"/>
      <c r="QGY528" s="901"/>
      <c r="QGZ528" s="901"/>
      <c r="QHA528" s="901"/>
      <c r="QHB528" s="901"/>
      <c r="QHC528" s="901"/>
      <c r="QHD528" s="901"/>
      <c r="QHE528" s="901"/>
      <c r="QHF528" s="901"/>
      <c r="QHG528" s="901"/>
      <c r="QHH528" s="901"/>
      <c r="QHI528" s="901"/>
      <c r="QHJ528" s="901"/>
      <c r="QHK528" s="901"/>
      <c r="QHL528" s="901"/>
      <c r="QHM528" s="901"/>
      <c r="QHN528" s="901"/>
      <c r="QHO528" s="901"/>
      <c r="QHP528" s="901"/>
      <c r="QHQ528" s="901"/>
      <c r="QHR528" s="901"/>
      <c r="QHS528" s="901"/>
      <c r="QHT528" s="901"/>
      <c r="QHU528" s="901"/>
      <c r="QHV528" s="901"/>
      <c r="QHW528" s="901"/>
      <c r="QHX528" s="901"/>
      <c r="QHY528" s="901"/>
      <c r="QHZ528" s="901"/>
      <c r="QIA528" s="901"/>
      <c r="QIB528" s="901"/>
      <c r="QIC528" s="901"/>
      <c r="QID528" s="901"/>
      <c r="QIE528" s="901"/>
      <c r="QIF528" s="901"/>
      <c r="QIG528" s="901"/>
      <c r="QIH528" s="901"/>
      <c r="QII528" s="901"/>
      <c r="QIJ528" s="901"/>
      <c r="QIK528" s="901"/>
      <c r="QIL528" s="901"/>
      <c r="QIM528" s="901"/>
      <c r="QIN528" s="901"/>
      <c r="QIO528" s="901"/>
      <c r="QIP528" s="901"/>
      <c r="QIQ528" s="901"/>
      <c r="QIR528" s="901"/>
      <c r="QIS528" s="901"/>
      <c r="QIT528" s="901"/>
      <c r="QIU528" s="901"/>
      <c r="QIV528" s="901"/>
      <c r="QIW528" s="901"/>
      <c r="QIX528" s="901"/>
      <c r="QIY528" s="901"/>
      <c r="QIZ528" s="901"/>
      <c r="QJA528" s="901"/>
      <c r="QJB528" s="901"/>
      <c r="QJC528" s="901"/>
      <c r="QJD528" s="901"/>
      <c r="QJE528" s="901"/>
      <c r="QJF528" s="901"/>
      <c r="QJG528" s="901"/>
      <c r="QJH528" s="901"/>
      <c r="QJI528" s="901"/>
      <c r="QJJ528" s="901"/>
      <c r="QJK528" s="901"/>
      <c r="QJL528" s="901"/>
      <c r="QJM528" s="901"/>
      <c r="QJN528" s="901"/>
      <c r="QJO528" s="901"/>
      <c r="QJP528" s="901"/>
      <c r="QJQ528" s="901"/>
      <c r="QJR528" s="901"/>
      <c r="QJS528" s="901"/>
      <c r="QJT528" s="901"/>
      <c r="QJU528" s="901"/>
      <c r="QJV528" s="901"/>
      <c r="QJW528" s="901"/>
      <c r="QJX528" s="901"/>
      <c r="QJY528" s="901"/>
      <c r="QJZ528" s="901"/>
      <c r="QKA528" s="901"/>
      <c r="QKB528" s="901"/>
      <c r="QKC528" s="901"/>
      <c r="QKD528" s="901"/>
      <c r="QKE528" s="901"/>
      <c r="QKF528" s="901"/>
      <c r="QKG528" s="901"/>
      <c r="QKH528" s="901"/>
      <c r="QKI528" s="901"/>
      <c r="QKJ528" s="901"/>
      <c r="QKK528" s="901"/>
      <c r="QKL528" s="901"/>
      <c r="QKM528" s="901"/>
      <c r="QKN528" s="901"/>
      <c r="QKO528" s="901"/>
      <c r="QKP528" s="901"/>
      <c r="QKQ528" s="901"/>
      <c r="QKR528" s="901"/>
      <c r="QKS528" s="901"/>
      <c r="QKT528" s="901"/>
      <c r="QKU528" s="901"/>
      <c r="QKV528" s="901"/>
      <c r="QKW528" s="901"/>
      <c r="QKX528" s="901"/>
      <c r="QKY528" s="901"/>
      <c r="QKZ528" s="901"/>
      <c r="QLA528" s="901"/>
      <c r="QLB528" s="901"/>
      <c r="QLC528" s="901"/>
      <c r="QLD528" s="901"/>
      <c r="QLE528" s="901"/>
      <c r="QLF528" s="901"/>
      <c r="QLG528" s="901"/>
      <c r="QLH528" s="901"/>
      <c r="QLI528" s="901"/>
      <c r="QLJ528" s="901"/>
      <c r="QLK528" s="901"/>
      <c r="QLL528" s="901"/>
      <c r="QLM528" s="901"/>
      <c r="QLN528" s="901"/>
      <c r="QLO528" s="901"/>
      <c r="QLP528" s="901"/>
      <c r="QLQ528" s="901"/>
      <c r="QLR528" s="901"/>
      <c r="QLS528" s="901"/>
      <c r="QLT528" s="901"/>
      <c r="QLU528" s="901"/>
      <c r="QLV528" s="901"/>
      <c r="QLW528" s="901"/>
      <c r="QLX528" s="901"/>
      <c r="QLY528" s="901"/>
      <c r="QLZ528" s="901"/>
      <c r="QMA528" s="901"/>
      <c r="QMB528" s="901"/>
      <c r="QMC528" s="901"/>
      <c r="QMD528" s="901"/>
      <c r="QME528" s="901"/>
      <c r="QMF528" s="901"/>
      <c r="QMG528" s="901"/>
      <c r="QMH528" s="901"/>
      <c r="QMI528" s="901"/>
      <c r="QMJ528" s="901"/>
      <c r="QMK528" s="901"/>
      <c r="QML528" s="901"/>
      <c r="QMM528" s="901"/>
      <c r="QMN528" s="901"/>
      <c r="QMO528" s="901"/>
      <c r="QMP528" s="901"/>
      <c r="QMQ528" s="901"/>
      <c r="QMR528" s="901"/>
      <c r="QMS528" s="901"/>
      <c r="QMT528" s="901"/>
      <c r="QMU528" s="901"/>
      <c r="QMV528" s="901"/>
      <c r="QMW528" s="901"/>
      <c r="QMX528" s="901"/>
      <c r="QMY528" s="901"/>
      <c r="QMZ528" s="901"/>
      <c r="QNA528" s="901"/>
      <c r="QNB528" s="901"/>
      <c r="QNC528" s="901"/>
      <c r="QND528" s="901"/>
      <c r="QNE528" s="901"/>
      <c r="QNF528" s="901"/>
      <c r="QNG528" s="901"/>
      <c r="QNH528" s="901"/>
      <c r="QNI528" s="901"/>
      <c r="QNJ528" s="901"/>
      <c r="QNK528" s="901"/>
      <c r="QNL528" s="901"/>
      <c r="QNM528" s="901"/>
      <c r="QNN528" s="901"/>
      <c r="QNO528" s="901"/>
      <c r="QNP528" s="901"/>
      <c r="QNQ528" s="901"/>
      <c r="QNR528" s="901"/>
      <c r="QNS528" s="901"/>
      <c r="QNT528" s="901"/>
      <c r="QNU528" s="901"/>
      <c r="QNV528" s="901"/>
      <c r="QNW528" s="901"/>
      <c r="QNX528" s="901"/>
      <c r="QNY528" s="901"/>
      <c r="QNZ528" s="901"/>
      <c r="QOA528" s="901"/>
      <c r="QOB528" s="901"/>
      <c r="QOC528" s="901"/>
      <c r="QOD528" s="901"/>
      <c r="QOE528" s="901"/>
      <c r="QOF528" s="901"/>
      <c r="QOG528" s="901"/>
      <c r="QOH528" s="901"/>
      <c r="QOI528" s="901"/>
      <c r="QOJ528" s="901"/>
      <c r="QOK528" s="901"/>
      <c r="QOL528" s="901"/>
      <c r="QOM528" s="901"/>
      <c r="QON528" s="901"/>
      <c r="QOO528" s="901"/>
      <c r="QOP528" s="901"/>
      <c r="QOQ528" s="901"/>
      <c r="QOR528" s="901"/>
      <c r="QOS528" s="901"/>
      <c r="QOT528" s="901"/>
      <c r="QOU528" s="901"/>
      <c r="QOV528" s="901"/>
      <c r="QOW528" s="901"/>
      <c r="QOX528" s="901"/>
      <c r="QOY528" s="901"/>
      <c r="QOZ528" s="901"/>
      <c r="QPA528" s="901"/>
      <c r="QPB528" s="901"/>
      <c r="QPC528" s="901"/>
      <c r="QPD528" s="901"/>
      <c r="QPE528" s="901"/>
      <c r="QPF528" s="901"/>
      <c r="QPG528" s="901"/>
      <c r="QPH528" s="901"/>
      <c r="QPI528" s="901"/>
      <c r="QPJ528" s="901"/>
      <c r="QPK528" s="901"/>
      <c r="QPL528" s="901"/>
      <c r="QPM528" s="901"/>
      <c r="QPN528" s="901"/>
      <c r="QPO528" s="901"/>
      <c r="QPP528" s="901"/>
      <c r="QPQ528" s="901"/>
      <c r="QPR528" s="901"/>
      <c r="QPS528" s="901"/>
      <c r="QPT528" s="901"/>
      <c r="QPU528" s="901"/>
      <c r="QPV528" s="901"/>
      <c r="QPW528" s="901"/>
      <c r="QPX528" s="901"/>
      <c r="QPY528" s="901"/>
      <c r="QPZ528" s="901"/>
      <c r="QQA528" s="901"/>
      <c r="QQB528" s="901"/>
      <c r="QQC528" s="901"/>
      <c r="QQD528" s="901"/>
      <c r="QQE528" s="901"/>
      <c r="QQF528" s="901"/>
      <c r="QQG528" s="901"/>
      <c r="QQH528" s="901"/>
      <c r="QQI528" s="901"/>
      <c r="QQJ528" s="901"/>
      <c r="QQK528" s="901"/>
      <c r="QQL528" s="901"/>
      <c r="QQM528" s="901"/>
      <c r="QQN528" s="901"/>
      <c r="QQO528" s="901"/>
      <c r="QQP528" s="901"/>
      <c r="QQQ528" s="901"/>
      <c r="QQR528" s="901"/>
      <c r="QQS528" s="901"/>
      <c r="QQT528" s="901"/>
      <c r="QQU528" s="901"/>
      <c r="QQV528" s="901"/>
      <c r="QQW528" s="901"/>
      <c r="QQX528" s="901"/>
      <c r="QQY528" s="901"/>
      <c r="QQZ528" s="901"/>
      <c r="QRA528" s="901"/>
      <c r="QRB528" s="901"/>
      <c r="QRC528" s="901"/>
      <c r="QRD528" s="901"/>
      <c r="QRE528" s="901"/>
      <c r="QRF528" s="901"/>
      <c r="QRG528" s="901"/>
      <c r="QRH528" s="901"/>
      <c r="QRI528" s="901"/>
      <c r="QRJ528" s="901"/>
      <c r="QRK528" s="901"/>
      <c r="QRL528" s="901"/>
      <c r="QRM528" s="901"/>
      <c r="QRN528" s="901"/>
      <c r="QRO528" s="901"/>
      <c r="QRP528" s="901"/>
      <c r="QRQ528" s="901"/>
      <c r="QRR528" s="901"/>
      <c r="QRS528" s="901"/>
      <c r="QRT528" s="901"/>
      <c r="QRU528" s="901"/>
      <c r="QRV528" s="901"/>
      <c r="QRW528" s="901"/>
      <c r="QRX528" s="901"/>
      <c r="QRY528" s="901"/>
      <c r="QRZ528" s="901"/>
      <c r="QSA528" s="901"/>
      <c r="QSB528" s="901"/>
      <c r="QSC528" s="901"/>
      <c r="QSD528" s="901"/>
      <c r="QSE528" s="901"/>
      <c r="QSF528" s="901"/>
      <c r="QSG528" s="901"/>
      <c r="QSH528" s="901"/>
      <c r="QSI528" s="901"/>
      <c r="QSJ528" s="901"/>
      <c r="QSK528" s="901"/>
      <c r="QSL528" s="901"/>
      <c r="QSM528" s="901"/>
      <c r="QSN528" s="901"/>
      <c r="QSO528" s="901"/>
      <c r="QSP528" s="901"/>
      <c r="QSQ528" s="901"/>
      <c r="QSR528" s="901"/>
      <c r="QSS528" s="901"/>
      <c r="QST528" s="901"/>
      <c r="QSU528" s="901"/>
      <c r="QSV528" s="901"/>
      <c r="QSW528" s="901"/>
      <c r="QSX528" s="901"/>
      <c r="QSY528" s="901"/>
      <c r="QSZ528" s="901"/>
      <c r="QTA528" s="901"/>
      <c r="QTB528" s="901"/>
      <c r="QTC528" s="901"/>
      <c r="QTD528" s="901"/>
      <c r="QTE528" s="901"/>
      <c r="QTF528" s="901"/>
      <c r="QTG528" s="901"/>
      <c r="QTH528" s="901"/>
      <c r="QTI528" s="901"/>
      <c r="QTJ528" s="901"/>
      <c r="QTK528" s="901"/>
      <c r="QTL528" s="901"/>
      <c r="QTM528" s="901"/>
      <c r="QTN528" s="901"/>
      <c r="QTO528" s="901"/>
      <c r="QTP528" s="901"/>
      <c r="QTQ528" s="901"/>
      <c r="QTR528" s="901"/>
      <c r="QTS528" s="901"/>
      <c r="QTT528" s="901"/>
      <c r="QTU528" s="901"/>
      <c r="QTV528" s="901"/>
      <c r="QTW528" s="901"/>
      <c r="QTX528" s="901"/>
      <c r="QTY528" s="901"/>
      <c r="QTZ528" s="901"/>
      <c r="QUA528" s="901"/>
      <c r="QUB528" s="901"/>
      <c r="QUC528" s="901"/>
      <c r="QUD528" s="901"/>
      <c r="QUE528" s="901"/>
      <c r="QUF528" s="901"/>
      <c r="QUG528" s="901"/>
      <c r="QUH528" s="901"/>
      <c r="QUI528" s="901"/>
      <c r="QUJ528" s="901"/>
      <c r="QUK528" s="901"/>
      <c r="QUL528" s="901"/>
      <c r="QUM528" s="901"/>
      <c r="QUN528" s="901"/>
      <c r="QUO528" s="901"/>
      <c r="QUP528" s="901"/>
      <c r="QUQ528" s="901"/>
      <c r="QUR528" s="901"/>
      <c r="QUS528" s="901"/>
      <c r="QUT528" s="901"/>
      <c r="QUU528" s="901"/>
      <c r="QUV528" s="901"/>
      <c r="QUW528" s="901"/>
      <c r="QUX528" s="901"/>
      <c r="QUY528" s="901"/>
      <c r="QUZ528" s="901"/>
      <c r="QVA528" s="901"/>
      <c r="QVB528" s="901"/>
      <c r="QVC528" s="901"/>
      <c r="QVD528" s="901"/>
      <c r="QVE528" s="901"/>
      <c r="QVF528" s="901"/>
      <c r="QVG528" s="901"/>
      <c r="QVH528" s="901"/>
      <c r="QVI528" s="901"/>
      <c r="QVJ528" s="901"/>
      <c r="QVK528" s="901"/>
      <c r="QVL528" s="901"/>
      <c r="QVM528" s="901"/>
      <c r="QVN528" s="901"/>
      <c r="QVO528" s="901"/>
      <c r="QVP528" s="901"/>
      <c r="QVQ528" s="901"/>
      <c r="QVR528" s="901"/>
      <c r="QVS528" s="901"/>
      <c r="QVT528" s="901"/>
      <c r="QVU528" s="901"/>
      <c r="QVV528" s="901"/>
      <c r="QVW528" s="901"/>
      <c r="QVX528" s="901"/>
      <c r="QVY528" s="901"/>
      <c r="QVZ528" s="901"/>
      <c r="QWA528" s="901"/>
      <c r="QWB528" s="901"/>
      <c r="QWC528" s="901"/>
      <c r="QWD528" s="901"/>
      <c r="QWE528" s="901"/>
      <c r="QWF528" s="901"/>
      <c r="QWG528" s="901"/>
      <c r="QWH528" s="901"/>
      <c r="QWI528" s="901"/>
      <c r="QWJ528" s="901"/>
      <c r="QWK528" s="901"/>
      <c r="QWL528" s="901"/>
      <c r="QWM528" s="901"/>
      <c r="QWN528" s="901"/>
      <c r="QWO528" s="901"/>
      <c r="QWP528" s="901"/>
      <c r="QWQ528" s="901"/>
      <c r="QWR528" s="901"/>
      <c r="QWS528" s="901"/>
      <c r="QWT528" s="901"/>
      <c r="QWU528" s="901"/>
      <c r="QWV528" s="901"/>
      <c r="QWW528" s="901"/>
      <c r="QWX528" s="901"/>
      <c r="QWY528" s="901"/>
      <c r="QWZ528" s="901"/>
      <c r="QXA528" s="901"/>
      <c r="QXB528" s="901"/>
      <c r="QXC528" s="901"/>
      <c r="QXD528" s="901"/>
      <c r="QXE528" s="901"/>
      <c r="QXF528" s="901"/>
      <c r="QXG528" s="901"/>
      <c r="QXH528" s="901"/>
      <c r="QXI528" s="901"/>
      <c r="QXJ528" s="901"/>
      <c r="QXK528" s="901"/>
      <c r="QXL528" s="901"/>
      <c r="QXM528" s="901"/>
      <c r="QXN528" s="901"/>
      <c r="QXO528" s="901"/>
      <c r="QXP528" s="901"/>
      <c r="QXQ528" s="901"/>
      <c r="QXR528" s="901"/>
      <c r="QXS528" s="901"/>
      <c r="QXT528" s="901"/>
      <c r="QXU528" s="901"/>
      <c r="QXV528" s="901"/>
      <c r="QXW528" s="901"/>
      <c r="QXX528" s="901"/>
      <c r="QXY528" s="901"/>
      <c r="QXZ528" s="901"/>
      <c r="QYA528" s="901"/>
      <c r="QYB528" s="901"/>
      <c r="QYC528" s="901"/>
      <c r="QYD528" s="901"/>
      <c r="QYE528" s="901"/>
      <c r="QYF528" s="901"/>
      <c r="QYG528" s="901"/>
      <c r="QYH528" s="901"/>
      <c r="QYI528" s="901"/>
      <c r="QYJ528" s="901"/>
      <c r="QYK528" s="901"/>
      <c r="QYL528" s="901"/>
      <c r="QYM528" s="901"/>
      <c r="QYN528" s="901"/>
      <c r="QYO528" s="901"/>
      <c r="QYP528" s="901"/>
      <c r="QYQ528" s="901"/>
      <c r="QYR528" s="901"/>
      <c r="QYS528" s="901"/>
      <c r="QYT528" s="901"/>
      <c r="QYU528" s="901"/>
      <c r="QYV528" s="901"/>
      <c r="QYW528" s="901"/>
      <c r="QYX528" s="901"/>
      <c r="QYY528" s="901"/>
      <c r="QYZ528" s="901"/>
      <c r="QZA528" s="901"/>
      <c r="QZB528" s="901"/>
      <c r="QZC528" s="901"/>
      <c r="QZD528" s="901"/>
      <c r="QZE528" s="901"/>
      <c r="QZF528" s="901"/>
      <c r="QZG528" s="901"/>
      <c r="QZH528" s="901"/>
      <c r="QZI528" s="901"/>
      <c r="QZJ528" s="901"/>
      <c r="QZK528" s="901"/>
      <c r="QZL528" s="901"/>
      <c r="QZM528" s="901"/>
      <c r="QZN528" s="901"/>
      <c r="QZO528" s="901"/>
      <c r="QZP528" s="901"/>
      <c r="QZQ528" s="901"/>
      <c r="QZR528" s="901"/>
      <c r="QZS528" s="901"/>
      <c r="QZT528" s="901"/>
      <c r="QZU528" s="901"/>
      <c r="QZV528" s="901"/>
      <c r="QZW528" s="901"/>
      <c r="QZX528" s="901"/>
      <c r="QZY528" s="901"/>
      <c r="QZZ528" s="901"/>
      <c r="RAA528" s="901"/>
      <c r="RAB528" s="901"/>
      <c r="RAC528" s="901"/>
      <c r="RAD528" s="901"/>
      <c r="RAE528" s="901"/>
      <c r="RAF528" s="901"/>
      <c r="RAG528" s="901"/>
      <c r="RAH528" s="901"/>
      <c r="RAI528" s="901"/>
      <c r="RAJ528" s="901"/>
      <c r="RAK528" s="901"/>
      <c r="RAL528" s="901"/>
      <c r="RAM528" s="901"/>
      <c r="RAN528" s="901"/>
      <c r="RAO528" s="901"/>
      <c r="RAP528" s="901"/>
      <c r="RAQ528" s="901"/>
      <c r="RAR528" s="901"/>
      <c r="RAS528" s="901"/>
      <c r="RAT528" s="901"/>
      <c r="RAU528" s="901"/>
      <c r="RAV528" s="901"/>
      <c r="RAW528" s="901"/>
      <c r="RAX528" s="901"/>
      <c r="RAY528" s="901"/>
      <c r="RAZ528" s="901"/>
      <c r="RBA528" s="901"/>
      <c r="RBB528" s="901"/>
      <c r="RBC528" s="901"/>
      <c r="RBD528" s="901"/>
      <c r="RBE528" s="901"/>
      <c r="RBF528" s="901"/>
      <c r="RBG528" s="901"/>
      <c r="RBH528" s="901"/>
      <c r="RBI528" s="901"/>
      <c r="RBJ528" s="901"/>
      <c r="RBK528" s="901"/>
      <c r="RBL528" s="901"/>
      <c r="RBM528" s="901"/>
      <c r="RBN528" s="901"/>
      <c r="RBO528" s="901"/>
      <c r="RBP528" s="901"/>
      <c r="RBQ528" s="901"/>
      <c r="RBR528" s="901"/>
      <c r="RBS528" s="901"/>
      <c r="RBT528" s="901"/>
      <c r="RBU528" s="901"/>
      <c r="RBV528" s="901"/>
      <c r="RBW528" s="901"/>
      <c r="RBX528" s="901"/>
      <c r="RBY528" s="901"/>
      <c r="RBZ528" s="901"/>
      <c r="RCA528" s="901"/>
      <c r="RCB528" s="901"/>
      <c r="RCC528" s="901"/>
      <c r="RCD528" s="901"/>
      <c r="RCE528" s="901"/>
      <c r="RCF528" s="901"/>
      <c r="RCG528" s="901"/>
      <c r="RCH528" s="901"/>
      <c r="RCI528" s="901"/>
      <c r="RCJ528" s="901"/>
      <c r="RCK528" s="901"/>
      <c r="RCL528" s="901"/>
      <c r="RCM528" s="901"/>
      <c r="RCN528" s="901"/>
      <c r="RCO528" s="901"/>
      <c r="RCP528" s="901"/>
      <c r="RCQ528" s="901"/>
      <c r="RCR528" s="901"/>
      <c r="RCS528" s="901"/>
      <c r="RCT528" s="901"/>
      <c r="RCU528" s="901"/>
      <c r="RCV528" s="901"/>
      <c r="RCW528" s="901"/>
      <c r="RCX528" s="901"/>
      <c r="RCY528" s="901"/>
      <c r="RCZ528" s="901"/>
      <c r="RDA528" s="901"/>
      <c r="RDB528" s="901"/>
      <c r="RDC528" s="901"/>
      <c r="RDD528" s="901"/>
      <c r="RDE528" s="901"/>
      <c r="RDF528" s="901"/>
      <c r="RDG528" s="901"/>
      <c r="RDH528" s="901"/>
      <c r="RDI528" s="901"/>
      <c r="RDJ528" s="901"/>
      <c r="RDK528" s="901"/>
      <c r="RDL528" s="901"/>
      <c r="RDM528" s="901"/>
      <c r="RDN528" s="901"/>
      <c r="RDO528" s="901"/>
      <c r="RDP528" s="901"/>
      <c r="RDQ528" s="901"/>
      <c r="RDR528" s="901"/>
      <c r="RDS528" s="901"/>
      <c r="RDT528" s="901"/>
      <c r="RDU528" s="901"/>
      <c r="RDV528" s="901"/>
      <c r="RDW528" s="901"/>
      <c r="RDX528" s="901"/>
      <c r="RDY528" s="901"/>
      <c r="RDZ528" s="901"/>
      <c r="REA528" s="901"/>
      <c r="REB528" s="901"/>
      <c r="REC528" s="901"/>
      <c r="RED528" s="901"/>
      <c r="REE528" s="901"/>
      <c r="REF528" s="901"/>
      <c r="REG528" s="901"/>
      <c r="REH528" s="901"/>
      <c r="REI528" s="901"/>
      <c r="REJ528" s="901"/>
      <c r="REK528" s="901"/>
      <c r="REL528" s="901"/>
      <c r="REM528" s="901"/>
      <c r="REN528" s="901"/>
      <c r="REO528" s="901"/>
      <c r="REP528" s="901"/>
      <c r="REQ528" s="901"/>
      <c r="RER528" s="901"/>
      <c r="RES528" s="901"/>
      <c r="RET528" s="901"/>
      <c r="REU528" s="901"/>
      <c r="REV528" s="901"/>
      <c r="REW528" s="901"/>
      <c r="REX528" s="901"/>
      <c r="REY528" s="901"/>
      <c r="REZ528" s="901"/>
      <c r="RFA528" s="901"/>
      <c r="RFB528" s="901"/>
      <c r="RFC528" s="901"/>
      <c r="RFD528" s="901"/>
      <c r="RFE528" s="901"/>
      <c r="RFF528" s="901"/>
      <c r="RFG528" s="901"/>
      <c r="RFH528" s="901"/>
      <c r="RFI528" s="901"/>
      <c r="RFJ528" s="901"/>
      <c r="RFK528" s="901"/>
      <c r="RFL528" s="901"/>
      <c r="RFM528" s="901"/>
      <c r="RFN528" s="901"/>
      <c r="RFO528" s="901"/>
      <c r="RFP528" s="901"/>
      <c r="RFQ528" s="901"/>
      <c r="RFR528" s="901"/>
      <c r="RFS528" s="901"/>
      <c r="RFT528" s="901"/>
      <c r="RFU528" s="901"/>
      <c r="RFV528" s="901"/>
      <c r="RFW528" s="901"/>
      <c r="RFX528" s="901"/>
      <c r="RFY528" s="901"/>
      <c r="RFZ528" s="901"/>
      <c r="RGA528" s="901"/>
      <c r="RGB528" s="901"/>
      <c r="RGC528" s="901"/>
      <c r="RGD528" s="901"/>
      <c r="RGE528" s="901"/>
      <c r="RGF528" s="901"/>
      <c r="RGG528" s="901"/>
      <c r="RGH528" s="901"/>
      <c r="RGI528" s="901"/>
      <c r="RGJ528" s="901"/>
      <c r="RGK528" s="901"/>
      <c r="RGL528" s="901"/>
      <c r="RGM528" s="901"/>
      <c r="RGN528" s="901"/>
      <c r="RGO528" s="901"/>
      <c r="RGP528" s="901"/>
      <c r="RGQ528" s="901"/>
      <c r="RGR528" s="901"/>
      <c r="RGS528" s="901"/>
      <c r="RGT528" s="901"/>
      <c r="RGU528" s="901"/>
      <c r="RGV528" s="901"/>
      <c r="RGW528" s="901"/>
      <c r="RGX528" s="901"/>
      <c r="RGY528" s="901"/>
      <c r="RGZ528" s="901"/>
      <c r="RHA528" s="901"/>
      <c r="RHB528" s="901"/>
      <c r="RHC528" s="901"/>
      <c r="RHD528" s="901"/>
      <c r="RHE528" s="901"/>
      <c r="RHF528" s="901"/>
      <c r="RHG528" s="901"/>
      <c r="RHH528" s="901"/>
      <c r="RHI528" s="901"/>
      <c r="RHJ528" s="901"/>
      <c r="RHK528" s="901"/>
      <c r="RHL528" s="901"/>
      <c r="RHM528" s="901"/>
      <c r="RHN528" s="901"/>
      <c r="RHO528" s="901"/>
      <c r="RHP528" s="901"/>
      <c r="RHQ528" s="901"/>
      <c r="RHR528" s="901"/>
      <c r="RHS528" s="901"/>
      <c r="RHT528" s="901"/>
      <c r="RHU528" s="901"/>
      <c r="RHV528" s="901"/>
      <c r="RHW528" s="901"/>
      <c r="RHX528" s="901"/>
      <c r="RHY528" s="901"/>
      <c r="RHZ528" s="901"/>
      <c r="RIA528" s="901"/>
      <c r="RIB528" s="901"/>
      <c r="RIC528" s="901"/>
      <c r="RID528" s="901"/>
      <c r="RIE528" s="901"/>
      <c r="RIF528" s="901"/>
      <c r="RIG528" s="901"/>
      <c r="RIH528" s="901"/>
      <c r="RII528" s="901"/>
      <c r="RIJ528" s="901"/>
      <c r="RIK528" s="901"/>
      <c r="RIL528" s="901"/>
      <c r="RIM528" s="901"/>
      <c r="RIN528" s="901"/>
      <c r="RIO528" s="901"/>
      <c r="RIP528" s="901"/>
      <c r="RIQ528" s="901"/>
      <c r="RIR528" s="901"/>
      <c r="RIS528" s="901"/>
      <c r="RIT528" s="901"/>
      <c r="RIU528" s="901"/>
      <c r="RIV528" s="901"/>
      <c r="RIW528" s="901"/>
      <c r="RIX528" s="901"/>
      <c r="RIY528" s="901"/>
      <c r="RIZ528" s="901"/>
      <c r="RJA528" s="901"/>
      <c r="RJB528" s="901"/>
      <c r="RJC528" s="901"/>
      <c r="RJD528" s="901"/>
      <c r="RJE528" s="901"/>
      <c r="RJF528" s="901"/>
      <c r="RJG528" s="901"/>
      <c r="RJH528" s="901"/>
      <c r="RJI528" s="901"/>
      <c r="RJJ528" s="901"/>
      <c r="RJK528" s="901"/>
      <c r="RJL528" s="901"/>
      <c r="RJM528" s="901"/>
      <c r="RJN528" s="901"/>
      <c r="RJO528" s="901"/>
      <c r="RJP528" s="901"/>
      <c r="RJQ528" s="901"/>
      <c r="RJR528" s="901"/>
      <c r="RJS528" s="901"/>
      <c r="RJT528" s="901"/>
      <c r="RJU528" s="901"/>
      <c r="RJV528" s="901"/>
      <c r="RJW528" s="901"/>
      <c r="RJX528" s="901"/>
      <c r="RJY528" s="901"/>
      <c r="RJZ528" s="901"/>
      <c r="RKA528" s="901"/>
      <c r="RKB528" s="901"/>
      <c r="RKC528" s="901"/>
      <c r="RKD528" s="901"/>
      <c r="RKE528" s="901"/>
      <c r="RKF528" s="901"/>
      <c r="RKG528" s="901"/>
      <c r="RKH528" s="901"/>
      <c r="RKI528" s="901"/>
      <c r="RKJ528" s="901"/>
      <c r="RKK528" s="901"/>
      <c r="RKL528" s="901"/>
      <c r="RKM528" s="901"/>
      <c r="RKN528" s="901"/>
      <c r="RKO528" s="901"/>
      <c r="RKP528" s="901"/>
      <c r="RKQ528" s="901"/>
      <c r="RKR528" s="901"/>
      <c r="RKS528" s="901"/>
      <c r="RKT528" s="901"/>
      <c r="RKU528" s="901"/>
      <c r="RKV528" s="901"/>
      <c r="RKW528" s="901"/>
      <c r="RKX528" s="901"/>
      <c r="RKY528" s="901"/>
      <c r="RKZ528" s="901"/>
      <c r="RLA528" s="901"/>
      <c r="RLB528" s="901"/>
      <c r="RLC528" s="901"/>
      <c r="RLD528" s="901"/>
      <c r="RLE528" s="901"/>
      <c r="RLF528" s="901"/>
      <c r="RLG528" s="901"/>
      <c r="RLH528" s="901"/>
      <c r="RLI528" s="901"/>
      <c r="RLJ528" s="901"/>
      <c r="RLK528" s="901"/>
      <c r="RLL528" s="901"/>
      <c r="RLM528" s="901"/>
      <c r="RLN528" s="901"/>
      <c r="RLO528" s="901"/>
      <c r="RLP528" s="901"/>
      <c r="RLQ528" s="901"/>
      <c r="RLR528" s="901"/>
      <c r="RLS528" s="901"/>
      <c r="RLT528" s="901"/>
      <c r="RLU528" s="901"/>
      <c r="RLV528" s="901"/>
      <c r="RLW528" s="901"/>
      <c r="RLX528" s="901"/>
      <c r="RLY528" s="901"/>
      <c r="RLZ528" s="901"/>
      <c r="RMA528" s="901"/>
      <c r="RMB528" s="901"/>
      <c r="RMC528" s="901"/>
      <c r="RMD528" s="901"/>
      <c r="RME528" s="901"/>
      <c r="RMF528" s="901"/>
      <c r="RMG528" s="901"/>
      <c r="RMH528" s="901"/>
      <c r="RMI528" s="901"/>
      <c r="RMJ528" s="901"/>
      <c r="RMK528" s="901"/>
      <c r="RML528" s="901"/>
      <c r="RMM528" s="901"/>
      <c r="RMN528" s="901"/>
      <c r="RMO528" s="901"/>
      <c r="RMP528" s="901"/>
      <c r="RMQ528" s="901"/>
      <c r="RMR528" s="901"/>
      <c r="RMS528" s="901"/>
      <c r="RMT528" s="901"/>
      <c r="RMU528" s="901"/>
      <c r="RMV528" s="901"/>
      <c r="RMW528" s="901"/>
      <c r="RMX528" s="901"/>
      <c r="RMY528" s="901"/>
      <c r="RMZ528" s="901"/>
      <c r="RNA528" s="901"/>
      <c r="RNB528" s="901"/>
      <c r="RNC528" s="901"/>
      <c r="RND528" s="901"/>
      <c r="RNE528" s="901"/>
      <c r="RNF528" s="901"/>
      <c r="RNG528" s="901"/>
      <c r="RNH528" s="901"/>
      <c r="RNI528" s="901"/>
      <c r="RNJ528" s="901"/>
      <c r="RNK528" s="901"/>
      <c r="RNL528" s="901"/>
      <c r="RNM528" s="901"/>
      <c r="RNN528" s="901"/>
      <c r="RNO528" s="901"/>
      <c r="RNP528" s="901"/>
      <c r="RNQ528" s="901"/>
      <c r="RNR528" s="901"/>
      <c r="RNS528" s="901"/>
      <c r="RNT528" s="901"/>
      <c r="RNU528" s="901"/>
      <c r="RNV528" s="901"/>
      <c r="RNW528" s="901"/>
      <c r="RNX528" s="901"/>
      <c r="RNY528" s="901"/>
      <c r="RNZ528" s="901"/>
      <c r="ROA528" s="901"/>
      <c r="ROB528" s="901"/>
      <c r="ROC528" s="901"/>
      <c r="ROD528" s="901"/>
      <c r="ROE528" s="901"/>
      <c r="ROF528" s="901"/>
      <c r="ROG528" s="901"/>
      <c r="ROH528" s="901"/>
      <c r="ROI528" s="901"/>
      <c r="ROJ528" s="901"/>
      <c r="ROK528" s="901"/>
      <c r="ROL528" s="901"/>
      <c r="ROM528" s="901"/>
      <c r="RON528" s="901"/>
      <c r="ROO528" s="901"/>
      <c r="ROP528" s="901"/>
      <c r="ROQ528" s="901"/>
      <c r="ROR528" s="901"/>
      <c r="ROS528" s="901"/>
      <c r="ROT528" s="901"/>
      <c r="ROU528" s="901"/>
      <c r="ROV528" s="901"/>
      <c r="ROW528" s="901"/>
      <c r="ROX528" s="901"/>
      <c r="ROY528" s="901"/>
      <c r="ROZ528" s="901"/>
      <c r="RPA528" s="901"/>
      <c r="RPB528" s="901"/>
      <c r="RPC528" s="901"/>
      <c r="RPD528" s="901"/>
      <c r="RPE528" s="901"/>
      <c r="RPF528" s="901"/>
      <c r="RPG528" s="901"/>
      <c r="RPH528" s="901"/>
      <c r="RPI528" s="901"/>
      <c r="RPJ528" s="901"/>
      <c r="RPK528" s="901"/>
      <c r="RPL528" s="901"/>
      <c r="RPM528" s="901"/>
      <c r="RPN528" s="901"/>
      <c r="RPO528" s="901"/>
      <c r="RPP528" s="901"/>
      <c r="RPQ528" s="901"/>
      <c r="RPR528" s="901"/>
      <c r="RPS528" s="901"/>
      <c r="RPT528" s="901"/>
      <c r="RPU528" s="901"/>
      <c r="RPV528" s="901"/>
      <c r="RPW528" s="901"/>
      <c r="RPX528" s="901"/>
      <c r="RPY528" s="901"/>
      <c r="RPZ528" s="901"/>
      <c r="RQA528" s="901"/>
      <c r="RQB528" s="901"/>
      <c r="RQC528" s="901"/>
      <c r="RQD528" s="901"/>
      <c r="RQE528" s="901"/>
      <c r="RQF528" s="901"/>
      <c r="RQG528" s="901"/>
      <c r="RQH528" s="901"/>
      <c r="RQI528" s="901"/>
      <c r="RQJ528" s="901"/>
      <c r="RQK528" s="901"/>
      <c r="RQL528" s="901"/>
      <c r="RQM528" s="901"/>
      <c r="RQN528" s="901"/>
      <c r="RQO528" s="901"/>
      <c r="RQP528" s="901"/>
      <c r="RQQ528" s="901"/>
      <c r="RQR528" s="901"/>
      <c r="RQS528" s="901"/>
      <c r="RQT528" s="901"/>
      <c r="RQU528" s="901"/>
      <c r="RQV528" s="901"/>
      <c r="RQW528" s="901"/>
      <c r="RQX528" s="901"/>
      <c r="RQY528" s="901"/>
      <c r="RQZ528" s="901"/>
      <c r="RRA528" s="901"/>
      <c r="RRB528" s="901"/>
      <c r="RRC528" s="901"/>
      <c r="RRD528" s="901"/>
      <c r="RRE528" s="901"/>
      <c r="RRF528" s="901"/>
      <c r="RRG528" s="901"/>
      <c r="RRH528" s="901"/>
      <c r="RRI528" s="901"/>
      <c r="RRJ528" s="901"/>
      <c r="RRK528" s="901"/>
      <c r="RRL528" s="901"/>
      <c r="RRM528" s="901"/>
      <c r="RRN528" s="901"/>
      <c r="RRO528" s="901"/>
      <c r="RRP528" s="901"/>
      <c r="RRQ528" s="901"/>
      <c r="RRR528" s="901"/>
      <c r="RRS528" s="901"/>
      <c r="RRT528" s="901"/>
      <c r="RRU528" s="901"/>
      <c r="RRV528" s="901"/>
      <c r="RRW528" s="901"/>
      <c r="RRX528" s="901"/>
      <c r="RRY528" s="901"/>
      <c r="RRZ528" s="901"/>
      <c r="RSA528" s="901"/>
      <c r="RSB528" s="901"/>
      <c r="RSC528" s="901"/>
      <c r="RSD528" s="901"/>
      <c r="RSE528" s="901"/>
      <c r="RSF528" s="901"/>
      <c r="RSG528" s="901"/>
      <c r="RSH528" s="901"/>
      <c r="RSI528" s="901"/>
      <c r="RSJ528" s="901"/>
      <c r="RSK528" s="901"/>
      <c r="RSL528" s="901"/>
      <c r="RSM528" s="901"/>
      <c r="RSN528" s="901"/>
      <c r="RSO528" s="901"/>
      <c r="RSP528" s="901"/>
      <c r="RSQ528" s="901"/>
      <c r="RSR528" s="901"/>
      <c r="RSS528" s="901"/>
      <c r="RST528" s="901"/>
      <c r="RSU528" s="901"/>
      <c r="RSV528" s="901"/>
      <c r="RSW528" s="901"/>
      <c r="RSX528" s="901"/>
      <c r="RSY528" s="901"/>
      <c r="RSZ528" s="901"/>
      <c r="RTA528" s="901"/>
      <c r="RTB528" s="901"/>
      <c r="RTC528" s="901"/>
      <c r="RTD528" s="901"/>
      <c r="RTE528" s="901"/>
      <c r="RTF528" s="901"/>
      <c r="RTG528" s="901"/>
      <c r="RTH528" s="901"/>
      <c r="RTI528" s="901"/>
      <c r="RTJ528" s="901"/>
      <c r="RTK528" s="901"/>
      <c r="RTL528" s="901"/>
      <c r="RTM528" s="901"/>
      <c r="RTN528" s="901"/>
      <c r="RTO528" s="901"/>
      <c r="RTP528" s="901"/>
      <c r="RTQ528" s="901"/>
      <c r="RTR528" s="901"/>
      <c r="RTS528" s="901"/>
      <c r="RTT528" s="901"/>
      <c r="RTU528" s="901"/>
      <c r="RTV528" s="901"/>
      <c r="RTW528" s="901"/>
      <c r="RTX528" s="901"/>
      <c r="RTY528" s="901"/>
      <c r="RTZ528" s="901"/>
      <c r="RUA528" s="901"/>
      <c r="RUB528" s="901"/>
      <c r="RUC528" s="901"/>
      <c r="RUD528" s="901"/>
      <c r="RUE528" s="901"/>
      <c r="RUF528" s="901"/>
      <c r="RUG528" s="901"/>
      <c r="RUH528" s="901"/>
      <c r="RUI528" s="901"/>
      <c r="RUJ528" s="901"/>
      <c r="RUK528" s="901"/>
      <c r="RUL528" s="901"/>
      <c r="RUM528" s="901"/>
      <c r="RUN528" s="901"/>
      <c r="RUO528" s="901"/>
      <c r="RUP528" s="901"/>
      <c r="RUQ528" s="901"/>
      <c r="RUR528" s="901"/>
      <c r="RUS528" s="901"/>
      <c r="RUT528" s="901"/>
      <c r="RUU528" s="901"/>
      <c r="RUV528" s="901"/>
      <c r="RUW528" s="901"/>
      <c r="RUX528" s="901"/>
      <c r="RUY528" s="901"/>
      <c r="RUZ528" s="901"/>
      <c r="RVA528" s="901"/>
      <c r="RVB528" s="901"/>
      <c r="RVC528" s="901"/>
      <c r="RVD528" s="901"/>
      <c r="RVE528" s="901"/>
      <c r="RVF528" s="901"/>
      <c r="RVG528" s="901"/>
      <c r="RVH528" s="901"/>
      <c r="RVI528" s="901"/>
      <c r="RVJ528" s="901"/>
      <c r="RVK528" s="901"/>
      <c r="RVL528" s="901"/>
      <c r="RVM528" s="901"/>
      <c r="RVN528" s="901"/>
      <c r="RVO528" s="901"/>
      <c r="RVP528" s="901"/>
      <c r="RVQ528" s="901"/>
      <c r="RVR528" s="901"/>
      <c r="RVS528" s="901"/>
      <c r="RVT528" s="901"/>
      <c r="RVU528" s="901"/>
      <c r="RVV528" s="901"/>
      <c r="RVW528" s="901"/>
      <c r="RVX528" s="901"/>
      <c r="RVY528" s="901"/>
      <c r="RVZ528" s="901"/>
      <c r="RWA528" s="901"/>
      <c r="RWB528" s="901"/>
      <c r="RWC528" s="901"/>
      <c r="RWD528" s="901"/>
      <c r="RWE528" s="901"/>
      <c r="RWF528" s="901"/>
      <c r="RWG528" s="901"/>
      <c r="RWH528" s="901"/>
      <c r="RWI528" s="901"/>
      <c r="RWJ528" s="901"/>
      <c r="RWK528" s="901"/>
      <c r="RWL528" s="901"/>
      <c r="RWM528" s="901"/>
      <c r="RWN528" s="901"/>
      <c r="RWO528" s="901"/>
      <c r="RWP528" s="901"/>
      <c r="RWQ528" s="901"/>
      <c r="RWR528" s="901"/>
      <c r="RWS528" s="901"/>
      <c r="RWT528" s="901"/>
      <c r="RWU528" s="901"/>
      <c r="RWV528" s="901"/>
      <c r="RWW528" s="901"/>
      <c r="RWX528" s="901"/>
      <c r="RWY528" s="901"/>
      <c r="RWZ528" s="901"/>
      <c r="RXA528" s="901"/>
      <c r="RXB528" s="901"/>
      <c r="RXC528" s="901"/>
      <c r="RXD528" s="901"/>
      <c r="RXE528" s="901"/>
      <c r="RXF528" s="901"/>
      <c r="RXG528" s="901"/>
      <c r="RXH528" s="901"/>
      <c r="RXI528" s="901"/>
      <c r="RXJ528" s="901"/>
      <c r="RXK528" s="901"/>
      <c r="RXL528" s="901"/>
      <c r="RXM528" s="901"/>
      <c r="RXN528" s="901"/>
      <c r="RXO528" s="901"/>
      <c r="RXP528" s="901"/>
      <c r="RXQ528" s="901"/>
      <c r="RXR528" s="901"/>
      <c r="RXS528" s="901"/>
      <c r="RXT528" s="901"/>
      <c r="RXU528" s="901"/>
      <c r="RXV528" s="901"/>
      <c r="RXW528" s="901"/>
      <c r="RXX528" s="901"/>
      <c r="RXY528" s="901"/>
      <c r="RXZ528" s="901"/>
      <c r="RYA528" s="901"/>
      <c r="RYB528" s="901"/>
      <c r="RYC528" s="901"/>
      <c r="RYD528" s="901"/>
      <c r="RYE528" s="901"/>
      <c r="RYF528" s="901"/>
      <c r="RYG528" s="901"/>
      <c r="RYH528" s="901"/>
      <c r="RYI528" s="901"/>
      <c r="RYJ528" s="901"/>
      <c r="RYK528" s="901"/>
      <c r="RYL528" s="901"/>
      <c r="RYM528" s="901"/>
      <c r="RYN528" s="901"/>
      <c r="RYO528" s="901"/>
      <c r="RYP528" s="901"/>
      <c r="RYQ528" s="901"/>
      <c r="RYR528" s="901"/>
      <c r="RYS528" s="901"/>
      <c r="RYT528" s="901"/>
      <c r="RYU528" s="901"/>
      <c r="RYV528" s="901"/>
      <c r="RYW528" s="901"/>
      <c r="RYX528" s="901"/>
      <c r="RYY528" s="901"/>
      <c r="RYZ528" s="901"/>
      <c r="RZA528" s="901"/>
      <c r="RZB528" s="901"/>
      <c r="RZC528" s="901"/>
      <c r="RZD528" s="901"/>
      <c r="RZE528" s="901"/>
      <c r="RZF528" s="901"/>
      <c r="RZG528" s="901"/>
      <c r="RZH528" s="901"/>
      <c r="RZI528" s="901"/>
      <c r="RZJ528" s="901"/>
      <c r="RZK528" s="901"/>
      <c r="RZL528" s="901"/>
      <c r="RZM528" s="901"/>
      <c r="RZN528" s="901"/>
      <c r="RZO528" s="901"/>
      <c r="RZP528" s="901"/>
      <c r="RZQ528" s="901"/>
      <c r="RZR528" s="901"/>
      <c r="RZS528" s="901"/>
      <c r="RZT528" s="901"/>
      <c r="RZU528" s="901"/>
      <c r="RZV528" s="901"/>
      <c r="RZW528" s="901"/>
      <c r="RZX528" s="901"/>
      <c r="RZY528" s="901"/>
      <c r="RZZ528" s="901"/>
      <c r="SAA528" s="901"/>
      <c r="SAB528" s="901"/>
      <c r="SAC528" s="901"/>
      <c r="SAD528" s="901"/>
      <c r="SAE528" s="901"/>
      <c r="SAF528" s="901"/>
      <c r="SAG528" s="901"/>
      <c r="SAH528" s="901"/>
      <c r="SAI528" s="901"/>
      <c r="SAJ528" s="901"/>
      <c r="SAK528" s="901"/>
      <c r="SAL528" s="901"/>
      <c r="SAM528" s="901"/>
      <c r="SAN528" s="901"/>
      <c r="SAO528" s="901"/>
      <c r="SAP528" s="901"/>
      <c r="SAQ528" s="901"/>
      <c r="SAR528" s="901"/>
      <c r="SAS528" s="901"/>
      <c r="SAT528" s="901"/>
      <c r="SAU528" s="901"/>
      <c r="SAV528" s="901"/>
      <c r="SAW528" s="901"/>
      <c r="SAX528" s="901"/>
      <c r="SAY528" s="901"/>
      <c r="SAZ528" s="901"/>
      <c r="SBA528" s="901"/>
      <c r="SBB528" s="901"/>
      <c r="SBC528" s="901"/>
      <c r="SBD528" s="901"/>
      <c r="SBE528" s="901"/>
      <c r="SBF528" s="901"/>
      <c r="SBG528" s="901"/>
      <c r="SBH528" s="901"/>
      <c r="SBI528" s="901"/>
      <c r="SBJ528" s="901"/>
      <c r="SBK528" s="901"/>
      <c r="SBL528" s="901"/>
      <c r="SBM528" s="901"/>
      <c r="SBN528" s="901"/>
      <c r="SBO528" s="901"/>
      <c r="SBP528" s="901"/>
      <c r="SBQ528" s="901"/>
      <c r="SBR528" s="901"/>
      <c r="SBS528" s="901"/>
      <c r="SBT528" s="901"/>
      <c r="SBU528" s="901"/>
      <c r="SBV528" s="901"/>
      <c r="SBW528" s="901"/>
      <c r="SBX528" s="901"/>
      <c r="SBY528" s="901"/>
      <c r="SBZ528" s="901"/>
      <c r="SCA528" s="901"/>
      <c r="SCB528" s="901"/>
      <c r="SCC528" s="901"/>
      <c r="SCD528" s="901"/>
      <c r="SCE528" s="901"/>
      <c r="SCF528" s="901"/>
      <c r="SCG528" s="901"/>
      <c r="SCH528" s="901"/>
      <c r="SCI528" s="901"/>
      <c r="SCJ528" s="901"/>
      <c r="SCK528" s="901"/>
      <c r="SCL528" s="901"/>
      <c r="SCM528" s="901"/>
      <c r="SCN528" s="901"/>
      <c r="SCO528" s="901"/>
      <c r="SCP528" s="901"/>
      <c r="SCQ528" s="901"/>
      <c r="SCR528" s="901"/>
      <c r="SCS528" s="901"/>
      <c r="SCT528" s="901"/>
      <c r="SCU528" s="901"/>
      <c r="SCV528" s="901"/>
      <c r="SCW528" s="901"/>
      <c r="SCX528" s="901"/>
      <c r="SCY528" s="901"/>
      <c r="SCZ528" s="901"/>
      <c r="SDA528" s="901"/>
      <c r="SDB528" s="901"/>
      <c r="SDC528" s="901"/>
      <c r="SDD528" s="901"/>
      <c r="SDE528" s="901"/>
      <c r="SDF528" s="901"/>
      <c r="SDG528" s="901"/>
      <c r="SDH528" s="901"/>
      <c r="SDI528" s="901"/>
      <c r="SDJ528" s="901"/>
      <c r="SDK528" s="901"/>
      <c r="SDL528" s="901"/>
      <c r="SDM528" s="901"/>
      <c r="SDN528" s="901"/>
      <c r="SDO528" s="901"/>
      <c r="SDP528" s="901"/>
      <c r="SDQ528" s="901"/>
      <c r="SDR528" s="901"/>
      <c r="SDS528" s="901"/>
      <c r="SDT528" s="901"/>
      <c r="SDU528" s="901"/>
      <c r="SDV528" s="901"/>
      <c r="SDW528" s="901"/>
      <c r="SDX528" s="901"/>
      <c r="SDY528" s="901"/>
      <c r="SDZ528" s="901"/>
      <c r="SEA528" s="901"/>
      <c r="SEB528" s="901"/>
      <c r="SEC528" s="901"/>
      <c r="SED528" s="901"/>
      <c r="SEE528" s="901"/>
      <c r="SEF528" s="901"/>
      <c r="SEG528" s="901"/>
      <c r="SEH528" s="901"/>
      <c r="SEI528" s="901"/>
      <c r="SEJ528" s="901"/>
      <c r="SEK528" s="901"/>
      <c r="SEL528" s="901"/>
      <c r="SEM528" s="901"/>
      <c r="SEN528" s="901"/>
      <c r="SEO528" s="901"/>
      <c r="SEP528" s="901"/>
      <c r="SEQ528" s="901"/>
      <c r="SER528" s="901"/>
      <c r="SES528" s="901"/>
      <c r="SET528" s="901"/>
      <c r="SEU528" s="901"/>
      <c r="SEV528" s="901"/>
      <c r="SEW528" s="901"/>
      <c r="SEX528" s="901"/>
      <c r="SEY528" s="901"/>
      <c r="SEZ528" s="901"/>
      <c r="SFA528" s="901"/>
      <c r="SFB528" s="901"/>
      <c r="SFC528" s="901"/>
      <c r="SFD528" s="901"/>
      <c r="SFE528" s="901"/>
      <c r="SFF528" s="901"/>
      <c r="SFG528" s="901"/>
      <c r="SFH528" s="901"/>
      <c r="SFI528" s="901"/>
      <c r="SFJ528" s="901"/>
      <c r="SFK528" s="901"/>
      <c r="SFL528" s="901"/>
      <c r="SFM528" s="901"/>
      <c r="SFN528" s="901"/>
      <c r="SFO528" s="901"/>
      <c r="SFP528" s="901"/>
      <c r="SFQ528" s="901"/>
      <c r="SFR528" s="901"/>
      <c r="SFS528" s="901"/>
      <c r="SFT528" s="901"/>
      <c r="SFU528" s="901"/>
      <c r="SFV528" s="901"/>
      <c r="SFW528" s="901"/>
      <c r="SFX528" s="901"/>
      <c r="SFY528" s="901"/>
      <c r="SFZ528" s="901"/>
      <c r="SGA528" s="901"/>
      <c r="SGB528" s="901"/>
      <c r="SGC528" s="901"/>
      <c r="SGD528" s="901"/>
      <c r="SGE528" s="901"/>
      <c r="SGF528" s="901"/>
      <c r="SGG528" s="901"/>
      <c r="SGH528" s="901"/>
      <c r="SGI528" s="901"/>
      <c r="SGJ528" s="901"/>
      <c r="SGK528" s="901"/>
      <c r="SGL528" s="901"/>
      <c r="SGM528" s="901"/>
      <c r="SGN528" s="901"/>
      <c r="SGO528" s="901"/>
      <c r="SGP528" s="901"/>
      <c r="SGQ528" s="901"/>
      <c r="SGR528" s="901"/>
      <c r="SGS528" s="901"/>
      <c r="SGT528" s="901"/>
      <c r="SGU528" s="901"/>
      <c r="SGV528" s="901"/>
      <c r="SGW528" s="901"/>
      <c r="SGX528" s="901"/>
      <c r="SGY528" s="901"/>
      <c r="SGZ528" s="901"/>
      <c r="SHA528" s="901"/>
      <c r="SHB528" s="901"/>
      <c r="SHC528" s="901"/>
      <c r="SHD528" s="901"/>
      <c r="SHE528" s="901"/>
      <c r="SHF528" s="901"/>
      <c r="SHG528" s="901"/>
      <c r="SHH528" s="901"/>
      <c r="SHI528" s="901"/>
      <c r="SHJ528" s="901"/>
      <c r="SHK528" s="901"/>
      <c r="SHL528" s="901"/>
      <c r="SHM528" s="901"/>
      <c r="SHN528" s="901"/>
      <c r="SHO528" s="901"/>
      <c r="SHP528" s="901"/>
      <c r="SHQ528" s="901"/>
      <c r="SHR528" s="901"/>
      <c r="SHS528" s="901"/>
      <c r="SHT528" s="901"/>
      <c r="SHU528" s="901"/>
      <c r="SHV528" s="901"/>
      <c r="SHW528" s="901"/>
      <c r="SHX528" s="901"/>
      <c r="SHY528" s="901"/>
      <c r="SHZ528" s="901"/>
      <c r="SIA528" s="901"/>
      <c r="SIB528" s="901"/>
      <c r="SIC528" s="901"/>
      <c r="SID528" s="901"/>
      <c r="SIE528" s="901"/>
      <c r="SIF528" s="901"/>
      <c r="SIG528" s="901"/>
      <c r="SIH528" s="901"/>
      <c r="SII528" s="901"/>
      <c r="SIJ528" s="901"/>
      <c r="SIK528" s="901"/>
      <c r="SIL528" s="901"/>
      <c r="SIM528" s="901"/>
      <c r="SIN528" s="901"/>
      <c r="SIO528" s="901"/>
      <c r="SIP528" s="901"/>
      <c r="SIQ528" s="901"/>
      <c r="SIR528" s="901"/>
      <c r="SIS528" s="901"/>
      <c r="SIT528" s="901"/>
      <c r="SIU528" s="901"/>
      <c r="SIV528" s="901"/>
      <c r="SIW528" s="901"/>
      <c r="SIX528" s="901"/>
      <c r="SIY528" s="901"/>
      <c r="SIZ528" s="901"/>
      <c r="SJA528" s="901"/>
      <c r="SJB528" s="901"/>
      <c r="SJC528" s="901"/>
      <c r="SJD528" s="901"/>
      <c r="SJE528" s="901"/>
      <c r="SJF528" s="901"/>
      <c r="SJG528" s="901"/>
      <c r="SJH528" s="901"/>
      <c r="SJI528" s="901"/>
      <c r="SJJ528" s="901"/>
      <c r="SJK528" s="901"/>
      <c r="SJL528" s="901"/>
      <c r="SJM528" s="901"/>
      <c r="SJN528" s="901"/>
      <c r="SJO528" s="901"/>
      <c r="SJP528" s="901"/>
      <c r="SJQ528" s="901"/>
      <c r="SJR528" s="901"/>
      <c r="SJS528" s="901"/>
      <c r="SJT528" s="901"/>
      <c r="SJU528" s="901"/>
      <c r="SJV528" s="901"/>
      <c r="SJW528" s="901"/>
      <c r="SJX528" s="901"/>
      <c r="SJY528" s="901"/>
      <c r="SJZ528" s="901"/>
      <c r="SKA528" s="901"/>
      <c r="SKB528" s="901"/>
      <c r="SKC528" s="901"/>
      <c r="SKD528" s="901"/>
      <c r="SKE528" s="901"/>
      <c r="SKF528" s="901"/>
      <c r="SKG528" s="901"/>
      <c r="SKH528" s="901"/>
      <c r="SKI528" s="901"/>
      <c r="SKJ528" s="901"/>
      <c r="SKK528" s="901"/>
      <c r="SKL528" s="901"/>
      <c r="SKM528" s="901"/>
      <c r="SKN528" s="901"/>
      <c r="SKO528" s="901"/>
      <c r="SKP528" s="901"/>
      <c r="SKQ528" s="901"/>
      <c r="SKR528" s="901"/>
      <c r="SKS528" s="901"/>
      <c r="SKT528" s="901"/>
      <c r="SKU528" s="901"/>
      <c r="SKV528" s="901"/>
      <c r="SKW528" s="901"/>
      <c r="SKX528" s="901"/>
      <c r="SKY528" s="901"/>
      <c r="SKZ528" s="901"/>
      <c r="SLA528" s="901"/>
      <c r="SLB528" s="901"/>
      <c r="SLC528" s="901"/>
      <c r="SLD528" s="901"/>
      <c r="SLE528" s="901"/>
      <c r="SLF528" s="901"/>
      <c r="SLG528" s="901"/>
      <c r="SLH528" s="901"/>
      <c r="SLI528" s="901"/>
      <c r="SLJ528" s="901"/>
      <c r="SLK528" s="901"/>
      <c r="SLL528" s="901"/>
      <c r="SLM528" s="901"/>
      <c r="SLN528" s="901"/>
      <c r="SLO528" s="901"/>
      <c r="SLP528" s="901"/>
      <c r="SLQ528" s="901"/>
      <c r="SLR528" s="901"/>
      <c r="SLS528" s="901"/>
      <c r="SLT528" s="901"/>
      <c r="SLU528" s="901"/>
      <c r="SLV528" s="901"/>
      <c r="SLW528" s="901"/>
      <c r="SLX528" s="901"/>
      <c r="SLY528" s="901"/>
      <c r="SLZ528" s="901"/>
      <c r="SMA528" s="901"/>
      <c r="SMB528" s="901"/>
      <c r="SMC528" s="901"/>
      <c r="SMD528" s="901"/>
      <c r="SME528" s="901"/>
      <c r="SMF528" s="901"/>
      <c r="SMG528" s="901"/>
      <c r="SMH528" s="901"/>
      <c r="SMI528" s="901"/>
      <c r="SMJ528" s="901"/>
      <c r="SMK528" s="901"/>
      <c r="SML528" s="901"/>
      <c r="SMM528" s="901"/>
      <c r="SMN528" s="901"/>
      <c r="SMO528" s="901"/>
      <c r="SMP528" s="901"/>
      <c r="SMQ528" s="901"/>
      <c r="SMR528" s="901"/>
      <c r="SMS528" s="901"/>
      <c r="SMT528" s="901"/>
      <c r="SMU528" s="901"/>
      <c r="SMV528" s="901"/>
      <c r="SMW528" s="901"/>
      <c r="SMX528" s="901"/>
      <c r="SMY528" s="901"/>
      <c r="SMZ528" s="901"/>
      <c r="SNA528" s="901"/>
      <c r="SNB528" s="901"/>
      <c r="SNC528" s="901"/>
      <c r="SND528" s="901"/>
      <c r="SNE528" s="901"/>
      <c r="SNF528" s="901"/>
      <c r="SNG528" s="901"/>
      <c r="SNH528" s="901"/>
      <c r="SNI528" s="901"/>
      <c r="SNJ528" s="901"/>
      <c r="SNK528" s="901"/>
      <c r="SNL528" s="901"/>
      <c r="SNM528" s="901"/>
      <c r="SNN528" s="901"/>
      <c r="SNO528" s="901"/>
      <c r="SNP528" s="901"/>
      <c r="SNQ528" s="901"/>
      <c r="SNR528" s="901"/>
      <c r="SNS528" s="901"/>
      <c r="SNT528" s="901"/>
      <c r="SNU528" s="901"/>
      <c r="SNV528" s="901"/>
      <c r="SNW528" s="901"/>
      <c r="SNX528" s="901"/>
      <c r="SNY528" s="901"/>
      <c r="SNZ528" s="901"/>
      <c r="SOA528" s="901"/>
      <c r="SOB528" s="901"/>
      <c r="SOC528" s="901"/>
      <c r="SOD528" s="901"/>
      <c r="SOE528" s="901"/>
      <c r="SOF528" s="901"/>
      <c r="SOG528" s="901"/>
      <c r="SOH528" s="901"/>
      <c r="SOI528" s="901"/>
      <c r="SOJ528" s="901"/>
      <c r="SOK528" s="901"/>
      <c r="SOL528" s="901"/>
      <c r="SOM528" s="901"/>
      <c r="SON528" s="901"/>
      <c r="SOO528" s="901"/>
      <c r="SOP528" s="901"/>
      <c r="SOQ528" s="901"/>
      <c r="SOR528" s="901"/>
      <c r="SOS528" s="901"/>
      <c r="SOT528" s="901"/>
      <c r="SOU528" s="901"/>
      <c r="SOV528" s="901"/>
      <c r="SOW528" s="901"/>
      <c r="SOX528" s="901"/>
      <c r="SOY528" s="901"/>
      <c r="SOZ528" s="901"/>
      <c r="SPA528" s="901"/>
      <c r="SPB528" s="901"/>
      <c r="SPC528" s="901"/>
      <c r="SPD528" s="901"/>
      <c r="SPE528" s="901"/>
      <c r="SPF528" s="901"/>
      <c r="SPG528" s="901"/>
      <c r="SPH528" s="901"/>
      <c r="SPI528" s="901"/>
      <c r="SPJ528" s="901"/>
      <c r="SPK528" s="901"/>
      <c r="SPL528" s="901"/>
      <c r="SPM528" s="901"/>
      <c r="SPN528" s="901"/>
      <c r="SPO528" s="901"/>
      <c r="SPP528" s="901"/>
      <c r="SPQ528" s="901"/>
      <c r="SPR528" s="901"/>
      <c r="SPS528" s="901"/>
      <c r="SPT528" s="901"/>
      <c r="SPU528" s="901"/>
      <c r="SPV528" s="901"/>
      <c r="SPW528" s="901"/>
      <c r="SPX528" s="901"/>
      <c r="SPY528" s="901"/>
      <c r="SPZ528" s="901"/>
      <c r="SQA528" s="901"/>
      <c r="SQB528" s="901"/>
      <c r="SQC528" s="901"/>
      <c r="SQD528" s="901"/>
      <c r="SQE528" s="901"/>
      <c r="SQF528" s="901"/>
      <c r="SQG528" s="901"/>
      <c r="SQH528" s="901"/>
      <c r="SQI528" s="901"/>
      <c r="SQJ528" s="901"/>
      <c r="SQK528" s="901"/>
      <c r="SQL528" s="901"/>
      <c r="SQM528" s="901"/>
      <c r="SQN528" s="901"/>
      <c r="SQO528" s="901"/>
      <c r="SQP528" s="901"/>
      <c r="SQQ528" s="901"/>
      <c r="SQR528" s="901"/>
      <c r="SQS528" s="901"/>
      <c r="SQT528" s="901"/>
      <c r="SQU528" s="901"/>
      <c r="SQV528" s="901"/>
      <c r="SQW528" s="901"/>
      <c r="SQX528" s="901"/>
      <c r="SQY528" s="901"/>
      <c r="SQZ528" s="901"/>
      <c r="SRA528" s="901"/>
      <c r="SRB528" s="901"/>
      <c r="SRC528" s="901"/>
      <c r="SRD528" s="901"/>
      <c r="SRE528" s="901"/>
      <c r="SRF528" s="901"/>
      <c r="SRG528" s="901"/>
      <c r="SRH528" s="901"/>
      <c r="SRI528" s="901"/>
      <c r="SRJ528" s="901"/>
      <c r="SRK528" s="901"/>
      <c r="SRL528" s="901"/>
      <c r="SRM528" s="901"/>
      <c r="SRN528" s="901"/>
      <c r="SRO528" s="901"/>
      <c r="SRP528" s="901"/>
      <c r="SRQ528" s="901"/>
      <c r="SRR528" s="901"/>
      <c r="SRS528" s="901"/>
      <c r="SRT528" s="901"/>
      <c r="SRU528" s="901"/>
      <c r="SRV528" s="901"/>
      <c r="SRW528" s="901"/>
      <c r="SRX528" s="901"/>
      <c r="SRY528" s="901"/>
      <c r="SRZ528" s="901"/>
      <c r="SSA528" s="901"/>
      <c r="SSB528" s="901"/>
      <c r="SSC528" s="901"/>
      <c r="SSD528" s="901"/>
      <c r="SSE528" s="901"/>
      <c r="SSF528" s="901"/>
      <c r="SSG528" s="901"/>
      <c r="SSH528" s="901"/>
      <c r="SSI528" s="901"/>
      <c r="SSJ528" s="901"/>
      <c r="SSK528" s="901"/>
      <c r="SSL528" s="901"/>
      <c r="SSM528" s="901"/>
      <c r="SSN528" s="901"/>
      <c r="SSO528" s="901"/>
      <c r="SSP528" s="901"/>
      <c r="SSQ528" s="901"/>
      <c r="SSR528" s="901"/>
      <c r="SSS528" s="901"/>
      <c r="SST528" s="901"/>
      <c r="SSU528" s="901"/>
      <c r="SSV528" s="901"/>
      <c r="SSW528" s="901"/>
      <c r="SSX528" s="901"/>
      <c r="SSY528" s="901"/>
      <c r="SSZ528" s="901"/>
      <c r="STA528" s="901"/>
      <c r="STB528" s="901"/>
      <c r="STC528" s="901"/>
      <c r="STD528" s="901"/>
      <c r="STE528" s="901"/>
      <c r="STF528" s="901"/>
      <c r="STG528" s="901"/>
      <c r="STH528" s="901"/>
      <c r="STI528" s="901"/>
      <c r="STJ528" s="901"/>
      <c r="STK528" s="901"/>
      <c r="STL528" s="901"/>
      <c r="STM528" s="901"/>
      <c r="STN528" s="901"/>
      <c r="STO528" s="901"/>
      <c r="STP528" s="901"/>
      <c r="STQ528" s="901"/>
      <c r="STR528" s="901"/>
      <c r="STS528" s="901"/>
      <c r="STT528" s="901"/>
      <c r="STU528" s="901"/>
      <c r="STV528" s="901"/>
      <c r="STW528" s="901"/>
      <c r="STX528" s="901"/>
      <c r="STY528" s="901"/>
      <c r="STZ528" s="901"/>
      <c r="SUA528" s="901"/>
      <c r="SUB528" s="901"/>
      <c r="SUC528" s="901"/>
      <c r="SUD528" s="901"/>
      <c r="SUE528" s="901"/>
      <c r="SUF528" s="901"/>
      <c r="SUG528" s="901"/>
      <c r="SUH528" s="901"/>
      <c r="SUI528" s="901"/>
      <c r="SUJ528" s="901"/>
      <c r="SUK528" s="901"/>
      <c r="SUL528" s="901"/>
      <c r="SUM528" s="901"/>
      <c r="SUN528" s="901"/>
      <c r="SUO528" s="901"/>
      <c r="SUP528" s="901"/>
      <c r="SUQ528" s="901"/>
      <c r="SUR528" s="901"/>
      <c r="SUS528" s="901"/>
      <c r="SUT528" s="901"/>
      <c r="SUU528" s="901"/>
      <c r="SUV528" s="901"/>
      <c r="SUW528" s="901"/>
      <c r="SUX528" s="901"/>
      <c r="SUY528" s="901"/>
      <c r="SUZ528" s="901"/>
      <c r="SVA528" s="901"/>
      <c r="SVB528" s="901"/>
      <c r="SVC528" s="901"/>
      <c r="SVD528" s="901"/>
      <c r="SVE528" s="901"/>
      <c r="SVF528" s="901"/>
      <c r="SVG528" s="901"/>
      <c r="SVH528" s="901"/>
      <c r="SVI528" s="901"/>
      <c r="SVJ528" s="901"/>
      <c r="SVK528" s="901"/>
      <c r="SVL528" s="901"/>
      <c r="SVM528" s="901"/>
      <c r="SVN528" s="901"/>
      <c r="SVO528" s="901"/>
      <c r="SVP528" s="901"/>
      <c r="SVQ528" s="901"/>
      <c r="SVR528" s="901"/>
      <c r="SVS528" s="901"/>
      <c r="SVT528" s="901"/>
      <c r="SVU528" s="901"/>
      <c r="SVV528" s="901"/>
      <c r="SVW528" s="901"/>
      <c r="SVX528" s="901"/>
      <c r="SVY528" s="901"/>
      <c r="SVZ528" s="901"/>
      <c r="SWA528" s="901"/>
      <c r="SWB528" s="901"/>
      <c r="SWC528" s="901"/>
      <c r="SWD528" s="901"/>
      <c r="SWE528" s="901"/>
      <c r="SWF528" s="901"/>
      <c r="SWG528" s="901"/>
      <c r="SWH528" s="901"/>
      <c r="SWI528" s="901"/>
      <c r="SWJ528" s="901"/>
      <c r="SWK528" s="901"/>
      <c r="SWL528" s="901"/>
      <c r="SWM528" s="901"/>
      <c r="SWN528" s="901"/>
      <c r="SWO528" s="901"/>
      <c r="SWP528" s="901"/>
      <c r="SWQ528" s="901"/>
      <c r="SWR528" s="901"/>
      <c r="SWS528" s="901"/>
      <c r="SWT528" s="901"/>
      <c r="SWU528" s="901"/>
      <c r="SWV528" s="901"/>
      <c r="SWW528" s="901"/>
      <c r="SWX528" s="901"/>
      <c r="SWY528" s="901"/>
      <c r="SWZ528" s="901"/>
      <c r="SXA528" s="901"/>
      <c r="SXB528" s="901"/>
      <c r="SXC528" s="901"/>
      <c r="SXD528" s="901"/>
      <c r="SXE528" s="901"/>
      <c r="SXF528" s="901"/>
      <c r="SXG528" s="901"/>
      <c r="SXH528" s="901"/>
      <c r="SXI528" s="901"/>
      <c r="SXJ528" s="901"/>
      <c r="SXK528" s="901"/>
      <c r="SXL528" s="901"/>
      <c r="SXM528" s="901"/>
      <c r="SXN528" s="901"/>
      <c r="SXO528" s="901"/>
      <c r="SXP528" s="901"/>
      <c r="SXQ528" s="901"/>
      <c r="SXR528" s="901"/>
      <c r="SXS528" s="901"/>
      <c r="SXT528" s="901"/>
      <c r="SXU528" s="901"/>
      <c r="SXV528" s="901"/>
      <c r="SXW528" s="901"/>
      <c r="SXX528" s="901"/>
      <c r="SXY528" s="901"/>
      <c r="SXZ528" s="901"/>
      <c r="SYA528" s="901"/>
      <c r="SYB528" s="901"/>
      <c r="SYC528" s="901"/>
      <c r="SYD528" s="901"/>
      <c r="SYE528" s="901"/>
      <c r="SYF528" s="901"/>
      <c r="SYG528" s="901"/>
      <c r="SYH528" s="901"/>
      <c r="SYI528" s="901"/>
      <c r="SYJ528" s="901"/>
      <c r="SYK528" s="901"/>
      <c r="SYL528" s="901"/>
      <c r="SYM528" s="901"/>
      <c r="SYN528" s="901"/>
      <c r="SYO528" s="901"/>
      <c r="SYP528" s="901"/>
      <c r="SYQ528" s="901"/>
      <c r="SYR528" s="901"/>
      <c r="SYS528" s="901"/>
      <c r="SYT528" s="901"/>
      <c r="SYU528" s="901"/>
      <c r="SYV528" s="901"/>
      <c r="SYW528" s="901"/>
      <c r="SYX528" s="901"/>
      <c r="SYY528" s="901"/>
      <c r="SYZ528" s="901"/>
      <c r="SZA528" s="901"/>
      <c r="SZB528" s="901"/>
      <c r="SZC528" s="901"/>
      <c r="SZD528" s="901"/>
      <c r="SZE528" s="901"/>
      <c r="SZF528" s="901"/>
      <c r="SZG528" s="901"/>
      <c r="SZH528" s="901"/>
      <c r="SZI528" s="901"/>
      <c r="SZJ528" s="901"/>
      <c r="SZK528" s="901"/>
      <c r="SZL528" s="901"/>
      <c r="SZM528" s="901"/>
      <c r="SZN528" s="901"/>
      <c r="SZO528" s="901"/>
      <c r="SZP528" s="901"/>
      <c r="SZQ528" s="901"/>
      <c r="SZR528" s="901"/>
      <c r="SZS528" s="901"/>
      <c r="SZT528" s="901"/>
      <c r="SZU528" s="901"/>
      <c r="SZV528" s="901"/>
      <c r="SZW528" s="901"/>
      <c r="SZX528" s="901"/>
      <c r="SZY528" s="901"/>
      <c r="SZZ528" s="901"/>
      <c r="TAA528" s="901"/>
      <c r="TAB528" s="901"/>
      <c r="TAC528" s="901"/>
      <c r="TAD528" s="901"/>
      <c r="TAE528" s="901"/>
      <c r="TAF528" s="901"/>
      <c r="TAG528" s="901"/>
      <c r="TAH528" s="901"/>
      <c r="TAI528" s="901"/>
      <c r="TAJ528" s="901"/>
      <c r="TAK528" s="901"/>
      <c r="TAL528" s="901"/>
      <c r="TAM528" s="901"/>
      <c r="TAN528" s="901"/>
      <c r="TAO528" s="901"/>
      <c r="TAP528" s="901"/>
      <c r="TAQ528" s="901"/>
      <c r="TAR528" s="901"/>
      <c r="TAS528" s="901"/>
      <c r="TAT528" s="901"/>
      <c r="TAU528" s="901"/>
      <c r="TAV528" s="901"/>
      <c r="TAW528" s="901"/>
      <c r="TAX528" s="901"/>
      <c r="TAY528" s="901"/>
      <c r="TAZ528" s="901"/>
      <c r="TBA528" s="901"/>
      <c r="TBB528" s="901"/>
      <c r="TBC528" s="901"/>
      <c r="TBD528" s="901"/>
      <c r="TBE528" s="901"/>
      <c r="TBF528" s="901"/>
      <c r="TBG528" s="901"/>
      <c r="TBH528" s="901"/>
      <c r="TBI528" s="901"/>
      <c r="TBJ528" s="901"/>
      <c r="TBK528" s="901"/>
      <c r="TBL528" s="901"/>
      <c r="TBM528" s="901"/>
      <c r="TBN528" s="901"/>
      <c r="TBO528" s="901"/>
      <c r="TBP528" s="901"/>
      <c r="TBQ528" s="901"/>
      <c r="TBR528" s="901"/>
      <c r="TBS528" s="901"/>
      <c r="TBT528" s="901"/>
      <c r="TBU528" s="901"/>
      <c r="TBV528" s="901"/>
      <c r="TBW528" s="901"/>
      <c r="TBX528" s="901"/>
      <c r="TBY528" s="901"/>
      <c r="TBZ528" s="901"/>
      <c r="TCA528" s="901"/>
      <c r="TCB528" s="901"/>
      <c r="TCC528" s="901"/>
      <c r="TCD528" s="901"/>
      <c r="TCE528" s="901"/>
      <c r="TCF528" s="901"/>
      <c r="TCG528" s="901"/>
      <c r="TCH528" s="901"/>
      <c r="TCI528" s="901"/>
      <c r="TCJ528" s="901"/>
      <c r="TCK528" s="901"/>
      <c r="TCL528" s="901"/>
      <c r="TCM528" s="901"/>
      <c r="TCN528" s="901"/>
      <c r="TCO528" s="901"/>
      <c r="TCP528" s="901"/>
      <c r="TCQ528" s="901"/>
      <c r="TCR528" s="901"/>
      <c r="TCS528" s="901"/>
      <c r="TCT528" s="901"/>
      <c r="TCU528" s="901"/>
      <c r="TCV528" s="901"/>
      <c r="TCW528" s="901"/>
      <c r="TCX528" s="901"/>
      <c r="TCY528" s="901"/>
      <c r="TCZ528" s="901"/>
      <c r="TDA528" s="901"/>
      <c r="TDB528" s="901"/>
      <c r="TDC528" s="901"/>
      <c r="TDD528" s="901"/>
      <c r="TDE528" s="901"/>
      <c r="TDF528" s="901"/>
      <c r="TDG528" s="901"/>
      <c r="TDH528" s="901"/>
      <c r="TDI528" s="901"/>
      <c r="TDJ528" s="901"/>
      <c r="TDK528" s="901"/>
      <c r="TDL528" s="901"/>
      <c r="TDM528" s="901"/>
      <c r="TDN528" s="901"/>
      <c r="TDO528" s="901"/>
      <c r="TDP528" s="901"/>
      <c r="TDQ528" s="901"/>
      <c r="TDR528" s="901"/>
      <c r="TDS528" s="901"/>
      <c r="TDT528" s="901"/>
      <c r="TDU528" s="901"/>
      <c r="TDV528" s="901"/>
      <c r="TDW528" s="901"/>
      <c r="TDX528" s="901"/>
      <c r="TDY528" s="901"/>
      <c r="TDZ528" s="901"/>
      <c r="TEA528" s="901"/>
      <c r="TEB528" s="901"/>
      <c r="TEC528" s="901"/>
      <c r="TED528" s="901"/>
      <c r="TEE528" s="901"/>
      <c r="TEF528" s="901"/>
      <c r="TEG528" s="901"/>
      <c r="TEH528" s="901"/>
      <c r="TEI528" s="901"/>
      <c r="TEJ528" s="901"/>
      <c r="TEK528" s="901"/>
      <c r="TEL528" s="901"/>
      <c r="TEM528" s="901"/>
      <c r="TEN528" s="901"/>
      <c r="TEO528" s="901"/>
      <c r="TEP528" s="901"/>
      <c r="TEQ528" s="901"/>
      <c r="TER528" s="901"/>
      <c r="TES528" s="901"/>
      <c r="TET528" s="901"/>
      <c r="TEU528" s="901"/>
      <c r="TEV528" s="901"/>
      <c r="TEW528" s="901"/>
      <c r="TEX528" s="901"/>
      <c r="TEY528" s="901"/>
      <c r="TEZ528" s="901"/>
      <c r="TFA528" s="901"/>
      <c r="TFB528" s="901"/>
      <c r="TFC528" s="901"/>
      <c r="TFD528" s="901"/>
      <c r="TFE528" s="901"/>
      <c r="TFF528" s="901"/>
      <c r="TFG528" s="901"/>
      <c r="TFH528" s="901"/>
      <c r="TFI528" s="901"/>
      <c r="TFJ528" s="901"/>
      <c r="TFK528" s="901"/>
      <c r="TFL528" s="901"/>
      <c r="TFM528" s="901"/>
      <c r="TFN528" s="901"/>
      <c r="TFO528" s="901"/>
      <c r="TFP528" s="901"/>
      <c r="TFQ528" s="901"/>
      <c r="TFR528" s="901"/>
      <c r="TFS528" s="901"/>
      <c r="TFT528" s="901"/>
      <c r="TFU528" s="901"/>
      <c r="TFV528" s="901"/>
      <c r="TFW528" s="901"/>
      <c r="TFX528" s="901"/>
      <c r="TFY528" s="901"/>
      <c r="TFZ528" s="901"/>
      <c r="TGA528" s="901"/>
      <c r="TGB528" s="901"/>
      <c r="TGC528" s="901"/>
      <c r="TGD528" s="901"/>
      <c r="TGE528" s="901"/>
      <c r="TGF528" s="901"/>
      <c r="TGG528" s="901"/>
      <c r="TGH528" s="901"/>
      <c r="TGI528" s="901"/>
      <c r="TGJ528" s="901"/>
      <c r="TGK528" s="901"/>
      <c r="TGL528" s="901"/>
      <c r="TGM528" s="901"/>
      <c r="TGN528" s="901"/>
      <c r="TGO528" s="901"/>
      <c r="TGP528" s="901"/>
      <c r="TGQ528" s="901"/>
      <c r="TGR528" s="901"/>
      <c r="TGS528" s="901"/>
      <c r="TGT528" s="901"/>
      <c r="TGU528" s="901"/>
      <c r="TGV528" s="901"/>
      <c r="TGW528" s="901"/>
      <c r="TGX528" s="901"/>
      <c r="TGY528" s="901"/>
      <c r="TGZ528" s="901"/>
      <c r="THA528" s="901"/>
      <c r="THB528" s="901"/>
      <c r="THC528" s="901"/>
      <c r="THD528" s="901"/>
      <c r="THE528" s="901"/>
      <c r="THF528" s="901"/>
      <c r="THG528" s="901"/>
      <c r="THH528" s="901"/>
      <c r="THI528" s="901"/>
      <c r="THJ528" s="901"/>
      <c r="THK528" s="901"/>
      <c r="THL528" s="901"/>
      <c r="THM528" s="901"/>
      <c r="THN528" s="901"/>
      <c r="THO528" s="901"/>
      <c r="THP528" s="901"/>
      <c r="THQ528" s="901"/>
      <c r="THR528" s="901"/>
      <c r="THS528" s="901"/>
      <c r="THT528" s="901"/>
      <c r="THU528" s="901"/>
      <c r="THV528" s="901"/>
      <c r="THW528" s="901"/>
      <c r="THX528" s="901"/>
      <c r="THY528" s="901"/>
      <c r="THZ528" s="901"/>
      <c r="TIA528" s="901"/>
      <c r="TIB528" s="901"/>
      <c r="TIC528" s="901"/>
      <c r="TID528" s="901"/>
      <c r="TIE528" s="901"/>
      <c r="TIF528" s="901"/>
      <c r="TIG528" s="901"/>
      <c r="TIH528" s="901"/>
      <c r="TII528" s="901"/>
      <c r="TIJ528" s="901"/>
      <c r="TIK528" s="901"/>
      <c r="TIL528" s="901"/>
      <c r="TIM528" s="901"/>
      <c r="TIN528" s="901"/>
      <c r="TIO528" s="901"/>
      <c r="TIP528" s="901"/>
      <c r="TIQ528" s="901"/>
      <c r="TIR528" s="901"/>
      <c r="TIS528" s="901"/>
      <c r="TIT528" s="901"/>
      <c r="TIU528" s="901"/>
      <c r="TIV528" s="901"/>
      <c r="TIW528" s="901"/>
      <c r="TIX528" s="901"/>
      <c r="TIY528" s="901"/>
      <c r="TIZ528" s="901"/>
      <c r="TJA528" s="901"/>
      <c r="TJB528" s="901"/>
      <c r="TJC528" s="901"/>
      <c r="TJD528" s="901"/>
      <c r="TJE528" s="901"/>
      <c r="TJF528" s="901"/>
      <c r="TJG528" s="901"/>
      <c r="TJH528" s="901"/>
      <c r="TJI528" s="901"/>
      <c r="TJJ528" s="901"/>
      <c r="TJK528" s="901"/>
      <c r="TJL528" s="901"/>
      <c r="TJM528" s="901"/>
      <c r="TJN528" s="901"/>
      <c r="TJO528" s="901"/>
      <c r="TJP528" s="901"/>
      <c r="TJQ528" s="901"/>
      <c r="TJR528" s="901"/>
      <c r="TJS528" s="901"/>
      <c r="TJT528" s="901"/>
      <c r="TJU528" s="901"/>
      <c r="TJV528" s="901"/>
      <c r="TJW528" s="901"/>
      <c r="TJX528" s="901"/>
      <c r="TJY528" s="901"/>
      <c r="TJZ528" s="901"/>
      <c r="TKA528" s="901"/>
      <c r="TKB528" s="901"/>
      <c r="TKC528" s="901"/>
      <c r="TKD528" s="901"/>
      <c r="TKE528" s="901"/>
      <c r="TKF528" s="901"/>
      <c r="TKG528" s="901"/>
      <c r="TKH528" s="901"/>
      <c r="TKI528" s="901"/>
      <c r="TKJ528" s="901"/>
      <c r="TKK528" s="901"/>
      <c r="TKL528" s="901"/>
      <c r="TKM528" s="901"/>
      <c r="TKN528" s="901"/>
      <c r="TKO528" s="901"/>
      <c r="TKP528" s="901"/>
      <c r="TKQ528" s="901"/>
      <c r="TKR528" s="901"/>
      <c r="TKS528" s="901"/>
      <c r="TKT528" s="901"/>
      <c r="TKU528" s="901"/>
      <c r="TKV528" s="901"/>
      <c r="TKW528" s="901"/>
      <c r="TKX528" s="901"/>
      <c r="TKY528" s="901"/>
      <c r="TKZ528" s="901"/>
      <c r="TLA528" s="901"/>
      <c r="TLB528" s="901"/>
      <c r="TLC528" s="901"/>
      <c r="TLD528" s="901"/>
      <c r="TLE528" s="901"/>
      <c r="TLF528" s="901"/>
      <c r="TLG528" s="901"/>
      <c r="TLH528" s="901"/>
      <c r="TLI528" s="901"/>
      <c r="TLJ528" s="901"/>
      <c r="TLK528" s="901"/>
      <c r="TLL528" s="901"/>
      <c r="TLM528" s="901"/>
      <c r="TLN528" s="901"/>
      <c r="TLO528" s="901"/>
      <c r="TLP528" s="901"/>
      <c r="TLQ528" s="901"/>
      <c r="TLR528" s="901"/>
      <c r="TLS528" s="901"/>
      <c r="TLT528" s="901"/>
      <c r="TLU528" s="901"/>
      <c r="TLV528" s="901"/>
      <c r="TLW528" s="901"/>
      <c r="TLX528" s="901"/>
      <c r="TLY528" s="901"/>
      <c r="TLZ528" s="901"/>
      <c r="TMA528" s="901"/>
      <c r="TMB528" s="901"/>
      <c r="TMC528" s="901"/>
      <c r="TMD528" s="901"/>
      <c r="TME528" s="901"/>
      <c r="TMF528" s="901"/>
      <c r="TMG528" s="901"/>
      <c r="TMH528" s="901"/>
      <c r="TMI528" s="901"/>
      <c r="TMJ528" s="901"/>
      <c r="TMK528" s="901"/>
      <c r="TML528" s="901"/>
      <c r="TMM528" s="901"/>
      <c r="TMN528" s="901"/>
      <c r="TMO528" s="901"/>
      <c r="TMP528" s="901"/>
      <c r="TMQ528" s="901"/>
      <c r="TMR528" s="901"/>
      <c r="TMS528" s="901"/>
      <c r="TMT528" s="901"/>
      <c r="TMU528" s="901"/>
      <c r="TMV528" s="901"/>
      <c r="TMW528" s="901"/>
      <c r="TMX528" s="901"/>
      <c r="TMY528" s="901"/>
      <c r="TMZ528" s="901"/>
      <c r="TNA528" s="901"/>
      <c r="TNB528" s="901"/>
      <c r="TNC528" s="901"/>
      <c r="TND528" s="901"/>
      <c r="TNE528" s="901"/>
      <c r="TNF528" s="901"/>
      <c r="TNG528" s="901"/>
      <c r="TNH528" s="901"/>
      <c r="TNI528" s="901"/>
      <c r="TNJ528" s="901"/>
      <c r="TNK528" s="901"/>
      <c r="TNL528" s="901"/>
      <c r="TNM528" s="901"/>
      <c r="TNN528" s="901"/>
      <c r="TNO528" s="901"/>
      <c r="TNP528" s="901"/>
      <c r="TNQ528" s="901"/>
      <c r="TNR528" s="901"/>
      <c r="TNS528" s="901"/>
      <c r="TNT528" s="901"/>
      <c r="TNU528" s="901"/>
      <c r="TNV528" s="901"/>
      <c r="TNW528" s="901"/>
      <c r="TNX528" s="901"/>
      <c r="TNY528" s="901"/>
      <c r="TNZ528" s="901"/>
      <c r="TOA528" s="901"/>
      <c r="TOB528" s="901"/>
      <c r="TOC528" s="901"/>
      <c r="TOD528" s="901"/>
      <c r="TOE528" s="901"/>
      <c r="TOF528" s="901"/>
      <c r="TOG528" s="901"/>
      <c r="TOH528" s="901"/>
      <c r="TOI528" s="901"/>
      <c r="TOJ528" s="901"/>
      <c r="TOK528" s="901"/>
      <c r="TOL528" s="901"/>
      <c r="TOM528" s="901"/>
      <c r="TON528" s="901"/>
      <c r="TOO528" s="901"/>
      <c r="TOP528" s="901"/>
      <c r="TOQ528" s="901"/>
      <c r="TOR528" s="901"/>
      <c r="TOS528" s="901"/>
      <c r="TOT528" s="901"/>
      <c r="TOU528" s="901"/>
      <c r="TOV528" s="901"/>
      <c r="TOW528" s="901"/>
      <c r="TOX528" s="901"/>
      <c r="TOY528" s="901"/>
      <c r="TOZ528" s="901"/>
      <c r="TPA528" s="901"/>
      <c r="TPB528" s="901"/>
      <c r="TPC528" s="901"/>
      <c r="TPD528" s="901"/>
      <c r="TPE528" s="901"/>
      <c r="TPF528" s="901"/>
      <c r="TPG528" s="901"/>
      <c r="TPH528" s="901"/>
      <c r="TPI528" s="901"/>
      <c r="TPJ528" s="901"/>
      <c r="TPK528" s="901"/>
      <c r="TPL528" s="901"/>
      <c r="TPM528" s="901"/>
      <c r="TPN528" s="901"/>
      <c r="TPO528" s="901"/>
      <c r="TPP528" s="901"/>
      <c r="TPQ528" s="901"/>
      <c r="TPR528" s="901"/>
      <c r="TPS528" s="901"/>
      <c r="TPT528" s="901"/>
      <c r="TPU528" s="901"/>
      <c r="TPV528" s="901"/>
      <c r="TPW528" s="901"/>
      <c r="TPX528" s="901"/>
      <c r="TPY528" s="901"/>
      <c r="TPZ528" s="901"/>
      <c r="TQA528" s="901"/>
      <c r="TQB528" s="901"/>
      <c r="TQC528" s="901"/>
      <c r="TQD528" s="901"/>
      <c r="TQE528" s="901"/>
      <c r="TQF528" s="901"/>
      <c r="TQG528" s="901"/>
      <c r="TQH528" s="901"/>
      <c r="TQI528" s="901"/>
      <c r="TQJ528" s="901"/>
      <c r="TQK528" s="901"/>
      <c r="TQL528" s="901"/>
      <c r="TQM528" s="901"/>
      <c r="TQN528" s="901"/>
      <c r="TQO528" s="901"/>
      <c r="TQP528" s="901"/>
      <c r="TQQ528" s="901"/>
      <c r="TQR528" s="901"/>
      <c r="TQS528" s="901"/>
      <c r="TQT528" s="901"/>
      <c r="TQU528" s="901"/>
      <c r="TQV528" s="901"/>
      <c r="TQW528" s="901"/>
      <c r="TQX528" s="901"/>
      <c r="TQY528" s="901"/>
      <c r="TQZ528" s="901"/>
      <c r="TRA528" s="901"/>
      <c r="TRB528" s="901"/>
      <c r="TRC528" s="901"/>
      <c r="TRD528" s="901"/>
      <c r="TRE528" s="901"/>
      <c r="TRF528" s="901"/>
      <c r="TRG528" s="901"/>
      <c r="TRH528" s="901"/>
      <c r="TRI528" s="901"/>
      <c r="TRJ528" s="901"/>
      <c r="TRK528" s="901"/>
      <c r="TRL528" s="901"/>
      <c r="TRM528" s="901"/>
      <c r="TRN528" s="901"/>
      <c r="TRO528" s="901"/>
      <c r="TRP528" s="901"/>
      <c r="TRQ528" s="901"/>
      <c r="TRR528" s="901"/>
      <c r="TRS528" s="901"/>
      <c r="TRT528" s="901"/>
      <c r="TRU528" s="901"/>
      <c r="TRV528" s="901"/>
      <c r="TRW528" s="901"/>
      <c r="TRX528" s="901"/>
      <c r="TRY528" s="901"/>
      <c r="TRZ528" s="901"/>
      <c r="TSA528" s="901"/>
      <c r="TSB528" s="901"/>
      <c r="TSC528" s="901"/>
      <c r="TSD528" s="901"/>
      <c r="TSE528" s="901"/>
      <c r="TSF528" s="901"/>
      <c r="TSG528" s="901"/>
      <c r="TSH528" s="901"/>
      <c r="TSI528" s="901"/>
      <c r="TSJ528" s="901"/>
      <c r="TSK528" s="901"/>
      <c r="TSL528" s="901"/>
      <c r="TSM528" s="901"/>
      <c r="TSN528" s="901"/>
      <c r="TSO528" s="901"/>
      <c r="TSP528" s="901"/>
      <c r="TSQ528" s="901"/>
      <c r="TSR528" s="901"/>
      <c r="TSS528" s="901"/>
      <c r="TST528" s="901"/>
      <c r="TSU528" s="901"/>
      <c r="TSV528" s="901"/>
      <c r="TSW528" s="901"/>
      <c r="TSX528" s="901"/>
      <c r="TSY528" s="901"/>
      <c r="TSZ528" s="901"/>
      <c r="TTA528" s="901"/>
      <c r="TTB528" s="901"/>
      <c r="TTC528" s="901"/>
      <c r="TTD528" s="901"/>
      <c r="TTE528" s="901"/>
      <c r="TTF528" s="901"/>
      <c r="TTG528" s="901"/>
      <c r="TTH528" s="901"/>
      <c r="TTI528" s="901"/>
      <c r="TTJ528" s="901"/>
      <c r="TTK528" s="901"/>
      <c r="TTL528" s="901"/>
      <c r="TTM528" s="901"/>
      <c r="TTN528" s="901"/>
      <c r="TTO528" s="901"/>
      <c r="TTP528" s="901"/>
      <c r="TTQ528" s="901"/>
      <c r="TTR528" s="901"/>
      <c r="TTS528" s="901"/>
      <c r="TTT528" s="901"/>
      <c r="TTU528" s="901"/>
      <c r="TTV528" s="901"/>
      <c r="TTW528" s="901"/>
      <c r="TTX528" s="901"/>
      <c r="TTY528" s="901"/>
      <c r="TTZ528" s="901"/>
      <c r="TUA528" s="901"/>
      <c r="TUB528" s="901"/>
      <c r="TUC528" s="901"/>
      <c r="TUD528" s="901"/>
      <c r="TUE528" s="901"/>
      <c r="TUF528" s="901"/>
      <c r="TUG528" s="901"/>
      <c r="TUH528" s="901"/>
      <c r="TUI528" s="901"/>
      <c r="TUJ528" s="901"/>
      <c r="TUK528" s="901"/>
      <c r="TUL528" s="901"/>
      <c r="TUM528" s="901"/>
      <c r="TUN528" s="901"/>
      <c r="TUO528" s="901"/>
      <c r="TUP528" s="901"/>
      <c r="TUQ528" s="901"/>
      <c r="TUR528" s="901"/>
      <c r="TUS528" s="901"/>
      <c r="TUT528" s="901"/>
      <c r="TUU528" s="901"/>
      <c r="TUV528" s="901"/>
      <c r="TUW528" s="901"/>
      <c r="TUX528" s="901"/>
      <c r="TUY528" s="901"/>
      <c r="TUZ528" s="901"/>
      <c r="TVA528" s="901"/>
      <c r="TVB528" s="901"/>
      <c r="TVC528" s="901"/>
      <c r="TVD528" s="901"/>
      <c r="TVE528" s="901"/>
      <c r="TVF528" s="901"/>
      <c r="TVG528" s="901"/>
      <c r="TVH528" s="901"/>
      <c r="TVI528" s="901"/>
      <c r="TVJ528" s="901"/>
      <c r="TVK528" s="901"/>
      <c r="TVL528" s="901"/>
      <c r="TVM528" s="901"/>
      <c r="TVN528" s="901"/>
      <c r="TVO528" s="901"/>
      <c r="TVP528" s="901"/>
      <c r="TVQ528" s="901"/>
      <c r="TVR528" s="901"/>
      <c r="TVS528" s="901"/>
      <c r="TVT528" s="901"/>
      <c r="TVU528" s="901"/>
      <c r="TVV528" s="901"/>
      <c r="TVW528" s="901"/>
      <c r="TVX528" s="901"/>
      <c r="TVY528" s="901"/>
      <c r="TVZ528" s="901"/>
      <c r="TWA528" s="901"/>
      <c r="TWB528" s="901"/>
      <c r="TWC528" s="901"/>
      <c r="TWD528" s="901"/>
      <c r="TWE528" s="901"/>
      <c r="TWF528" s="901"/>
      <c r="TWG528" s="901"/>
      <c r="TWH528" s="901"/>
      <c r="TWI528" s="901"/>
      <c r="TWJ528" s="901"/>
      <c r="TWK528" s="901"/>
      <c r="TWL528" s="901"/>
      <c r="TWM528" s="901"/>
      <c r="TWN528" s="901"/>
      <c r="TWO528" s="901"/>
      <c r="TWP528" s="901"/>
      <c r="TWQ528" s="901"/>
      <c r="TWR528" s="901"/>
      <c r="TWS528" s="901"/>
      <c r="TWT528" s="901"/>
      <c r="TWU528" s="901"/>
      <c r="TWV528" s="901"/>
      <c r="TWW528" s="901"/>
      <c r="TWX528" s="901"/>
      <c r="TWY528" s="901"/>
      <c r="TWZ528" s="901"/>
      <c r="TXA528" s="901"/>
      <c r="TXB528" s="901"/>
      <c r="TXC528" s="901"/>
      <c r="TXD528" s="901"/>
      <c r="TXE528" s="901"/>
      <c r="TXF528" s="901"/>
      <c r="TXG528" s="901"/>
      <c r="TXH528" s="901"/>
      <c r="TXI528" s="901"/>
      <c r="TXJ528" s="901"/>
      <c r="TXK528" s="901"/>
      <c r="TXL528" s="901"/>
      <c r="TXM528" s="901"/>
      <c r="TXN528" s="901"/>
      <c r="TXO528" s="901"/>
      <c r="TXP528" s="901"/>
      <c r="TXQ528" s="901"/>
      <c r="TXR528" s="901"/>
      <c r="TXS528" s="901"/>
      <c r="TXT528" s="901"/>
      <c r="TXU528" s="901"/>
      <c r="TXV528" s="901"/>
      <c r="TXW528" s="901"/>
      <c r="TXX528" s="901"/>
      <c r="TXY528" s="901"/>
      <c r="TXZ528" s="901"/>
      <c r="TYA528" s="901"/>
      <c r="TYB528" s="901"/>
      <c r="TYC528" s="901"/>
      <c r="TYD528" s="901"/>
      <c r="TYE528" s="901"/>
      <c r="TYF528" s="901"/>
      <c r="TYG528" s="901"/>
      <c r="TYH528" s="901"/>
      <c r="TYI528" s="901"/>
      <c r="TYJ528" s="901"/>
      <c r="TYK528" s="901"/>
      <c r="TYL528" s="901"/>
      <c r="TYM528" s="901"/>
      <c r="TYN528" s="901"/>
      <c r="TYO528" s="901"/>
      <c r="TYP528" s="901"/>
      <c r="TYQ528" s="901"/>
      <c r="TYR528" s="901"/>
      <c r="TYS528" s="901"/>
      <c r="TYT528" s="901"/>
      <c r="TYU528" s="901"/>
      <c r="TYV528" s="901"/>
      <c r="TYW528" s="901"/>
      <c r="TYX528" s="901"/>
      <c r="TYY528" s="901"/>
      <c r="TYZ528" s="901"/>
      <c r="TZA528" s="901"/>
      <c r="TZB528" s="901"/>
      <c r="TZC528" s="901"/>
      <c r="TZD528" s="901"/>
      <c r="TZE528" s="901"/>
      <c r="TZF528" s="901"/>
      <c r="TZG528" s="901"/>
      <c r="TZH528" s="901"/>
      <c r="TZI528" s="901"/>
      <c r="TZJ528" s="901"/>
      <c r="TZK528" s="901"/>
      <c r="TZL528" s="901"/>
      <c r="TZM528" s="901"/>
      <c r="TZN528" s="901"/>
      <c r="TZO528" s="901"/>
      <c r="TZP528" s="901"/>
      <c r="TZQ528" s="901"/>
      <c r="TZR528" s="901"/>
      <c r="TZS528" s="901"/>
      <c r="TZT528" s="901"/>
      <c r="TZU528" s="901"/>
      <c r="TZV528" s="901"/>
      <c r="TZW528" s="901"/>
      <c r="TZX528" s="901"/>
      <c r="TZY528" s="901"/>
      <c r="TZZ528" s="901"/>
      <c r="UAA528" s="901"/>
      <c r="UAB528" s="901"/>
      <c r="UAC528" s="901"/>
      <c r="UAD528" s="901"/>
      <c r="UAE528" s="901"/>
      <c r="UAF528" s="901"/>
      <c r="UAG528" s="901"/>
      <c r="UAH528" s="901"/>
      <c r="UAI528" s="901"/>
      <c r="UAJ528" s="901"/>
      <c r="UAK528" s="901"/>
      <c r="UAL528" s="901"/>
      <c r="UAM528" s="901"/>
      <c r="UAN528" s="901"/>
      <c r="UAO528" s="901"/>
      <c r="UAP528" s="901"/>
      <c r="UAQ528" s="901"/>
      <c r="UAR528" s="901"/>
      <c r="UAS528" s="901"/>
      <c r="UAT528" s="901"/>
      <c r="UAU528" s="901"/>
      <c r="UAV528" s="901"/>
      <c r="UAW528" s="901"/>
      <c r="UAX528" s="901"/>
      <c r="UAY528" s="901"/>
      <c r="UAZ528" s="901"/>
      <c r="UBA528" s="901"/>
      <c r="UBB528" s="901"/>
      <c r="UBC528" s="901"/>
      <c r="UBD528" s="901"/>
      <c r="UBE528" s="901"/>
      <c r="UBF528" s="901"/>
      <c r="UBG528" s="901"/>
      <c r="UBH528" s="901"/>
      <c r="UBI528" s="901"/>
      <c r="UBJ528" s="901"/>
      <c r="UBK528" s="901"/>
      <c r="UBL528" s="901"/>
      <c r="UBM528" s="901"/>
      <c r="UBN528" s="901"/>
      <c r="UBO528" s="901"/>
      <c r="UBP528" s="901"/>
      <c r="UBQ528" s="901"/>
      <c r="UBR528" s="901"/>
      <c r="UBS528" s="901"/>
      <c r="UBT528" s="901"/>
      <c r="UBU528" s="901"/>
      <c r="UBV528" s="901"/>
      <c r="UBW528" s="901"/>
      <c r="UBX528" s="901"/>
      <c r="UBY528" s="901"/>
      <c r="UBZ528" s="901"/>
      <c r="UCA528" s="901"/>
      <c r="UCB528" s="901"/>
      <c r="UCC528" s="901"/>
      <c r="UCD528" s="901"/>
      <c r="UCE528" s="901"/>
      <c r="UCF528" s="901"/>
      <c r="UCG528" s="901"/>
      <c r="UCH528" s="901"/>
      <c r="UCI528" s="901"/>
      <c r="UCJ528" s="901"/>
      <c r="UCK528" s="901"/>
      <c r="UCL528" s="901"/>
      <c r="UCM528" s="901"/>
      <c r="UCN528" s="901"/>
      <c r="UCO528" s="901"/>
      <c r="UCP528" s="901"/>
      <c r="UCQ528" s="901"/>
      <c r="UCR528" s="901"/>
      <c r="UCS528" s="901"/>
      <c r="UCT528" s="901"/>
      <c r="UCU528" s="901"/>
      <c r="UCV528" s="901"/>
      <c r="UCW528" s="901"/>
      <c r="UCX528" s="901"/>
      <c r="UCY528" s="901"/>
      <c r="UCZ528" s="901"/>
      <c r="UDA528" s="901"/>
      <c r="UDB528" s="901"/>
      <c r="UDC528" s="901"/>
      <c r="UDD528" s="901"/>
      <c r="UDE528" s="901"/>
      <c r="UDF528" s="901"/>
      <c r="UDG528" s="901"/>
      <c r="UDH528" s="901"/>
      <c r="UDI528" s="901"/>
      <c r="UDJ528" s="901"/>
      <c r="UDK528" s="901"/>
      <c r="UDL528" s="901"/>
      <c r="UDM528" s="901"/>
      <c r="UDN528" s="901"/>
      <c r="UDO528" s="901"/>
      <c r="UDP528" s="901"/>
      <c r="UDQ528" s="901"/>
      <c r="UDR528" s="901"/>
      <c r="UDS528" s="901"/>
      <c r="UDT528" s="901"/>
      <c r="UDU528" s="901"/>
      <c r="UDV528" s="901"/>
      <c r="UDW528" s="901"/>
      <c r="UDX528" s="901"/>
      <c r="UDY528" s="901"/>
      <c r="UDZ528" s="901"/>
      <c r="UEA528" s="901"/>
      <c r="UEB528" s="901"/>
      <c r="UEC528" s="901"/>
      <c r="UED528" s="901"/>
      <c r="UEE528" s="901"/>
      <c r="UEF528" s="901"/>
      <c r="UEG528" s="901"/>
      <c r="UEH528" s="901"/>
      <c r="UEI528" s="901"/>
      <c r="UEJ528" s="901"/>
      <c r="UEK528" s="901"/>
      <c r="UEL528" s="901"/>
      <c r="UEM528" s="901"/>
      <c r="UEN528" s="901"/>
      <c r="UEO528" s="901"/>
      <c r="UEP528" s="901"/>
      <c r="UEQ528" s="901"/>
      <c r="UER528" s="901"/>
      <c r="UES528" s="901"/>
      <c r="UET528" s="901"/>
      <c r="UEU528" s="901"/>
      <c r="UEV528" s="901"/>
      <c r="UEW528" s="901"/>
      <c r="UEX528" s="901"/>
      <c r="UEY528" s="901"/>
      <c r="UEZ528" s="901"/>
      <c r="UFA528" s="901"/>
      <c r="UFB528" s="901"/>
      <c r="UFC528" s="901"/>
      <c r="UFD528" s="901"/>
      <c r="UFE528" s="901"/>
      <c r="UFF528" s="901"/>
      <c r="UFG528" s="901"/>
      <c r="UFH528" s="901"/>
      <c r="UFI528" s="901"/>
      <c r="UFJ528" s="901"/>
      <c r="UFK528" s="901"/>
      <c r="UFL528" s="901"/>
      <c r="UFM528" s="901"/>
      <c r="UFN528" s="901"/>
      <c r="UFO528" s="901"/>
      <c r="UFP528" s="901"/>
      <c r="UFQ528" s="901"/>
      <c r="UFR528" s="901"/>
      <c r="UFS528" s="901"/>
      <c r="UFT528" s="901"/>
      <c r="UFU528" s="901"/>
      <c r="UFV528" s="901"/>
      <c r="UFW528" s="901"/>
      <c r="UFX528" s="901"/>
      <c r="UFY528" s="901"/>
      <c r="UFZ528" s="901"/>
      <c r="UGA528" s="901"/>
      <c r="UGB528" s="901"/>
      <c r="UGC528" s="901"/>
      <c r="UGD528" s="901"/>
      <c r="UGE528" s="901"/>
      <c r="UGF528" s="901"/>
      <c r="UGG528" s="901"/>
      <c r="UGH528" s="901"/>
      <c r="UGI528" s="901"/>
      <c r="UGJ528" s="901"/>
      <c r="UGK528" s="901"/>
      <c r="UGL528" s="901"/>
      <c r="UGM528" s="901"/>
      <c r="UGN528" s="901"/>
      <c r="UGO528" s="901"/>
      <c r="UGP528" s="901"/>
      <c r="UGQ528" s="901"/>
      <c r="UGR528" s="901"/>
      <c r="UGS528" s="901"/>
      <c r="UGT528" s="901"/>
      <c r="UGU528" s="901"/>
      <c r="UGV528" s="901"/>
      <c r="UGW528" s="901"/>
      <c r="UGX528" s="901"/>
      <c r="UGY528" s="901"/>
      <c r="UGZ528" s="901"/>
      <c r="UHA528" s="901"/>
      <c r="UHB528" s="901"/>
      <c r="UHC528" s="901"/>
      <c r="UHD528" s="901"/>
      <c r="UHE528" s="901"/>
      <c r="UHF528" s="901"/>
      <c r="UHG528" s="901"/>
      <c r="UHH528" s="901"/>
      <c r="UHI528" s="901"/>
      <c r="UHJ528" s="901"/>
      <c r="UHK528" s="901"/>
      <c r="UHL528" s="901"/>
      <c r="UHM528" s="901"/>
      <c r="UHN528" s="901"/>
      <c r="UHO528" s="901"/>
      <c r="UHP528" s="901"/>
      <c r="UHQ528" s="901"/>
      <c r="UHR528" s="901"/>
      <c r="UHS528" s="901"/>
      <c r="UHT528" s="901"/>
      <c r="UHU528" s="901"/>
      <c r="UHV528" s="901"/>
      <c r="UHW528" s="901"/>
      <c r="UHX528" s="901"/>
      <c r="UHY528" s="901"/>
      <c r="UHZ528" s="901"/>
      <c r="UIA528" s="901"/>
      <c r="UIB528" s="901"/>
      <c r="UIC528" s="901"/>
      <c r="UID528" s="901"/>
      <c r="UIE528" s="901"/>
      <c r="UIF528" s="901"/>
      <c r="UIG528" s="901"/>
      <c r="UIH528" s="901"/>
      <c r="UII528" s="901"/>
      <c r="UIJ528" s="901"/>
      <c r="UIK528" s="901"/>
      <c r="UIL528" s="901"/>
      <c r="UIM528" s="901"/>
      <c r="UIN528" s="901"/>
      <c r="UIO528" s="901"/>
      <c r="UIP528" s="901"/>
      <c r="UIQ528" s="901"/>
      <c r="UIR528" s="901"/>
      <c r="UIS528" s="901"/>
      <c r="UIT528" s="901"/>
      <c r="UIU528" s="901"/>
      <c r="UIV528" s="901"/>
      <c r="UIW528" s="901"/>
      <c r="UIX528" s="901"/>
      <c r="UIY528" s="901"/>
      <c r="UIZ528" s="901"/>
      <c r="UJA528" s="901"/>
      <c r="UJB528" s="901"/>
      <c r="UJC528" s="901"/>
      <c r="UJD528" s="901"/>
      <c r="UJE528" s="901"/>
      <c r="UJF528" s="901"/>
      <c r="UJG528" s="901"/>
      <c r="UJH528" s="901"/>
      <c r="UJI528" s="901"/>
      <c r="UJJ528" s="901"/>
      <c r="UJK528" s="901"/>
      <c r="UJL528" s="901"/>
      <c r="UJM528" s="901"/>
      <c r="UJN528" s="901"/>
      <c r="UJO528" s="901"/>
      <c r="UJP528" s="901"/>
      <c r="UJQ528" s="901"/>
      <c r="UJR528" s="901"/>
      <c r="UJS528" s="901"/>
      <c r="UJT528" s="901"/>
      <c r="UJU528" s="901"/>
      <c r="UJV528" s="901"/>
      <c r="UJW528" s="901"/>
      <c r="UJX528" s="901"/>
      <c r="UJY528" s="901"/>
      <c r="UJZ528" s="901"/>
      <c r="UKA528" s="901"/>
      <c r="UKB528" s="901"/>
      <c r="UKC528" s="901"/>
      <c r="UKD528" s="901"/>
      <c r="UKE528" s="901"/>
      <c r="UKF528" s="901"/>
      <c r="UKG528" s="901"/>
      <c r="UKH528" s="901"/>
      <c r="UKI528" s="901"/>
      <c r="UKJ528" s="901"/>
      <c r="UKK528" s="901"/>
      <c r="UKL528" s="901"/>
      <c r="UKM528" s="901"/>
      <c r="UKN528" s="901"/>
      <c r="UKO528" s="901"/>
      <c r="UKP528" s="901"/>
      <c r="UKQ528" s="901"/>
      <c r="UKR528" s="901"/>
      <c r="UKS528" s="901"/>
      <c r="UKT528" s="901"/>
      <c r="UKU528" s="901"/>
      <c r="UKV528" s="901"/>
      <c r="UKW528" s="901"/>
      <c r="UKX528" s="901"/>
      <c r="UKY528" s="901"/>
      <c r="UKZ528" s="901"/>
      <c r="ULA528" s="901"/>
      <c r="ULB528" s="901"/>
      <c r="ULC528" s="901"/>
      <c r="ULD528" s="901"/>
      <c r="ULE528" s="901"/>
      <c r="ULF528" s="901"/>
      <c r="ULG528" s="901"/>
      <c r="ULH528" s="901"/>
      <c r="ULI528" s="901"/>
      <c r="ULJ528" s="901"/>
      <c r="ULK528" s="901"/>
      <c r="ULL528" s="901"/>
      <c r="ULM528" s="901"/>
      <c r="ULN528" s="901"/>
      <c r="ULO528" s="901"/>
      <c r="ULP528" s="901"/>
      <c r="ULQ528" s="901"/>
      <c r="ULR528" s="901"/>
      <c r="ULS528" s="901"/>
      <c r="ULT528" s="901"/>
      <c r="ULU528" s="901"/>
      <c r="ULV528" s="901"/>
      <c r="ULW528" s="901"/>
      <c r="ULX528" s="901"/>
      <c r="ULY528" s="901"/>
      <c r="ULZ528" s="901"/>
      <c r="UMA528" s="901"/>
      <c r="UMB528" s="901"/>
      <c r="UMC528" s="901"/>
      <c r="UMD528" s="901"/>
      <c r="UME528" s="901"/>
      <c r="UMF528" s="901"/>
      <c r="UMG528" s="901"/>
      <c r="UMH528" s="901"/>
      <c r="UMI528" s="901"/>
      <c r="UMJ528" s="901"/>
      <c r="UMK528" s="901"/>
      <c r="UML528" s="901"/>
      <c r="UMM528" s="901"/>
      <c r="UMN528" s="901"/>
      <c r="UMO528" s="901"/>
      <c r="UMP528" s="901"/>
      <c r="UMQ528" s="901"/>
      <c r="UMR528" s="901"/>
      <c r="UMS528" s="901"/>
      <c r="UMT528" s="901"/>
      <c r="UMU528" s="901"/>
      <c r="UMV528" s="901"/>
      <c r="UMW528" s="901"/>
      <c r="UMX528" s="901"/>
      <c r="UMY528" s="901"/>
      <c r="UMZ528" s="901"/>
      <c r="UNA528" s="901"/>
      <c r="UNB528" s="901"/>
      <c r="UNC528" s="901"/>
      <c r="UND528" s="901"/>
      <c r="UNE528" s="901"/>
      <c r="UNF528" s="901"/>
      <c r="UNG528" s="901"/>
      <c r="UNH528" s="901"/>
      <c r="UNI528" s="901"/>
      <c r="UNJ528" s="901"/>
      <c r="UNK528" s="901"/>
      <c r="UNL528" s="901"/>
      <c r="UNM528" s="901"/>
      <c r="UNN528" s="901"/>
      <c r="UNO528" s="901"/>
      <c r="UNP528" s="901"/>
      <c r="UNQ528" s="901"/>
      <c r="UNR528" s="901"/>
      <c r="UNS528" s="901"/>
      <c r="UNT528" s="901"/>
      <c r="UNU528" s="901"/>
      <c r="UNV528" s="901"/>
      <c r="UNW528" s="901"/>
      <c r="UNX528" s="901"/>
      <c r="UNY528" s="901"/>
      <c r="UNZ528" s="901"/>
      <c r="UOA528" s="901"/>
      <c r="UOB528" s="901"/>
      <c r="UOC528" s="901"/>
      <c r="UOD528" s="901"/>
      <c r="UOE528" s="901"/>
      <c r="UOF528" s="901"/>
      <c r="UOG528" s="901"/>
      <c r="UOH528" s="901"/>
      <c r="UOI528" s="901"/>
      <c r="UOJ528" s="901"/>
      <c r="UOK528" s="901"/>
      <c r="UOL528" s="901"/>
      <c r="UOM528" s="901"/>
      <c r="UON528" s="901"/>
      <c r="UOO528" s="901"/>
      <c r="UOP528" s="901"/>
      <c r="UOQ528" s="901"/>
      <c r="UOR528" s="901"/>
      <c r="UOS528" s="901"/>
      <c r="UOT528" s="901"/>
      <c r="UOU528" s="901"/>
      <c r="UOV528" s="901"/>
      <c r="UOW528" s="901"/>
      <c r="UOX528" s="901"/>
      <c r="UOY528" s="901"/>
      <c r="UOZ528" s="901"/>
      <c r="UPA528" s="901"/>
      <c r="UPB528" s="901"/>
      <c r="UPC528" s="901"/>
      <c r="UPD528" s="901"/>
      <c r="UPE528" s="901"/>
      <c r="UPF528" s="901"/>
      <c r="UPG528" s="901"/>
      <c r="UPH528" s="901"/>
      <c r="UPI528" s="901"/>
      <c r="UPJ528" s="901"/>
      <c r="UPK528" s="901"/>
      <c r="UPL528" s="901"/>
      <c r="UPM528" s="901"/>
      <c r="UPN528" s="901"/>
      <c r="UPO528" s="901"/>
      <c r="UPP528" s="901"/>
      <c r="UPQ528" s="901"/>
      <c r="UPR528" s="901"/>
      <c r="UPS528" s="901"/>
      <c r="UPT528" s="901"/>
      <c r="UPU528" s="901"/>
      <c r="UPV528" s="901"/>
      <c r="UPW528" s="901"/>
      <c r="UPX528" s="901"/>
      <c r="UPY528" s="901"/>
      <c r="UPZ528" s="901"/>
      <c r="UQA528" s="901"/>
      <c r="UQB528" s="901"/>
      <c r="UQC528" s="901"/>
      <c r="UQD528" s="901"/>
      <c r="UQE528" s="901"/>
      <c r="UQF528" s="901"/>
      <c r="UQG528" s="901"/>
      <c r="UQH528" s="901"/>
      <c r="UQI528" s="901"/>
      <c r="UQJ528" s="901"/>
      <c r="UQK528" s="901"/>
      <c r="UQL528" s="901"/>
      <c r="UQM528" s="901"/>
      <c r="UQN528" s="901"/>
      <c r="UQO528" s="901"/>
      <c r="UQP528" s="901"/>
      <c r="UQQ528" s="901"/>
      <c r="UQR528" s="901"/>
      <c r="UQS528" s="901"/>
      <c r="UQT528" s="901"/>
      <c r="UQU528" s="901"/>
      <c r="UQV528" s="901"/>
      <c r="UQW528" s="901"/>
      <c r="UQX528" s="901"/>
      <c r="UQY528" s="901"/>
      <c r="UQZ528" s="901"/>
      <c r="URA528" s="901"/>
      <c r="URB528" s="901"/>
      <c r="URC528" s="901"/>
      <c r="URD528" s="901"/>
      <c r="URE528" s="901"/>
      <c r="URF528" s="901"/>
      <c r="URG528" s="901"/>
      <c r="URH528" s="901"/>
      <c r="URI528" s="901"/>
      <c r="URJ528" s="901"/>
      <c r="URK528" s="901"/>
      <c r="URL528" s="901"/>
      <c r="URM528" s="901"/>
      <c r="URN528" s="901"/>
      <c r="URO528" s="901"/>
      <c r="URP528" s="901"/>
      <c r="URQ528" s="901"/>
      <c r="URR528" s="901"/>
      <c r="URS528" s="901"/>
      <c r="URT528" s="901"/>
      <c r="URU528" s="901"/>
      <c r="URV528" s="901"/>
      <c r="URW528" s="901"/>
      <c r="URX528" s="901"/>
      <c r="URY528" s="901"/>
      <c r="URZ528" s="901"/>
      <c r="USA528" s="901"/>
      <c r="USB528" s="901"/>
      <c r="USC528" s="901"/>
      <c r="USD528" s="901"/>
      <c r="USE528" s="901"/>
      <c r="USF528" s="901"/>
      <c r="USG528" s="901"/>
      <c r="USH528" s="901"/>
      <c r="USI528" s="901"/>
      <c r="USJ528" s="901"/>
      <c r="USK528" s="901"/>
      <c r="USL528" s="901"/>
      <c r="USM528" s="901"/>
      <c r="USN528" s="901"/>
      <c r="USO528" s="901"/>
      <c r="USP528" s="901"/>
      <c r="USQ528" s="901"/>
      <c r="USR528" s="901"/>
      <c r="USS528" s="901"/>
      <c r="UST528" s="901"/>
      <c r="USU528" s="901"/>
      <c r="USV528" s="901"/>
      <c r="USW528" s="901"/>
      <c r="USX528" s="901"/>
      <c r="USY528" s="901"/>
      <c r="USZ528" s="901"/>
      <c r="UTA528" s="901"/>
      <c r="UTB528" s="901"/>
      <c r="UTC528" s="901"/>
      <c r="UTD528" s="901"/>
      <c r="UTE528" s="901"/>
      <c r="UTF528" s="901"/>
      <c r="UTG528" s="901"/>
      <c r="UTH528" s="901"/>
      <c r="UTI528" s="901"/>
      <c r="UTJ528" s="901"/>
      <c r="UTK528" s="901"/>
      <c r="UTL528" s="901"/>
      <c r="UTM528" s="901"/>
      <c r="UTN528" s="901"/>
      <c r="UTO528" s="901"/>
      <c r="UTP528" s="901"/>
      <c r="UTQ528" s="901"/>
      <c r="UTR528" s="901"/>
      <c r="UTS528" s="901"/>
      <c r="UTT528" s="901"/>
      <c r="UTU528" s="901"/>
      <c r="UTV528" s="901"/>
      <c r="UTW528" s="901"/>
      <c r="UTX528" s="901"/>
      <c r="UTY528" s="901"/>
      <c r="UTZ528" s="901"/>
      <c r="UUA528" s="901"/>
      <c r="UUB528" s="901"/>
      <c r="UUC528" s="901"/>
      <c r="UUD528" s="901"/>
      <c r="UUE528" s="901"/>
      <c r="UUF528" s="901"/>
      <c r="UUG528" s="901"/>
      <c r="UUH528" s="901"/>
      <c r="UUI528" s="901"/>
      <c r="UUJ528" s="901"/>
      <c r="UUK528" s="901"/>
      <c r="UUL528" s="901"/>
      <c r="UUM528" s="901"/>
      <c r="UUN528" s="901"/>
      <c r="UUO528" s="901"/>
      <c r="UUP528" s="901"/>
      <c r="UUQ528" s="901"/>
      <c r="UUR528" s="901"/>
      <c r="UUS528" s="901"/>
      <c r="UUT528" s="901"/>
      <c r="UUU528" s="901"/>
      <c r="UUV528" s="901"/>
      <c r="UUW528" s="901"/>
      <c r="UUX528" s="901"/>
      <c r="UUY528" s="901"/>
      <c r="UUZ528" s="901"/>
      <c r="UVA528" s="901"/>
      <c r="UVB528" s="901"/>
      <c r="UVC528" s="901"/>
      <c r="UVD528" s="901"/>
      <c r="UVE528" s="901"/>
      <c r="UVF528" s="901"/>
      <c r="UVG528" s="901"/>
      <c r="UVH528" s="901"/>
      <c r="UVI528" s="901"/>
      <c r="UVJ528" s="901"/>
      <c r="UVK528" s="901"/>
      <c r="UVL528" s="901"/>
      <c r="UVM528" s="901"/>
      <c r="UVN528" s="901"/>
      <c r="UVO528" s="901"/>
      <c r="UVP528" s="901"/>
      <c r="UVQ528" s="901"/>
      <c r="UVR528" s="901"/>
      <c r="UVS528" s="901"/>
      <c r="UVT528" s="901"/>
      <c r="UVU528" s="901"/>
      <c r="UVV528" s="901"/>
      <c r="UVW528" s="901"/>
      <c r="UVX528" s="901"/>
      <c r="UVY528" s="901"/>
      <c r="UVZ528" s="901"/>
      <c r="UWA528" s="901"/>
      <c r="UWB528" s="901"/>
      <c r="UWC528" s="901"/>
      <c r="UWD528" s="901"/>
      <c r="UWE528" s="901"/>
      <c r="UWF528" s="901"/>
      <c r="UWG528" s="901"/>
      <c r="UWH528" s="901"/>
      <c r="UWI528" s="901"/>
      <c r="UWJ528" s="901"/>
      <c r="UWK528" s="901"/>
      <c r="UWL528" s="901"/>
      <c r="UWM528" s="901"/>
      <c r="UWN528" s="901"/>
      <c r="UWO528" s="901"/>
      <c r="UWP528" s="901"/>
      <c r="UWQ528" s="901"/>
      <c r="UWR528" s="901"/>
      <c r="UWS528" s="901"/>
      <c r="UWT528" s="901"/>
      <c r="UWU528" s="901"/>
      <c r="UWV528" s="901"/>
      <c r="UWW528" s="901"/>
      <c r="UWX528" s="901"/>
      <c r="UWY528" s="901"/>
      <c r="UWZ528" s="901"/>
      <c r="UXA528" s="901"/>
      <c r="UXB528" s="901"/>
      <c r="UXC528" s="901"/>
      <c r="UXD528" s="901"/>
      <c r="UXE528" s="901"/>
      <c r="UXF528" s="901"/>
      <c r="UXG528" s="901"/>
      <c r="UXH528" s="901"/>
      <c r="UXI528" s="901"/>
      <c r="UXJ528" s="901"/>
      <c r="UXK528" s="901"/>
      <c r="UXL528" s="901"/>
      <c r="UXM528" s="901"/>
      <c r="UXN528" s="901"/>
      <c r="UXO528" s="901"/>
      <c r="UXP528" s="901"/>
      <c r="UXQ528" s="901"/>
      <c r="UXR528" s="901"/>
      <c r="UXS528" s="901"/>
      <c r="UXT528" s="901"/>
      <c r="UXU528" s="901"/>
      <c r="UXV528" s="901"/>
      <c r="UXW528" s="901"/>
      <c r="UXX528" s="901"/>
      <c r="UXY528" s="901"/>
      <c r="UXZ528" s="901"/>
      <c r="UYA528" s="901"/>
      <c r="UYB528" s="901"/>
      <c r="UYC528" s="901"/>
      <c r="UYD528" s="901"/>
      <c r="UYE528" s="901"/>
      <c r="UYF528" s="901"/>
      <c r="UYG528" s="901"/>
      <c r="UYH528" s="901"/>
      <c r="UYI528" s="901"/>
      <c r="UYJ528" s="901"/>
      <c r="UYK528" s="901"/>
      <c r="UYL528" s="901"/>
      <c r="UYM528" s="901"/>
      <c r="UYN528" s="901"/>
      <c r="UYO528" s="901"/>
      <c r="UYP528" s="901"/>
      <c r="UYQ528" s="901"/>
      <c r="UYR528" s="901"/>
      <c r="UYS528" s="901"/>
      <c r="UYT528" s="901"/>
      <c r="UYU528" s="901"/>
      <c r="UYV528" s="901"/>
      <c r="UYW528" s="901"/>
      <c r="UYX528" s="901"/>
      <c r="UYY528" s="901"/>
      <c r="UYZ528" s="901"/>
      <c r="UZA528" s="901"/>
      <c r="UZB528" s="901"/>
      <c r="UZC528" s="901"/>
      <c r="UZD528" s="901"/>
      <c r="UZE528" s="901"/>
      <c r="UZF528" s="901"/>
      <c r="UZG528" s="901"/>
      <c r="UZH528" s="901"/>
      <c r="UZI528" s="901"/>
      <c r="UZJ528" s="901"/>
      <c r="UZK528" s="901"/>
      <c r="UZL528" s="901"/>
      <c r="UZM528" s="901"/>
      <c r="UZN528" s="901"/>
      <c r="UZO528" s="901"/>
      <c r="UZP528" s="901"/>
      <c r="UZQ528" s="901"/>
      <c r="UZR528" s="901"/>
      <c r="UZS528" s="901"/>
      <c r="UZT528" s="901"/>
      <c r="UZU528" s="901"/>
      <c r="UZV528" s="901"/>
      <c r="UZW528" s="901"/>
      <c r="UZX528" s="901"/>
      <c r="UZY528" s="901"/>
      <c r="UZZ528" s="901"/>
      <c r="VAA528" s="901"/>
      <c r="VAB528" s="901"/>
      <c r="VAC528" s="901"/>
      <c r="VAD528" s="901"/>
      <c r="VAE528" s="901"/>
      <c r="VAF528" s="901"/>
      <c r="VAG528" s="901"/>
      <c r="VAH528" s="901"/>
      <c r="VAI528" s="901"/>
      <c r="VAJ528" s="901"/>
      <c r="VAK528" s="901"/>
      <c r="VAL528" s="901"/>
      <c r="VAM528" s="901"/>
      <c r="VAN528" s="901"/>
      <c r="VAO528" s="901"/>
      <c r="VAP528" s="901"/>
      <c r="VAQ528" s="901"/>
      <c r="VAR528" s="901"/>
      <c r="VAS528" s="901"/>
      <c r="VAT528" s="901"/>
      <c r="VAU528" s="901"/>
      <c r="VAV528" s="901"/>
      <c r="VAW528" s="901"/>
      <c r="VAX528" s="901"/>
      <c r="VAY528" s="901"/>
      <c r="VAZ528" s="901"/>
      <c r="VBA528" s="901"/>
      <c r="VBB528" s="901"/>
      <c r="VBC528" s="901"/>
      <c r="VBD528" s="901"/>
      <c r="VBE528" s="901"/>
      <c r="VBF528" s="901"/>
      <c r="VBG528" s="901"/>
      <c r="VBH528" s="901"/>
      <c r="VBI528" s="901"/>
      <c r="VBJ528" s="901"/>
      <c r="VBK528" s="901"/>
      <c r="VBL528" s="901"/>
      <c r="VBM528" s="901"/>
      <c r="VBN528" s="901"/>
      <c r="VBO528" s="901"/>
      <c r="VBP528" s="901"/>
      <c r="VBQ528" s="901"/>
      <c r="VBR528" s="901"/>
      <c r="VBS528" s="901"/>
      <c r="VBT528" s="901"/>
      <c r="VBU528" s="901"/>
      <c r="VBV528" s="901"/>
      <c r="VBW528" s="901"/>
      <c r="VBX528" s="901"/>
      <c r="VBY528" s="901"/>
      <c r="VBZ528" s="901"/>
      <c r="VCA528" s="901"/>
      <c r="VCB528" s="901"/>
      <c r="VCC528" s="901"/>
      <c r="VCD528" s="901"/>
      <c r="VCE528" s="901"/>
      <c r="VCF528" s="901"/>
      <c r="VCG528" s="901"/>
      <c r="VCH528" s="901"/>
      <c r="VCI528" s="901"/>
      <c r="VCJ528" s="901"/>
      <c r="VCK528" s="901"/>
      <c r="VCL528" s="901"/>
      <c r="VCM528" s="901"/>
      <c r="VCN528" s="901"/>
      <c r="VCO528" s="901"/>
      <c r="VCP528" s="901"/>
      <c r="VCQ528" s="901"/>
      <c r="VCR528" s="901"/>
      <c r="VCS528" s="901"/>
      <c r="VCT528" s="901"/>
      <c r="VCU528" s="901"/>
      <c r="VCV528" s="901"/>
      <c r="VCW528" s="901"/>
      <c r="VCX528" s="901"/>
      <c r="VCY528" s="901"/>
      <c r="VCZ528" s="901"/>
      <c r="VDA528" s="901"/>
      <c r="VDB528" s="901"/>
      <c r="VDC528" s="901"/>
      <c r="VDD528" s="901"/>
      <c r="VDE528" s="901"/>
      <c r="VDF528" s="901"/>
      <c r="VDG528" s="901"/>
      <c r="VDH528" s="901"/>
      <c r="VDI528" s="901"/>
      <c r="VDJ528" s="901"/>
      <c r="VDK528" s="901"/>
      <c r="VDL528" s="901"/>
      <c r="VDM528" s="901"/>
      <c r="VDN528" s="901"/>
      <c r="VDO528" s="901"/>
      <c r="VDP528" s="901"/>
      <c r="VDQ528" s="901"/>
      <c r="VDR528" s="901"/>
      <c r="VDS528" s="901"/>
      <c r="VDT528" s="901"/>
      <c r="VDU528" s="901"/>
      <c r="VDV528" s="901"/>
      <c r="VDW528" s="901"/>
      <c r="VDX528" s="901"/>
      <c r="VDY528" s="901"/>
      <c r="VDZ528" s="901"/>
      <c r="VEA528" s="901"/>
      <c r="VEB528" s="901"/>
      <c r="VEC528" s="901"/>
      <c r="VED528" s="901"/>
      <c r="VEE528" s="901"/>
      <c r="VEF528" s="901"/>
      <c r="VEG528" s="901"/>
      <c r="VEH528" s="901"/>
      <c r="VEI528" s="901"/>
      <c r="VEJ528" s="901"/>
      <c r="VEK528" s="901"/>
      <c r="VEL528" s="901"/>
      <c r="VEM528" s="901"/>
      <c r="VEN528" s="901"/>
      <c r="VEO528" s="901"/>
      <c r="VEP528" s="901"/>
      <c r="VEQ528" s="901"/>
      <c r="VER528" s="901"/>
      <c r="VES528" s="901"/>
      <c r="VET528" s="901"/>
      <c r="VEU528" s="901"/>
      <c r="VEV528" s="901"/>
      <c r="VEW528" s="901"/>
      <c r="VEX528" s="901"/>
      <c r="VEY528" s="901"/>
      <c r="VEZ528" s="901"/>
      <c r="VFA528" s="901"/>
      <c r="VFB528" s="901"/>
      <c r="VFC528" s="901"/>
      <c r="VFD528" s="901"/>
      <c r="VFE528" s="901"/>
      <c r="VFF528" s="901"/>
      <c r="VFG528" s="901"/>
      <c r="VFH528" s="901"/>
      <c r="VFI528" s="901"/>
      <c r="VFJ528" s="901"/>
      <c r="VFK528" s="901"/>
      <c r="VFL528" s="901"/>
      <c r="VFM528" s="901"/>
      <c r="VFN528" s="901"/>
      <c r="VFO528" s="901"/>
      <c r="VFP528" s="901"/>
      <c r="VFQ528" s="901"/>
      <c r="VFR528" s="901"/>
      <c r="VFS528" s="901"/>
      <c r="VFT528" s="901"/>
      <c r="VFU528" s="901"/>
      <c r="VFV528" s="901"/>
      <c r="VFW528" s="901"/>
      <c r="VFX528" s="901"/>
      <c r="VFY528" s="901"/>
      <c r="VFZ528" s="901"/>
      <c r="VGA528" s="901"/>
      <c r="VGB528" s="901"/>
      <c r="VGC528" s="901"/>
      <c r="VGD528" s="901"/>
      <c r="VGE528" s="901"/>
      <c r="VGF528" s="901"/>
      <c r="VGG528" s="901"/>
      <c r="VGH528" s="901"/>
      <c r="VGI528" s="901"/>
      <c r="VGJ528" s="901"/>
      <c r="VGK528" s="901"/>
      <c r="VGL528" s="901"/>
      <c r="VGM528" s="901"/>
      <c r="VGN528" s="901"/>
      <c r="VGO528" s="901"/>
      <c r="VGP528" s="901"/>
      <c r="VGQ528" s="901"/>
      <c r="VGR528" s="901"/>
      <c r="VGS528" s="901"/>
      <c r="VGT528" s="901"/>
      <c r="VGU528" s="901"/>
      <c r="VGV528" s="901"/>
      <c r="VGW528" s="901"/>
      <c r="VGX528" s="901"/>
      <c r="VGY528" s="901"/>
      <c r="VGZ528" s="901"/>
      <c r="VHA528" s="901"/>
      <c r="VHB528" s="901"/>
      <c r="VHC528" s="901"/>
      <c r="VHD528" s="901"/>
      <c r="VHE528" s="901"/>
      <c r="VHF528" s="901"/>
      <c r="VHG528" s="901"/>
      <c r="VHH528" s="901"/>
      <c r="VHI528" s="901"/>
      <c r="VHJ528" s="901"/>
      <c r="VHK528" s="901"/>
      <c r="VHL528" s="901"/>
      <c r="VHM528" s="901"/>
      <c r="VHN528" s="901"/>
      <c r="VHO528" s="901"/>
      <c r="VHP528" s="901"/>
      <c r="VHQ528" s="901"/>
      <c r="VHR528" s="901"/>
      <c r="VHS528" s="901"/>
      <c r="VHT528" s="901"/>
      <c r="VHU528" s="901"/>
      <c r="VHV528" s="901"/>
      <c r="VHW528" s="901"/>
      <c r="VHX528" s="901"/>
      <c r="VHY528" s="901"/>
      <c r="VHZ528" s="901"/>
      <c r="VIA528" s="901"/>
      <c r="VIB528" s="901"/>
      <c r="VIC528" s="901"/>
      <c r="VID528" s="901"/>
      <c r="VIE528" s="901"/>
      <c r="VIF528" s="901"/>
      <c r="VIG528" s="901"/>
      <c r="VIH528" s="901"/>
      <c r="VII528" s="901"/>
      <c r="VIJ528" s="901"/>
      <c r="VIK528" s="901"/>
      <c r="VIL528" s="901"/>
      <c r="VIM528" s="901"/>
      <c r="VIN528" s="901"/>
      <c r="VIO528" s="901"/>
      <c r="VIP528" s="901"/>
      <c r="VIQ528" s="901"/>
      <c r="VIR528" s="901"/>
      <c r="VIS528" s="901"/>
      <c r="VIT528" s="901"/>
      <c r="VIU528" s="901"/>
      <c r="VIV528" s="901"/>
      <c r="VIW528" s="901"/>
      <c r="VIX528" s="901"/>
      <c r="VIY528" s="901"/>
      <c r="VIZ528" s="901"/>
      <c r="VJA528" s="901"/>
      <c r="VJB528" s="901"/>
      <c r="VJC528" s="901"/>
      <c r="VJD528" s="901"/>
      <c r="VJE528" s="901"/>
      <c r="VJF528" s="901"/>
      <c r="VJG528" s="901"/>
      <c r="VJH528" s="901"/>
      <c r="VJI528" s="901"/>
      <c r="VJJ528" s="901"/>
      <c r="VJK528" s="901"/>
      <c r="VJL528" s="901"/>
      <c r="VJM528" s="901"/>
      <c r="VJN528" s="901"/>
      <c r="VJO528" s="901"/>
      <c r="VJP528" s="901"/>
      <c r="VJQ528" s="901"/>
      <c r="VJR528" s="901"/>
      <c r="VJS528" s="901"/>
      <c r="VJT528" s="901"/>
      <c r="VJU528" s="901"/>
      <c r="VJV528" s="901"/>
      <c r="VJW528" s="901"/>
      <c r="VJX528" s="901"/>
      <c r="VJY528" s="901"/>
      <c r="VJZ528" s="901"/>
      <c r="VKA528" s="901"/>
      <c r="VKB528" s="901"/>
      <c r="VKC528" s="901"/>
      <c r="VKD528" s="901"/>
      <c r="VKE528" s="901"/>
      <c r="VKF528" s="901"/>
      <c r="VKG528" s="901"/>
      <c r="VKH528" s="901"/>
      <c r="VKI528" s="901"/>
      <c r="VKJ528" s="901"/>
      <c r="VKK528" s="901"/>
      <c r="VKL528" s="901"/>
      <c r="VKM528" s="901"/>
      <c r="VKN528" s="901"/>
      <c r="VKO528" s="901"/>
      <c r="VKP528" s="901"/>
      <c r="VKQ528" s="901"/>
      <c r="VKR528" s="901"/>
      <c r="VKS528" s="901"/>
      <c r="VKT528" s="901"/>
      <c r="VKU528" s="901"/>
      <c r="VKV528" s="901"/>
      <c r="VKW528" s="901"/>
      <c r="VKX528" s="901"/>
      <c r="VKY528" s="901"/>
      <c r="VKZ528" s="901"/>
      <c r="VLA528" s="901"/>
      <c r="VLB528" s="901"/>
      <c r="VLC528" s="901"/>
      <c r="VLD528" s="901"/>
      <c r="VLE528" s="901"/>
      <c r="VLF528" s="901"/>
      <c r="VLG528" s="901"/>
      <c r="VLH528" s="901"/>
      <c r="VLI528" s="901"/>
      <c r="VLJ528" s="901"/>
      <c r="VLK528" s="901"/>
      <c r="VLL528" s="901"/>
      <c r="VLM528" s="901"/>
      <c r="VLN528" s="901"/>
      <c r="VLO528" s="901"/>
      <c r="VLP528" s="901"/>
      <c r="VLQ528" s="901"/>
      <c r="VLR528" s="901"/>
      <c r="VLS528" s="901"/>
      <c r="VLT528" s="901"/>
      <c r="VLU528" s="901"/>
      <c r="VLV528" s="901"/>
      <c r="VLW528" s="901"/>
      <c r="VLX528" s="901"/>
      <c r="VLY528" s="901"/>
      <c r="VLZ528" s="901"/>
      <c r="VMA528" s="901"/>
      <c r="VMB528" s="901"/>
      <c r="VMC528" s="901"/>
      <c r="VMD528" s="901"/>
      <c r="VME528" s="901"/>
      <c r="VMF528" s="901"/>
      <c r="VMG528" s="901"/>
      <c r="VMH528" s="901"/>
      <c r="VMI528" s="901"/>
      <c r="VMJ528" s="901"/>
      <c r="VMK528" s="901"/>
      <c r="VML528" s="901"/>
      <c r="VMM528" s="901"/>
      <c r="VMN528" s="901"/>
      <c r="VMO528" s="901"/>
      <c r="VMP528" s="901"/>
      <c r="VMQ528" s="901"/>
      <c r="VMR528" s="901"/>
      <c r="VMS528" s="901"/>
      <c r="VMT528" s="901"/>
      <c r="VMU528" s="901"/>
      <c r="VMV528" s="901"/>
      <c r="VMW528" s="901"/>
      <c r="VMX528" s="901"/>
      <c r="VMY528" s="901"/>
      <c r="VMZ528" s="901"/>
      <c r="VNA528" s="901"/>
      <c r="VNB528" s="901"/>
      <c r="VNC528" s="901"/>
      <c r="VND528" s="901"/>
      <c r="VNE528" s="901"/>
      <c r="VNF528" s="901"/>
      <c r="VNG528" s="901"/>
      <c r="VNH528" s="901"/>
      <c r="VNI528" s="901"/>
      <c r="VNJ528" s="901"/>
      <c r="VNK528" s="901"/>
      <c r="VNL528" s="901"/>
      <c r="VNM528" s="901"/>
      <c r="VNN528" s="901"/>
      <c r="VNO528" s="901"/>
      <c r="VNP528" s="901"/>
      <c r="VNQ528" s="901"/>
      <c r="VNR528" s="901"/>
      <c r="VNS528" s="901"/>
      <c r="VNT528" s="901"/>
      <c r="VNU528" s="901"/>
      <c r="VNV528" s="901"/>
      <c r="VNW528" s="901"/>
      <c r="VNX528" s="901"/>
      <c r="VNY528" s="901"/>
      <c r="VNZ528" s="901"/>
      <c r="VOA528" s="901"/>
      <c r="VOB528" s="901"/>
      <c r="VOC528" s="901"/>
      <c r="VOD528" s="901"/>
      <c r="VOE528" s="901"/>
      <c r="VOF528" s="901"/>
      <c r="VOG528" s="901"/>
      <c r="VOH528" s="901"/>
      <c r="VOI528" s="901"/>
      <c r="VOJ528" s="901"/>
      <c r="VOK528" s="901"/>
      <c r="VOL528" s="901"/>
      <c r="VOM528" s="901"/>
      <c r="VON528" s="901"/>
      <c r="VOO528" s="901"/>
      <c r="VOP528" s="901"/>
      <c r="VOQ528" s="901"/>
      <c r="VOR528" s="901"/>
      <c r="VOS528" s="901"/>
      <c r="VOT528" s="901"/>
      <c r="VOU528" s="901"/>
      <c r="VOV528" s="901"/>
      <c r="VOW528" s="901"/>
      <c r="VOX528" s="901"/>
      <c r="VOY528" s="901"/>
      <c r="VOZ528" s="901"/>
      <c r="VPA528" s="901"/>
      <c r="VPB528" s="901"/>
      <c r="VPC528" s="901"/>
      <c r="VPD528" s="901"/>
      <c r="VPE528" s="901"/>
      <c r="VPF528" s="901"/>
      <c r="VPG528" s="901"/>
      <c r="VPH528" s="901"/>
      <c r="VPI528" s="901"/>
      <c r="VPJ528" s="901"/>
      <c r="VPK528" s="901"/>
      <c r="VPL528" s="901"/>
      <c r="VPM528" s="901"/>
      <c r="VPN528" s="901"/>
      <c r="VPO528" s="901"/>
      <c r="VPP528" s="901"/>
      <c r="VPQ528" s="901"/>
      <c r="VPR528" s="901"/>
      <c r="VPS528" s="901"/>
      <c r="VPT528" s="901"/>
      <c r="VPU528" s="901"/>
      <c r="VPV528" s="901"/>
      <c r="VPW528" s="901"/>
      <c r="VPX528" s="901"/>
      <c r="VPY528" s="901"/>
      <c r="VPZ528" s="901"/>
      <c r="VQA528" s="901"/>
      <c r="VQB528" s="901"/>
      <c r="VQC528" s="901"/>
      <c r="VQD528" s="901"/>
      <c r="VQE528" s="901"/>
      <c r="VQF528" s="901"/>
      <c r="VQG528" s="901"/>
      <c r="VQH528" s="901"/>
      <c r="VQI528" s="901"/>
      <c r="VQJ528" s="901"/>
      <c r="VQK528" s="901"/>
      <c r="VQL528" s="901"/>
      <c r="VQM528" s="901"/>
      <c r="VQN528" s="901"/>
      <c r="VQO528" s="901"/>
      <c r="VQP528" s="901"/>
      <c r="VQQ528" s="901"/>
      <c r="VQR528" s="901"/>
      <c r="VQS528" s="901"/>
      <c r="VQT528" s="901"/>
      <c r="VQU528" s="901"/>
      <c r="VQV528" s="901"/>
      <c r="VQW528" s="901"/>
      <c r="VQX528" s="901"/>
      <c r="VQY528" s="901"/>
      <c r="VQZ528" s="901"/>
      <c r="VRA528" s="901"/>
      <c r="VRB528" s="901"/>
      <c r="VRC528" s="901"/>
      <c r="VRD528" s="901"/>
      <c r="VRE528" s="901"/>
      <c r="VRF528" s="901"/>
      <c r="VRG528" s="901"/>
      <c r="VRH528" s="901"/>
      <c r="VRI528" s="901"/>
      <c r="VRJ528" s="901"/>
      <c r="VRK528" s="901"/>
      <c r="VRL528" s="901"/>
      <c r="VRM528" s="901"/>
      <c r="VRN528" s="901"/>
      <c r="VRO528" s="901"/>
      <c r="VRP528" s="901"/>
      <c r="VRQ528" s="901"/>
      <c r="VRR528" s="901"/>
      <c r="VRS528" s="901"/>
      <c r="VRT528" s="901"/>
      <c r="VRU528" s="901"/>
      <c r="VRV528" s="901"/>
      <c r="VRW528" s="901"/>
      <c r="VRX528" s="901"/>
      <c r="VRY528" s="901"/>
      <c r="VRZ528" s="901"/>
      <c r="VSA528" s="901"/>
      <c r="VSB528" s="901"/>
      <c r="VSC528" s="901"/>
      <c r="VSD528" s="901"/>
      <c r="VSE528" s="901"/>
      <c r="VSF528" s="901"/>
      <c r="VSG528" s="901"/>
      <c r="VSH528" s="901"/>
      <c r="VSI528" s="901"/>
      <c r="VSJ528" s="901"/>
      <c r="VSK528" s="901"/>
      <c r="VSL528" s="901"/>
      <c r="VSM528" s="901"/>
      <c r="VSN528" s="901"/>
      <c r="VSO528" s="901"/>
      <c r="VSP528" s="901"/>
      <c r="VSQ528" s="901"/>
      <c r="VSR528" s="901"/>
      <c r="VSS528" s="901"/>
      <c r="VST528" s="901"/>
      <c r="VSU528" s="901"/>
      <c r="VSV528" s="901"/>
      <c r="VSW528" s="901"/>
      <c r="VSX528" s="901"/>
      <c r="VSY528" s="901"/>
      <c r="VSZ528" s="901"/>
      <c r="VTA528" s="901"/>
      <c r="VTB528" s="901"/>
      <c r="VTC528" s="901"/>
      <c r="VTD528" s="901"/>
      <c r="VTE528" s="901"/>
      <c r="VTF528" s="901"/>
      <c r="VTG528" s="901"/>
      <c r="VTH528" s="901"/>
      <c r="VTI528" s="901"/>
      <c r="VTJ528" s="901"/>
      <c r="VTK528" s="901"/>
      <c r="VTL528" s="901"/>
      <c r="VTM528" s="901"/>
      <c r="VTN528" s="901"/>
      <c r="VTO528" s="901"/>
      <c r="VTP528" s="901"/>
      <c r="VTQ528" s="901"/>
      <c r="VTR528" s="901"/>
      <c r="VTS528" s="901"/>
      <c r="VTT528" s="901"/>
      <c r="VTU528" s="901"/>
      <c r="VTV528" s="901"/>
      <c r="VTW528" s="901"/>
      <c r="VTX528" s="901"/>
      <c r="VTY528" s="901"/>
      <c r="VTZ528" s="901"/>
      <c r="VUA528" s="901"/>
      <c r="VUB528" s="901"/>
      <c r="VUC528" s="901"/>
      <c r="VUD528" s="901"/>
      <c r="VUE528" s="901"/>
      <c r="VUF528" s="901"/>
      <c r="VUG528" s="901"/>
      <c r="VUH528" s="901"/>
      <c r="VUI528" s="901"/>
      <c r="VUJ528" s="901"/>
      <c r="VUK528" s="901"/>
      <c r="VUL528" s="901"/>
      <c r="VUM528" s="901"/>
      <c r="VUN528" s="901"/>
      <c r="VUO528" s="901"/>
      <c r="VUP528" s="901"/>
      <c r="VUQ528" s="901"/>
      <c r="VUR528" s="901"/>
      <c r="VUS528" s="901"/>
      <c r="VUT528" s="901"/>
      <c r="VUU528" s="901"/>
      <c r="VUV528" s="901"/>
      <c r="VUW528" s="901"/>
      <c r="VUX528" s="901"/>
      <c r="VUY528" s="901"/>
      <c r="VUZ528" s="901"/>
      <c r="VVA528" s="901"/>
      <c r="VVB528" s="901"/>
      <c r="VVC528" s="901"/>
      <c r="VVD528" s="901"/>
      <c r="VVE528" s="901"/>
      <c r="VVF528" s="901"/>
      <c r="VVG528" s="901"/>
      <c r="VVH528" s="901"/>
      <c r="VVI528" s="901"/>
      <c r="VVJ528" s="901"/>
      <c r="VVK528" s="901"/>
      <c r="VVL528" s="901"/>
      <c r="VVM528" s="901"/>
      <c r="VVN528" s="901"/>
      <c r="VVO528" s="901"/>
      <c r="VVP528" s="901"/>
      <c r="VVQ528" s="901"/>
      <c r="VVR528" s="901"/>
      <c r="VVS528" s="901"/>
      <c r="VVT528" s="901"/>
      <c r="VVU528" s="901"/>
      <c r="VVV528" s="901"/>
      <c r="VVW528" s="901"/>
      <c r="VVX528" s="901"/>
      <c r="VVY528" s="901"/>
      <c r="VVZ528" s="901"/>
      <c r="VWA528" s="901"/>
      <c r="VWB528" s="901"/>
      <c r="VWC528" s="901"/>
      <c r="VWD528" s="901"/>
      <c r="VWE528" s="901"/>
      <c r="VWF528" s="901"/>
      <c r="VWG528" s="901"/>
      <c r="VWH528" s="901"/>
      <c r="VWI528" s="901"/>
      <c r="VWJ528" s="901"/>
      <c r="VWK528" s="901"/>
      <c r="VWL528" s="901"/>
      <c r="VWM528" s="901"/>
      <c r="VWN528" s="901"/>
      <c r="VWO528" s="901"/>
      <c r="VWP528" s="901"/>
      <c r="VWQ528" s="901"/>
      <c r="VWR528" s="901"/>
      <c r="VWS528" s="901"/>
      <c r="VWT528" s="901"/>
      <c r="VWU528" s="901"/>
      <c r="VWV528" s="901"/>
      <c r="VWW528" s="901"/>
      <c r="VWX528" s="901"/>
      <c r="VWY528" s="901"/>
      <c r="VWZ528" s="901"/>
      <c r="VXA528" s="901"/>
      <c r="VXB528" s="901"/>
      <c r="VXC528" s="901"/>
      <c r="VXD528" s="901"/>
      <c r="VXE528" s="901"/>
      <c r="VXF528" s="901"/>
      <c r="VXG528" s="901"/>
      <c r="VXH528" s="901"/>
      <c r="VXI528" s="901"/>
      <c r="VXJ528" s="901"/>
      <c r="VXK528" s="901"/>
      <c r="VXL528" s="901"/>
      <c r="VXM528" s="901"/>
      <c r="VXN528" s="901"/>
      <c r="VXO528" s="901"/>
      <c r="VXP528" s="901"/>
      <c r="VXQ528" s="901"/>
      <c r="VXR528" s="901"/>
      <c r="VXS528" s="901"/>
      <c r="VXT528" s="901"/>
      <c r="VXU528" s="901"/>
      <c r="VXV528" s="901"/>
      <c r="VXW528" s="901"/>
      <c r="VXX528" s="901"/>
      <c r="VXY528" s="901"/>
      <c r="VXZ528" s="901"/>
      <c r="VYA528" s="901"/>
      <c r="VYB528" s="901"/>
      <c r="VYC528" s="901"/>
      <c r="VYD528" s="901"/>
      <c r="VYE528" s="901"/>
      <c r="VYF528" s="901"/>
      <c r="VYG528" s="901"/>
      <c r="VYH528" s="901"/>
      <c r="VYI528" s="901"/>
      <c r="VYJ528" s="901"/>
      <c r="VYK528" s="901"/>
      <c r="VYL528" s="901"/>
      <c r="VYM528" s="901"/>
      <c r="VYN528" s="901"/>
      <c r="VYO528" s="901"/>
      <c r="VYP528" s="901"/>
      <c r="VYQ528" s="901"/>
      <c r="VYR528" s="901"/>
      <c r="VYS528" s="901"/>
      <c r="VYT528" s="901"/>
      <c r="VYU528" s="901"/>
      <c r="VYV528" s="901"/>
      <c r="VYW528" s="901"/>
      <c r="VYX528" s="901"/>
      <c r="VYY528" s="901"/>
      <c r="VYZ528" s="901"/>
      <c r="VZA528" s="901"/>
      <c r="VZB528" s="901"/>
      <c r="VZC528" s="901"/>
      <c r="VZD528" s="901"/>
      <c r="VZE528" s="901"/>
      <c r="VZF528" s="901"/>
      <c r="VZG528" s="901"/>
      <c r="VZH528" s="901"/>
      <c r="VZI528" s="901"/>
      <c r="VZJ528" s="901"/>
      <c r="VZK528" s="901"/>
      <c r="VZL528" s="901"/>
      <c r="VZM528" s="901"/>
      <c r="VZN528" s="901"/>
      <c r="VZO528" s="901"/>
      <c r="VZP528" s="901"/>
      <c r="VZQ528" s="901"/>
      <c r="VZR528" s="901"/>
      <c r="VZS528" s="901"/>
      <c r="VZT528" s="901"/>
      <c r="VZU528" s="901"/>
      <c r="VZV528" s="901"/>
      <c r="VZW528" s="901"/>
      <c r="VZX528" s="901"/>
      <c r="VZY528" s="901"/>
      <c r="VZZ528" s="901"/>
      <c r="WAA528" s="901"/>
      <c r="WAB528" s="901"/>
      <c r="WAC528" s="901"/>
      <c r="WAD528" s="901"/>
      <c r="WAE528" s="901"/>
      <c r="WAF528" s="901"/>
      <c r="WAG528" s="901"/>
      <c r="WAH528" s="901"/>
      <c r="WAI528" s="901"/>
      <c r="WAJ528" s="901"/>
      <c r="WAK528" s="901"/>
      <c r="WAL528" s="901"/>
      <c r="WAM528" s="901"/>
      <c r="WAN528" s="901"/>
      <c r="WAO528" s="901"/>
      <c r="WAP528" s="901"/>
      <c r="WAQ528" s="901"/>
      <c r="WAR528" s="901"/>
      <c r="WAS528" s="901"/>
      <c r="WAT528" s="901"/>
      <c r="WAU528" s="901"/>
      <c r="WAV528" s="901"/>
      <c r="WAW528" s="901"/>
      <c r="WAX528" s="901"/>
      <c r="WAY528" s="901"/>
      <c r="WAZ528" s="901"/>
      <c r="WBA528" s="901"/>
      <c r="WBB528" s="901"/>
      <c r="WBC528" s="901"/>
      <c r="WBD528" s="901"/>
      <c r="WBE528" s="901"/>
      <c r="WBF528" s="901"/>
      <c r="WBG528" s="901"/>
      <c r="WBH528" s="901"/>
      <c r="WBI528" s="901"/>
      <c r="WBJ528" s="901"/>
      <c r="WBK528" s="901"/>
      <c r="WBL528" s="901"/>
      <c r="WBM528" s="901"/>
      <c r="WBN528" s="901"/>
      <c r="WBO528" s="901"/>
      <c r="WBP528" s="901"/>
      <c r="WBQ528" s="901"/>
      <c r="WBR528" s="901"/>
      <c r="WBS528" s="901"/>
      <c r="WBT528" s="901"/>
      <c r="WBU528" s="901"/>
      <c r="WBV528" s="901"/>
      <c r="WBW528" s="901"/>
      <c r="WBX528" s="901"/>
      <c r="WBY528" s="901"/>
      <c r="WBZ528" s="901"/>
      <c r="WCA528" s="901"/>
      <c r="WCB528" s="901"/>
      <c r="WCC528" s="901"/>
      <c r="WCD528" s="901"/>
      <c r="WCE528" s="901"/>
      <c r="WCF528" s="901"/>
      <c r="WCG528" s="901"/>
      <c r="WCH528" s="901"/>
      <c r="WCI528" s="901"/>
      <c r="WCJ528" s="901"/>
      <c r="WCK528" s="901"/>
      <c r="WCL528" s="901"/>
      <c r="WCM528" s="901"/>
      <c r="WCN528" s="901"/>
      <c r="WCO528" s="901"/>
      <c r="WCP528" s="901"/>
      <c r="WCQ528" s="901"/>
      <c r="WCR528" s="901"/>
      <c r="WCS528" s="901"/>
      <c r="WCT528" s="901"/>
      <c r="WCU528" s="901"/>
      <c r="WCV528" s="901"/>
      <c r="WCW528" s="901"/>
      <c r="WCX528" s="901"/>
      <c r="WCY528" s="901"/>
      <c r="WCZ528" s="901"/>
      <c r="WDA528" s="901"/>
      <c r="WDB528" s="901"/>
      <c r="WDC528" s="901"/>
      <c r="WDD528" s="901"/>
      <c r="WDE528" s="901"/>
      <c r="WDF528" s="901"/>
      <c r="WDG528" s="901"/>
      <c r="WDH528" s="901"/>
      <c r="WDI528" s="901"/>
      <c r="WDJ528" s="901"/>
      <c r="WDK528" s="901"/>
      <c r="WDL528" s="901"/>
      <c r="WDM528" s="901"/>
      <c r="WDN528" s="901"/>
      <c r="WDO528" s="901"/>
      <c r="WDP528" s="901"/>
      <c r="WDQ528" s="901"/>
      <c r="WDR528" s="901"/>
      <c r="WDS528" s="901"/>
      <c r="WDT528" s="901"/>
      <c r="WDU528" s="901"/>
      <c r="WDV528" s="901"/>
      <c r="WDW528" s="901"/>
      <c r="WDX528" s="901"/>
      <c r="WDY528" s="901"/>
      <c r="WDZ528" s="901"/>
      <c r="WEA528" s="901"/>
      <c r="WEB528" s="901"/>
      <c r="WEC528" s="901"/>
      <c r="WED528" s="901"/>
      <c r="WEE528" s="901"/>
      <c r="WEF528" s="901"/>
      <c r="WEG528" s="901"/>
      <c r="WEH528" s="901"/>
      <c r="WEI528" s="901"/>
      <c r="WEJ528" s="901"/>
      <c r="WEK528" s="901"/>
      <c r="WEL528" s="901"/>
      <c r="WEM528" s="901"/>
      <c r="WEN528" s="901"/>
      <c r="WEO528" s="901"/>
      <c r="WEP528" s="901"/>
      <c r="WEQ528" s="901"/>
      <c r="WER528" s="901"/>
      <c r="WES528" s="901"/>
      <c r="WET528" s="901"/>
      <c r="WEU528" s="901"/>
      <c r="WEV528" s="901"/>
      <c r="WEW528" s="901"/>
      <c r="WEX528" s="901"/>
      <c r="WEY528" s="901"/>
      <c r="WEZ528" s="901"/>
      <c r="WFA528" s="901"/>
      <c r="WFB528" s="901"/>
      <c r="WFC528" s="901"/>
      <c r="WFD528" s="901"/>
      <c r="WFE528" s="901"/>
      <c r="WFF528" s="901"/>
      <c r="WFG528" s="901"/>
      <c r="WFH528" s="901"/>
      <c r="WFI528" s="901"/>
      <c r="WFJ528" s="901"/>
      <c r="WFK528" s="901"/>
      <c r="WFL528" s="901"/>
      <c r="WFM528" s="901"/>
      <c r="WFN528" s="901"/>
      <c r="WFO528" s="901"/>
      <c r="WFP528" s="901"/>
      <c r="WFQ528" s="901"/>
      <c r="WFR528" s="901"/>
      <c r="WFS528" s="901"/>
      <c r="WFT528" s="901"/>
      <c r="WFU528" s="901"/>
      <c r="WFV528" s="901"/>
      <c r="WFW528" s="901"/>
      <c r="WFX528" s="901"/>
      <c r="WFY528" s="901"/>
      <c r="WFZ528" s="901"/>
      <c r="WGA528" s="901"/>
      <c r="WGB528" s="901"/>
      <c r="WGC528" s="901"/>
      <c r="WGD528" s="901"/>
      <c r="WGE528" s="901"/>
      <c r="WGF528" s="901"/>
      <c r="WGG528" s="901"/>
      <c r="WGH528" s="901"/>
      <c r="WGI528" s="901"/>
      <c r="WGJ528" s="901"/>
      <c r="WGK528" s="901"/>
      <c r="WGL528" s="901"/>
      <c r="WGM528" s="901"/>
      <c r="WGN528" s="901"/>
      <c r="WGO528" s="901"/>
      <c r="WGP528" s="901"/>
      <c r="WGQ528" s="901"/>
      <c r="WGR528" s="901"/>
      <c r="WGS528" s="901"/>
      <c r="WGT528" s="901"/>
      <c r="WGU528" s="901"/>
      <c r="WGV528" s="901"/>
      <c r="WGW528" s="901"/>
      <c r="WGX528" s="901"/>
      <c r="WGY528" s="901"/>
      <c r="WGZ528" s="901"/>
      <c r="WHA528" s="901"/>
      <c r="WHB528" s="901"/>
      <c r="WHC528" s="901"/>
      <c r="WHD528" s="901"/>
      <c r="WHE528" s="901"/>
      <c r="WHF528" s="901"/>
      <c r="WHG528" s="901"/>
      <c r="WHH528" s="901"/>
      <c r="WHI528" s="901"/>
      <c r="WHJ528" s="901"/>
      <c r="WHK528" s="901"/>
      <c r="WHL528" s="901"/>
      <c r="WHM528" s="901"/>
      <c r="WHN528" s="901"/>
      <c r="WHO528" s="901"/>
      <c r="WHP528" s="901"/>
      <c r="WHQ528" s="901"/>
      <c r="WHR528" s="901"/>
      <c r="WHS528" s="901"/>
      <c r="WHT528" s="901"/>
      <c r="WHU528" s="901"/>
      <c r="WHV528" s="901"/>
      <c r="WHW528" s="901"/>
      <c r="WHX528" s="901"/>
      <c r="WHY528" s="901"/>
      <c r="WHZ528" s="901"/>
      <c r="WIA528" s="901"/>
      <c r="WIB528" s="901"/>
      <c r="WIC528" s="901"/>
      <c r="WID528" s="901"/>
      <c r="WIE528" s="901"/>
      <c r="WIF528" s="901"/>
      <c r="WIG528" s="901"/>
      <c r="WIH528" s="901"/>
      <c r="WII528" s="901"/>
      <c r="WIJ528" s="901"/>
      <c r="WIK528" s="901"/>
      <c r="WIL528" s="901"/>
      <c r="WIM528" s="901"/>
      <c r="WIN528" s="901"/>
      <c r="WIO528" s="901"/>
      <c r="WIP528" s="901"/>
      <c r="WIQ528" s="901"/>
      <c r="WIR528" s="901"/>
      <c r="WIS528" s="901"/>
      <c r="WIT528" s="901"/>
      <c r="WIU528" s="901"/>
      <c r="WIV528" s="901"/>
      <c r="WIW528" s="901"/>
      <c r="WIX528" s="901"/>
      <c r="WIY528" s="901"/>
      <c r="WIZ528" s="901"/>
      <c r="WJA528" s="901"/>
      <c r="WJB528" s="901"/>
      <c r="WJC528" s="901"/>
      <c r="WJD528" s="901"/>
      <c r="WJE528" s="901"/>
      <c r="WJF528" s="901"/>
      <c r="WJG528" s="901"/>
      <c r="WJH528" s="901"/>
      <c r="WJI528" s="901"/>
      <c r="WJJ528" s="901"/>
      <c r="WJK528" s="901"/>
      <c r="WJL528" s="901"/>
      <c r="WJM528" s="901"/>
      <c r="WJN528" s="901"/>
      <c r="WJO528" s="901"/>
      <c r="WJP528" s="901"/>
      <c r="WJQ528" s="901"/>
      <c r="WJR528" s="901"/>
      <c r="WJS528" s="901"/>
      <c r="WJT528" s="901"/>
      <c r="WJU528" s="901"/>
      <c r="WJV528" s="901"/>
      <c r="WJW528" s="901"/>
      <c r="WJX528" s="901"/>
      <c r="WJY528" s="901"/>
      <c r="WJZ528" s="901"/>
      <c r="WKA528" s="901"/>
      <c r="WKB528" s="901"/>
      <c r="WKC528" s="901"/>
      <c r="WKD528" s="901"/>
      <c r="WKE528" s="901"/>
      <c r="WKF528" s="901"/>
      <c r="WKG528" s="901"/>
      <c r="WKH528" s="901"/>
      <c r="WKI528" s="901"/>
      <c r="WKJ528" s="901"/>
      <c r="WKK528" s="901"/>
      <c r="WKL528" s="901"/>
      <c r="WKM528" s="901"/>
      <c r="WKN528" s="901"/>
      <c r="WKO528" s="901"/>
      <c r="WKP528" s="901"/>
      <c r="WKQ528" s="901"/>
      <c r="WKR528" s="901"/>
      <c r="WKS528" s="901"/>
      <c r="WKT528" s="901"/>
      <c r="WKU528" s="901"/>
      <c r="WKV528" s="901"/>
      <c r="WKW528" s="901"/>
      <c r="WKX528" s="901"/>
      <c r="WKY528" s="901"/>
      <c r="WKZ528" s="901"/>
      <c r="WLA528" s="901"/>
      <c r="WLB528" s="901"/>
      <c r="WLC528" s="901"/>
      <c r="WLD528" s="901"/>
      <c r="WLE528" s="901"/>
      <c r="WLF528" s="901"/>
      <c r="WLG528" s="901"/>
      <c r="WLH528" s="901"/>
      <c r="WLI528" s="901"/>
      <c r="WLJ528" s="901"/>
      <c r="WLK528" s="901"/>
      <c r="WLL528" s="901"/>
      <c r="WLM528" s="901"/>
      <c r="WLN528" s="901"/>
      <c r="WLO528" s="901"/>
      <c r="WLP528" s="901"/>
      <c r="WLQ528" s="901"/>
      <c r="WLR528" s="901"/>
      <c r="WLS528" s="901"/>
      <c r="WLT528" s="901"/>
      <c r="WLU528" s="901"/>
      <c r="WLV528" s="901"/>
      <c r="WLW528" s="901"/>
      <c r="WLX528" s="901"/>
      <c r="WLY528" s="901"/>
      <c r="WLZ528" s="901"/>
      <c r="WMA528" s="901"/>
      <c r="WMB528" s="901"/>
      <c r="WMC528" s="901"/>
      <c r="WMD528" s="901"/>
      <c r="WME528" s="901"/>
      <c r="WMF528" s="901"/>
      <c r="WMG528" s="901"/>
      <c r="WMH528" s="901"/>
      <c r="WMI528" s="901"/>
      <c r="WMJ528" s="901"/>
      <c r="WMK528" s="901"/>
      <c r="WML528" s="901"/>
      <c r="WMM528" s="901"/>
      <c r="WMN528" s="901"/>
      <c r="WMO528" s="901"/>
      <c r="WMP528" s="901"/>
      <c r="WMQ528" s="901"/>
      <c r="WMR528" s="901"/>
      <c r="WMS528" s="901"/>
      <c r="WMT528" s="901"/>
      <c r="WMU528" s="901"/>
      <c r="WMV528" s="901"/>
      <c r="WMW528" s="901"/>
      <c r="WMX528" s="901"/>
      <c r="WMY528" s="901"/>
      <c r="WMZ528" s="901"/>
      <c r="WNA528" s="901"/>
      <c r="WNB528" s="901"/>
      <c r="WNC528" s="901"/>
      <c r="WND528" s="901"/>
      <c r="WNE528" s="901"/>
      <c r="WNF528" s="901"/>
      <c r="WNG528" s="901"/>
      <c r="WNH528" s="901"/>
      <c r="WNI528" s="901"/>
      <c r="WNJ528" s="901"/>
      <c r="WNK528" s="901"/>
      <c r="WNL528" s="901"/>
      <c r="WNM528" s="901"/>
      <c r="WNN528" s="901"/>
      <c r="WNO528" s="901"/>
      <c r="WNP528" s="901"/>
      <c r="WNQ528" s="901"/>
      <c r="WNR528" s="901"/>
      <c r="WNS528" s="901"/>
      <c r="WNT528" s="901"/>
      <c r="WNU528" s="901"/>
      <c r="WNV528" s="901"/>
      <c r="WNW528" s="901"/>
      <c r="WNX528" s="901"/>
      <c r="WNY528" s="901"/>
      <c r="WNZ528" s="901"/>
      <c r="WOA528" s="901"/>
      <c r="WOB528" s="901"/>
      <c r="WOC528" s="901"/>
      <c r="WOD528" s="901"/>
      <c r="WOE528" s="901"/>
      <c r="WOF528" s="901"/>
      <c r="WOG528" s="901"/>
      <c r="WOH528" s="901"/>
      <c r="WOI528" s="901"/>
      <c r="WOJ528" s="901"/>
      <c r="WOK528" s="901"/>
      <c r="WOL528" s="901"/>
      <c r="WOM528" s="901"/>
      <c r="WON528" s="901"/>
      <c r="WOO528" s="901"/>
      <c r="WOP528" s="901"/>
      <c r="WOQ528" s="901"/>
      <c r="WOR528" s="901"/>
      <c r="WOS528" s="901"/>
      <c r="WOT528" s="901"/>
      <c r="WOU528" s="901"/>
      <c r="WOV528" s="901"/>
      <c r="WOW528" s="901"/>
      <c r="WOX528" s="901"/>
      <c r="WOY528" s="901"/>
      <c r="WOZ528" s="901"/>
      <c r="WPA528" s="901"/>
      <c r="WPB528" s="901"/>
      <c r="WPC528" s="901"/>
      <c r="WPD528" s="901"/>
      <c r="WPE528" s="901"/>
      <c r="WPF528" s="901"/>
      <c r="WPG528" s="901"/>
      <c r="WPH528" s="901"/>
      <c r="WPI528" s="901"/>
      <c r="WPJ528" s="901"/>
      <c r="WPK528" s="901"/>
      <c r="WPL528" s="901"/>
      <c r="WPM528" s="901"/>
      <c r="WPN528" s="901"/>
      <c r="WPO528" s="901"/>
      <c r="WPP528" s="901"/>
      <c r="WPQ528" s="901"/>
      <c r="WPR528" s="901"/>
      <c r="WPS528" s="901"/>
      <c r="WPT528" s="901"/>
      <c r="WPU528" s="901"/>
      <c r="WPV528" s="901"/>
      <c r="WPW528" s="901"/>
      <c r="WPX528" s="901"/>
      <c r="WPY528" s="901"/>
      <c r="WPZ528" s="901"/>
      <c r="WQA528" s="901"/>
      <c r="WQB528" s="901"/>
      <c r="WQC528" s="901"/>
      <c r="WQD528" s="901"/>
      <c r="WQE528" s="901"/>
      <c r="WQF528" s="901"/>
      <c r="WQG528" s="901"/>
      <c r="WQH528" s="901"/>
      <c r="WQI528" s="901"/>
      <c r="WQJ528" s="901"/>
      <c r="WQK528" s="901"/>
      <c r="WQL528" s="901"/>
      <c r="WQM528" s="901"/>
      <c r="WQN528" s="901"/>
      <c r="WQO528" s="901"/>
      <c r="WQP528" s="901"/>
      <c r="WQQ528" s="901"/>
      <c r="WQR528" s="901"/>
      <c r="WQS528" s="901"/>
      <c r="WQT528" s="901"/>
      <c r="WQU528" s="901"/>
      <c r="WQV528" s="901"/>
      <c r="WQW528" s="901"/>
      <c r="WQX528" s="901"/>
      <c r="WQY528" s="901"/>
      <c r="WQZ528" s="901"/>
      <c r="WRA528" s="901"/>
      <c r="WRB528" s="901"/>
      <c r="WRC528" s="901"/>
      <c r="WRD528" s="901"/>
      <c r="WRE528" s="901"/>
      <c r="WRF528" s="901"/>
      <c r="WRG528" s="901"/>
      <c r="WRH528" s="901"/>
      <c r="WRI528" s="901"/>
      <c r="WRJ528" s="901"/>
      <c r="WRK528" s="901"/>
      <c r="WRL528" s="901"/>
      <c r="WRM528" s="901"/>
      <c r="WRN528" s="901"/>
      <c r="WRO528" s="901"/>
      <c r="WRP528" s="901"/>
      <c r="WRQ528" s="901"/>
      <c r="WRR528" s="901"/>
      <c r="WRS528" s="901"/>
      <c r="WRT528" s="901"/>
      <c r="WRU528" s="901"/>
      <c r="WRV528" s="901"/>
      <c r="WRW528" s="901"/>
      <c r="WRX528" s="901"/>
      <c r="WRY528" s="901"/>
      <c r="WRZ528" s="901"/>
      <c r="WSA528" s="901"/>
      <c r="WSB528" s="901"/>
      <c r="WSC528" s="901"/>
      <c r="WSD528" s="901"/>
      <c r="WSE528" s="901"/>
      <c r="WSF528" s="901"/>
      <c r="WSG528" s="901"/>
      <c r="WSH528" s="901"/>
      <c r="WSI528" s="901"/>
      <c r="WSJ528" s="901"/>
      <c r="WSK528" s="901"/>
      <c r="WSL528" s="901"/>
      <c r="WSM528" s="901"/>
      <c r="WSN528" s="901"/>
      <c r="WSO528" s="901"/>
      <c r="WSP528" s="901"/>
      <c r="WSQ528" s="901"/>
      <c r="WSR528" s="901"/>
      <c r="WSS528" s="901"/>
      <c r="WST528" s="901"/>
      <c r="WSU528" s="901"/>
      <c r="WSV528" s="901"/>
      <c r="WSW528" s="901"/>
      <c r="WSX528" s="901"/>
      <c r="WSY528" s="901"/>
      <c r="WSZ528" s="901"/>
      <c r="WTA528" s="901"/>
      <c r="WTB528" s="901"/>
      <c r="WTC528" s="901"/>
      <c r="WTD528" s="901"/>
      <c r="WTE528" s="901"/>
      <c r="WTF528" s="901"/>
      <c r="WTG528" s="901"/>
      <c r="WTH528" s="901"/>
      <c r="WTI528" s="901"/>
      <c r="WTJ528" s="901"/>
      <c r="WTK528" s="901"/>
      <c r="WTL528" s="901"/>
      <c r="WTM528" s="901"/>
      <c r="WTN528" s="901"/>
      <c r="WTO528" s="901"/>
      <c r="WTP528" s="901"/>
      <c r="WTQ528" s="901"/>
      <c r="WTR528" s="901"/>
      <c r="WTS528" s="901"/>
      <c r="WTT528" s="901"/>
      <c r="WTU528" s="901"/>
      <c r="WTV528" s="901"/>
      <c r="WTW528" s="901"/>
      <c r="WTX528" s="901"/>
      <c r="WTY528" s="901"/>
      <c r="WTZ528" s="901"/>
      <c r="WUA528" s="901"/>
      <c r="WUB528" s="901"/>
      <c r="WUC528" s="901"/>
      <c r="WUD528" s="901"/>
      <c r="WUE528" s="901"/>
      <c r="WUF528" s="901"/>
      <c r="WUG528" s="901"/>
      <c r="WUH528" s="901"/>
      <c r="WUI528" s="901"/>
      <c r="WUJ528" s="901"/>
      <c r="WUK528" s="901"/>
      <c r="WUL528" s="901"/>
      <c r="WUM528" s="901"/>
      <c r="WUN528" s="901"/>
      <c r="WUO528" s="901"/>
      <c r="WUP528" s="901"/>
      <c r="WUQ528" s="901"/>
      <c r="WUR528" s="901"/>
      <c r="WUS528" s="901"/>
      <c r="WUT528" s="901"/>
      <c r="WUU528" s="901"/>
      <c r="WUV528" s="901"/>
      <c r="WUW528" s="901"/>
      <c r="WUX528" s="901"/>
      <c r="WUY528" s="901"/>
      <c r="WUZ528" s="901"/>
      <c r="WVA528" s="901"/>
      <c r="WVB528" s="901"/>
      <c r="WVC528" s="901"/>
      <c r="WVD528" s="901"/>
      <c r="WVE528" s="901"/>
      <c r="WVF528" s="901"/>
      <c r="WVG528" s="901"/>
      <c r="WVH528" s="901"/>
      <c r="WVI528" s="901"/>
      <c r="WVJ528" s="901"/>
      <c r="WVK528" s="901"/>
      <c r="WVL528" s="901"/>
      <c r="WVM528" s="901"/>
      <c r="WVN528" s="901"/>
      <c r="WVO528" s="901"/>
      <c r="WVP528" s="901"/>
      <c r="WVQ528" s="901"/>
      <c r="WVR528" s="901"/>
      <c r="WVS528" s="901"/>
      <c r="WVT528" s="901"/>
      <c r="WVU528" s="901"/>
      <c r="WVV528" s="901"/>
      <c r="WVW528" s="901"/>
      <c r="WVX528" s="901"/>
      <c r="WVY528" s="901"/>
      <c r="WVZ528" s="901"/>
      <c r="WWA528" s="901"/>
    </row>
    <row r="529" spans="1:22" ht="18" customHeight="1">
      <c r="A529" s="1707"/>
      <c r="B529" s="22"/>
      <c r="C529" s="22"/>
      <c r="D529" s="1026" t="s">
        <v>887</v>
      </c>
      <c r="E529" s="1027"/>
      <c r="F529" s="1027"/>
      <c r="G529" s="1028"/>
      <c r="H529" s="1029">
        <f t="shared" ref="H529:H531" si="12">H530</f>
        <v>500000</v>
      </c>
      <c r="I529" s="1029">
        <v>500000</v>
      </c>
      <c r="J529" s="826">
        <f>H529-I529</f>
        <v>0</v>
      </c>
      <c r="K529" s="1141"/>
      <c r="L529" s="1112"/>
      <c r="M529" s="1057"/>
    </row>
    <row r="530" spans="1:22" ht="18" customHeight="1">
      <c r="A530" s="64"/>
      <c r="B530" s="22"/>
      <c r="C530" s="22"/>
      <c r="D530" s="1110"/>
      <c r="E530" s="1085" t="s">
        <v>888</v>
      </c>
      <c r="F530" s="1138"/>
      <c r="G530" s="1086"/>
      <c r="H530" s="755">
        <f t="shared" si="12"/>
        <v>500000</v>
      </c>
      <c r="I530" s="755">
        <v>500000</v>
      </c>
      <c r="J530" s="477">
        <f>H530-I530</f>
        <v>0</v>
      </c>
      <c r="K530" s="696"/>
      <c r="L530" s="729"/>
      <c r="M530" s="697">
        <f>T530/1000</f>
        <v>0</v>
      </c>
      <c r="Q530" s="11"/>
      <c r="R530" s="11"/>
      <c r="S530" s="11"/>
      <c r="T530" s="48"/>
      <c r="U530" s="43"/>
      <c r="V530" s="2"/>
    </row>
    <row r="531" spans="1:22" ht="18" customHeight="1">
      <c r="A531" s="64"/>
      <c r="B531" s="22"/>
      <c r="C531" s="23"/>
      <c r="D531" s="23"/>
      <c r="E531" s="23"/>
      <c r="F531" s="2953" t="s">
        <v>889</v>
      </c>
      <c r="G531" s="2954"/>
      <c r="H531" s="755">
        <f t="shared" si="12"/>
        <v>500000</v>
      </c>
      <c r="I531" s="755">
        <v>500000</v>
      </c>
      <c r="J531" s="477">
        <f>H531-I531</f>
        <v>0</v>
      </c>
      <c r="K531" s="728"/>
      <c r="L531" s="729"/>
      <c r="M531" s="697">
        <f>T531/1000</f>
        <v>0</v>
      </c>
      <c r="Q531" s="11"/>
      <c r="R531" s="4"/>
      <c r="S531" s="4"/>
      <c r="T531" s="48"/>
      <c r="U531" s="47"/>
      <c r="V531" s="2"/>
    </row>
    <row r="532" spans="1:22" ht="18" customHeight="1" thickBot="1">
      <c r="A532" s="66"/>
      <c r="B532" s="67"/>
      <c r="C532" s="902"/>
      <c r="D532" s="902"/>
      <c r="E532" s="902"/>
      <c r="F532" s="902"/>
      <c r="G532" s="67" t="s">
        <v>890</v>
      </c>
      <c r="H532" s="903">
        <v>500000</v>
      </c>
      <c r="I532" s="903">
        <v>500000</v>
      </c>
      <c r="J532" s="1790">
        <f>H532-I532</f>
        <v>0</v>
      </c>
      <c r="K532" s="1142"/>
      <c r="L532" s="1143"/>
      <c r="M532" s="743">
        <f>M533+M537+M544</f>
        <v>0</v>
      </c>
      <c r="T532" s="45"/>
    </row>
    <row r="533" spans="1:22" ht="18" customHeight="1">
      <c r="A533" s="5"/>
      <c r="B533" s="5"/>
      <c r="C533" s="5"/>
      <c r="D533" s="5"/>
      <c r="E533" s="5"/>
      <c r="F533" s="5"/>
      <c r="G533" s="5"/>
      <c r="H533" s="1606"/>
      <c r="I533" s="1606"/>
      <c r="J533" s="19"/>
      <c r="M533" s="673"/>
    </row>
    <row r="534" spans="1:22" ht="18" customHeight="1">
      <c r="A534" s="5"/>
      <c r="B534" s="5"/>
      <c r="C534" s="5"/>
      <c r="D534" s="5"/>
      <c r="E534" s="5"/>
      <c r="F534" s="5"/>
      <c r="G534" s="5"/>
      <c r="H534" s="1606"/>
      <c r="I534" s="1606"/>
      <c r="J534" s="19"/>
      <c r="M534" s="673"/>
    </row>
    <row r="535" spans="1:22" ht="18" customHeight="1">
      <c r="A535" s="5"/>
      <c r="B535" s="5"/>
      <c r="C535" s="5"/>
      <c r="D535" s="5"/>
      <c r="E535" s="5"/>
      <c r="F535" s="5"/>
      <c r="G535" s="5"/>
      <c r="H535" s="1606"/>
      <c r="I535" s="1606"/>
      <c r="J535" s="19"/>
      <c r="M535" s="673"/>
    </row>
    <row r="536" spans="1:22" ht="18" customHeight="1">
      <c r="A536" s="5"/>
      <c r="B536" s="5"/>
      <c r="C536" s="5"/>
      <c r="D536" s="5"/>
      <c r="E536" s="5"/>
      <c r="F536" s="5"/>
      <c r="G536" s="5"/>
      <c r="H536" s="1606"/>
      <c r="I536" s="1606"/>
      <c r="J536" s="19"/>
      <c r="M536" s="673"/>
    </row>
    <row r="537" spans="1:22" ht="18" customHeight="1">
      <c r="A537" s="5"/>
      <c r="B537" s="5"/>
      <c r="C537" s="5"/>
      <c r="D537" s="5"/>
      <c r="E537" s="5"/>
      <c r="F537" s="5"/>
      <c r="G537" s="5"/>
      <c r="H537" s="1606"/>
      <c r="I537" s="1606"/>
      <c r="J537" s="19"/>
      <c r="M537" s="673"/>
    </row>
    <row r="538" spans="1:22" ht="18" customHeight="1">
      <c r="A538" s="5"/>
      <c r="B538" s="5"/>
      <c r="C538" s="5"/>
      <c r="D538" s="5"/>
      <c r="E538" s="5"/>
      <c r="F538" s="5"/>
      <c r="G538" s="5"/>
      <c r="H538" s="1606"/>
      <c r="I538" s="1606"/>
      <c r="J538" s="19"/>
      <c r="M538" s="673"/>
      <c r="N538" s="89"/>
      <c r="O538" s="1"/>
      <c r="P538" s="1"/>
      <c r="Q538" s="1"/>
      <c r="R538" s="1"/>
      <c r="S538" s="1"/>
      <c r="T538" s="1"/>
      <c r="U538" s="1"/>
    </row>
    <row r="539" spans="1:22" ht="18" customHeight="1">
      <c r="A539" s="5"/>
      <c r="B539" s="5"/>
      <c r="C539" s="5"/>
      <c r="D539" s="5"/>
      <c r="E539" s="5"/>
      <c r="F539" s="5"/>
      <c r="G539" s="5"/>
      <c r="H539" s="1606"/>
      <c r="I539" s="1606"/>
      <c r="J539" s="19"/>
      <c r="M539" s="673"/>
      <c r="N539" s="89"/>
      <c r="O539" s="1"/>
      <c r="P539" s="1"/>
      <c r="Q539" s="1"/>
      <c r="R539" s="1"/>
      <c r="S539" s="1"/>
      <c r="T539" s="1"/>
      <c r="U539" s="1"/>
    </row>
    <row r="540" spans="1:22" ht="18" customHeight="1">
      <c r="A540" s="5"/>
      <c r="B540" s="5"/>
      <c r="C540" s="5"/>
      <c r="D540" s="5"/>
      <c r="E540" s="5"/>
      <c r="F540" s="5"/>
      <c r="G540" s="5"/>
      <c r="H540" s="1606"/>
      <c r="I540" s="1606"/>
      <c r="J540" s="19"/>
      <c r="M540" s="673"/>
      <c r="N540" s="89"/>
      <c r="O540" s="1"/>
      <c r="P540" s="1"/>
      <c r="Q540" s="1"/>
      <c r="R540" s="1"/>
      <c r="S540" s="1"/>
      <c r="T540" s="1"/>
      <c r="U540" s="1"/>
    </row>
  </sheetData>
  <sheetProtection selectLockedCells="1" selectUnlockedCells="1"/>
  <autoFilter ref="A3:WWA3" xr:uid="{CA561C37-A229-48B9-B5CF-CFBB8F3167E4}">
    <filterColumn colId="10" showButton="0"/>
    <filterColumn colId="11" showButton="0"/>
  </autoFilter>
  <mergeCells count="27">
    <mergeCell ref="F531:G531"/>
    <mergeCell ref="K312:M312"/>
    <mergeCell ref="F511:G511"/>
    <mergeCell ref="F513:G513"/>
    <mergeCell ref="A519:G519"/>
    <mergeCell ref="F524:G524"/>
    <mergeCell ref="F226:G226"/>
    <mergeCell ref="F235:G235"/>
    <mergeCell ref="F251:G251"/>
    <mergeCell ref="F254:G255"/>
    <mergeCell ref="F257:G257"/>
    <mergeCell ref="K2:M3"/>
    <mergeCell ref="F207:G207"/>
    <mergeCell ref="A2:A3"/>
    <mergeCell ref="B2:D2"/>
    <mergeCell ref="N521:U521"/>
    <mergeCell ref="N7:U7"/>
    <mergeCell ref="F197:G197"/>
    <mergeCell ref="F203:G203"/>
    <mergeCell ref="A4:G4"/>
    <mergeCell ref="I2:I3"/>
    <mergeCell ref="J2:J3"/>
    <mergeCell ref="E2:G2"/>
    <mergeCell ref="H2:H3"/>
    <mergeCell ref="F274:G274"/>
    <mergeCell ref="F282:G282"/>
    <mergeCell ref="F292:G292"/>
  </mergeCells>
  <phoneticPr fontId="15" type="noConversion"/>
  <conditionalFormatting sqref="J154 J147:J151 J80:J81 J98:J104 J107:J118 J304:J309 J172:J182 J156:J157">
    <cfRule type="containsText" dxfId="1589" priority="817" operator="containsText" text="허하나로">
      <formula>NOT(ISERROR(SEARCH("허하나로",J80)))</formula>
    </cfRule>
    <cfRule type="containsText" dxfId="1588" priority="818" operator="containsText" text="한별">
      <formula>NOT(ISERROR(SEARCH("한별",J80)))</formula>
    </cfRule>
    <cfRule type="containsText" dxfId="1587" priority="819" operator="containsText" text="정홍조">
      <formula>NOT(ISERROR(SEARCH("정홍조",J80)))</formula>
    </cfRule>
    <cfRule type="containsText" dxfId="1586" priority="820" operator="containsText" text="김지윤">
      <formula>NOT(ISERROR(SEARCH("김지윤",J80)))</formula>
    </cfRule>
    <cfRule type="containsText" dxfId="1585" priority="821" operator="containsText" text="전준영">
      <formula>NOT(ISERROR(SEARCH("전준영",J80)))</formula>
    </cfRule>
    <cfRule type="containsText" dxfId="1584" priority="822" operator="containsText" text="차재성">
      <formula>NOT(ISERROR(SEARCH("차재성",J80)))</formula>
    </cfRule>
  </conditionalFormatting>
  <conditionalFormatting sqref="J195:J196">
    <cfRule type="containsText" dxfId="1583" priority="793" operator="containsText" text="허하나로">
      <formula>NOT(ISERROR(SEARCH("허하나로",J195)))</formula>
    </cfRule>
    <cfRule type="containsText" dxfId="1582" priority="794" operator="containsText" text="한별">
      <formula>NOT(ISERROR(SEARCH("한별",J195)))</formula>
    </cfRule>
    <cfRule type="containsText" dxfId="1581" priority="795" operator="containsText" text="정홍조">
      <formula>NOT(ISERROR(SEARCH("정홍조",J195)))</formula>
    </cfRule>
    <cfRule type="containsText" dxfId="1580" priority="796" operator="containsText" text="김지윤">
      <formula>NOT(ISERROR(SEARCH("김지윤",J195)))</formula>
    </cfRule>
    <cfRule type="containsText" dxfId="1579" priority="797" operator="containsText" text="전준영">
      <formula>NOT(ISERROR(SEARCH("전준영",J195)))</formula>
    </cfRule>
    <cfRule type="containsText" dxfId="1578" priority="798" operator="containsText" text="차재성">
      <formula>NOT(ISERROR(SEARCH("차재성",J195)))</formula>
    </cfRule>
  </conditionalFormatting>
  <conditionalFormatting sqref="J199:J200">
    <cfRule type="containsText" dxfId="1577" priority="787" operator="containsText" text="허하나로">
      <formula>NOT(ISERROR(SEARCH("허하나로",J199)))</formula>
    </cfRule>
    <cfRule type="containsText" dxfId="1576" priority="788" operator="containsText" text="한별">
      <formula>NOT(ISERROR(SEARCH("한별",J199)))</formula>
    </cfRule>
    <cfRule type="containsText" dxfId="1575" priority="789" operator="containsText" text="정홍조">
      <formula>NOT(ISERROR(SEARCH("정홍조",J199)))</formula>
    </cfRule>
    <cfRule type="containsText" dxfId="1574" priority="790" operator="containsText" text="김지윤">
      <formula>NOT(ISERROR(SEARCH("김지윤",J199)))</formula>
    </cfRule>
    <cfRule type="containsText" dxfId="1573" priority="791" operator="containsText" text="전준영">
      <formula>NOT(ISERROR(SEARCH("전준영",J199)))</formula>
    </cfRule>
    <cfRule type="containsText" dxfId="1572" priority="792" operator="containsText" text="차재성">
      <formula>NOT(ISERROR(SEARCH("차재성",J199)))</formula>
    </cfRule>
  </conditionalFormatting>
  <conditionalFormatting sqref="J233">
    <cfRule type="containsText" dxfId="1571" priority="781" operator="containsText" text="허하나로">
      <formula>NOT(ISERROR(SEARCH("허하나로",J233)))</formula>
    </cfRule>
    <cfRule type="containsText" dxfId="1570" priority="782" operator="containsText" text="한별">
      <formula>NOT(ISERROR(SEARCH("한별",J233)))</formula>
    </cfRule>
    <cfRule type="containsText" dxfId="1569" priority="783" operator="containsText" text="정홍조">
      <formula>NOT(ISERROR(SEARCH("정홍조",J233)))</formula>
    </cfRule>
    <cfRule type="containsText" dxfId="1568" priority="784" operator="containsText" text="김지윤">
      <formula>NOT(ISERROR(SEARCH("김지윤",J233)))</formula>
    </cfRule>
    <cfRule type="containsText" dxfId="1567" priority="785" operator="containsText" text="전준영">
      <formula>NOT(ISERROR(SEARCH("전준영",J233)))</formula>
    </cfRule>
    <cfRule type="containsText" dxfId="1566" priority="786" operator="containsText" text="차재성">
      <formula>NOT(ISERROR(SEARCH("차재성",J233)))</formula>
    </cfRule>
  </conditionalFormatting>
  <conditionalFormatting sqref="J231:J232">
    <cfRule type="containsText" dxfId="1565" priority="775" operator="containsText" text="허하나로">
      <formula>NOT(ISERROR(SEARCH("허하나로",J231)))</formula>
    </cfRule>
    <cfRule type="containsText" dxfId="1564" priority="776" operator="containsText" text="한별">
      <formula>NOT(ISERROR(SEARCH("한별",J231)))</formula>
    </cfRule>
    <cfRule type="containsText" dxfId="1563" priority="777" operator="containsText" text="정홍조">
      <formula>NOT(ISERROR(SEARCH("정홍조",J231)))</formula>
    </cfRule>
    <cfRule type="containsText" dxfId="1562" priority="778" operator="containsText" text="김지윤">
      <formula>NOT(ISERROR(SEARCH("김지윤",J231)))</formula>
    </cfRule>
    <cfRule type="containsText" dxfId="1561" priority="779" operator="containsText" text="전준영">
      <formula>NOT(ISERROR(SEARCH("전준영",J231)))</formula>
    </cfRule>
    <cfRule type="containsText" dxfId="1560" priority="780" operator="containsText" text="차재성">
      <formula>NOT(ISERROR(SEARCH("차재성",J231)))</formula>
    </cfRule>
  </conditionalFormatting>
  <conditionalFormatting sqref="J230">
    <cfRule type="containsText" dxfId="1559" priority="769" operator="containsText" text="허하나로">
      <formula>NOT(ISERROR(SEARCH("허하나로",J230)))</formula>
    </cfRule>
    <cfRule type="containsText" dxfId="1558" priority="770" operator="containsText" text="한별">
      <formula>NOT(ISERROR(SEARCH("한별",J230)))</formula>
    </cfRule>
    <cfRule type="containsText" dxfId="1557" priority="771" operator="containsText" text="정홍조">
      <formula>NOT(ISERROR(SEARCH("정홍조",J230)))</formula>
    </cfRule>
    <cfRule type="containsText" dxfId="1556" priority="772" operator="containsText" text="김지윤">
      <formula>NOT(ISERROR(SEARCH("김지윤",J230)))</formula>
    </cfRule>
    <cfRule type="containsText" dxfId="1555" priority="773" operator="containsText" text="전준영">
      <formula>NOT(ISERROR(SEARCH("전준영",J230)))</formula>
    </cfRule>
    <cfRule type="containsText" dxfId="1554" priority="774" operator="containsText" text="차재성">
      <formula>NOT(ISERROR(SEARCH("차재성",J230)))</formula>
    </cfRule>
  </conditionalFormatting>
  <conditionalFormatting sqref="J205:J206">
    <cfRule type="containsText" dxfId="1553" priority="763" operator="containsText" text="허하나로">
      <formula>NOT(ISERROR(SEARCH("허하나로",J205)))</formula>
    </cfRule>
    <cfRule type="containsText" dxfId="1552" priority="764" operator="containsText" text="한별">
      <formula>NOT(ISERROR(SEARCH("한별",J205)))</formula>
    </cfRule>
    <cfRule type="containsText" dxfId="1551" priority="765" operator="containsText" text="정홍조">
      <formula>NOT(ISERROR(SEARCH("정홍조",J205)))</formula>
    </cfRule>
    <cfRule type="containsText" dxfId="1550" priority="766" operator="containsText" text="김지윤">
      <formula>NOT(ISERROR(SEARCH("김지윤",J205)))</formula>
    </cfRule>
    <cfRule type="containsText" dxfId="1549" priority="767" operator="containsText" text="전준영">
      <formula>NOT(ISERROR(SEARCH("전준영",J205)))</formula>
    </cfRule>
    <cfRule type="containsText" dxfId="1548" priority="768" operator="containsText" text="차재성">
      <formula>NOT(ISERROR(SEARCH("차재성",J205)))</formula>
    </cfRule>
  </conditionalFormatting>
  <conditionalFormatting sqref="J253">
    <cfRule type="containsText" dxfId="1547" priority="757" operator="containsText" text="허하나로">
      <formula>NOT(ISERROR(SEARCH("허하나로",J253)))</formula>
    </cfRule>
    <cfRule type="containsText" dxfId="1546" priority="758" operator="containsText" text="한별">
      <formula>NOT(ISERROR(SEARCH("한별",J253)))</formula>
    </cfRule>
    <cfRule type="containsText" dxfId="1545" priority="759" operator="containsText" text="정홍조">
      <formula>NOT(ISERROR(SEARCH("정홍조",J253)))</formula>
    </cfRule>
    <cfRule type="containsText" dxfId="1544" priority="760" operator="containsText" text="김지윤">
      <formula>NOT(ISERROR(SEARCH("김지윤",J253)))</formula>
    </cfRule>
    <cfRule type="containsText" dxfId="1543" priority="761" operator="containsText" text="전준영">
      <formula>NOT(ISERROR(SEARCH("전준영",J253)))</formula>
    </cfRule>
    <cfRule type="containsText" dxfId="1542" priority="762" operator="containsText" text="차재성">
      <formula>NOT(ISERROR(SEARCH("차재성",J253)))</formula>
    </cfRule>
  </conditionalFormatting>
  <conditionalFormatting sqref="J255">
    <cfRule type="containsText" dxfId="1541" priority="751" operator="containsText" text="허하나로">
      <formula>NOT(ISERROR(SEARCH("허하나로",J255)))</formula>
    </cfRule>
    <cfRule type="containsText" dxfId="1540" priority="752" operator="containsText" text="한별">
      <formula>NOT(ISERROR(SEARCH("한별",J255)))</formula>
    </cfRule>
    <cfRule type="containsText" dxfId="1539" priority="753" operator="containsText" text="정홍조">
      <formula>NOT(ISERROR(SEARCH("정홍조",J255)))</formula>
    </cfRule>
    <cfRule type="containsText" dxfId="1538" priority="754" operator="containsText" text="김지윤">
      <formula>NOT(ISERROR(SEARCH("김지윤",J255)))</formula>
    </cfRule>
    <cfRule type="containsText" dxfId="1537" priority="755" operator="containsText" text="전준영">
      <formula>NOT(ISERROR(SEARCH("전준영",J255)))</formula>
    </cfRule>
    <cfRule type="containsText" dxfId="1536" priority="756" operator="containsText" text="차재성">
      <formula>NOT(ISERROR(SEARCH("차재성",J255)))</formula>
    </cfRule>
  </conditionalFormatting>
  <conditionalFormatting sqref="J533:J1048576">
    <cfRule type="containsText" dxfId="1535" priority="859" operator="containsText" text="허하나로">
      <formula>NOT(ISERROR(SEARCH("허하나로",H1259)))</formula>
    </cfRule>
    <cfRule type="containsText" dxfId="1534" priority="860" operator="containsText" text="한별">
      <formula>NOT(ISERROR(SEARCH("한별",H1259)))</formula>
    </cfRule>
    <cfRule type="containsText" dxfId="1533" priority="861" operator="containsText" text="정홍조">
      <formula>NOT(ISERROR(SEARCH("정홍조",H1259)))</formula>
    </cfRule>
    <cfRule type="containsText" dxfId="1532" priority="862" operator="containsText" text="김지윤">
      <formula>NOT(ISERROR(SEARCH("김지윤",H1259)))</formula>
    </cfRule>
    <cfRule type="containsText" dxfId="1531" priority="863" operator="containsText" text="전준영">
      <formula>NOT(ISERROR(SEARCH("전준영",H1259)))</formula>
    </cfRule>
    <cfRule type="containsText" dxfId="1530" priority="864" operator="containsText" text="차재성">
      <formula>NOT(ISERROR(SEARCH("차재성",H1259)))</formula>
    </cfRule>
  </conditionalFormatting>
  <conditionalFormatting sqref="J254">
    <cfRule type="containsText" dxfId="1529" priority="739" operator="containsText" text="허하나로">
      <formula>NOT(ISERROR(SEARCH("허하나로",H1229)))</formula>
    </cfRule>
    <cfRule type="containsText" dxfId="1528" priority="740" operator="containsText" text="한별">
      <formula>NOT(ISERROR(SEARCH("한별",H1229)))</formula>
    </cfRule>
    <cfRule type="containsText" dxfId="1527" priority="741" operator="containsText" text="정홍조">
      <formula>NOT(ISERROR(SEARCH("정홍조",H1229)))</formula>
    </cfRule>
    <cfRule type="containsText" dxfId="1526" priority="742" operator="containsText" text="김지윤">
      <formula>NOT(ISERROR(SEARCH("김지윤",H1229)))</formula>
    </cfRule>
    <cfRule type="containsText" dxfId="1525" priority="743" operator="containsText" text="전준영">
      <formula>NOT(ISERROR(SEARCH("전준영",H1229)))</formula>
    </cfRule>
    <cfRule type="containsText" dxfId="1524" priority="744" operator="containsText" text="차재성">
      <formula>NOT(ISERROR(SEARCH("차재성",H1229)))</formula>
    </cfRule>
  </conditionalFormatting>
  <conditionalFormatting sqref="J155">
    <cfRule type="containsText" dxfId="1523" priority="745" operator="containsText" text="허하나로">
      <formula>NOT(ISERROR(SEARCH("허하나로",J155)))</formula>
    </cfRule>
    <cfRule type="containsText" dxfId="1522" priority="746" operator="containsText" text="한별">
      <formula>NOT(ISERROR(SEARCH("한별",J155)))</formula>
    </cfRule>
    <cfRule type="containsText" dxfId="1521" priority="747" operator="containsText" text="정홍조">
      <formula>NOT(ISERROR(SEARCH("정홍조",J155)))</formula>
    </cfRule>
    <cfRule type="containsText" dxfId="1520" priority="748" operator="containsText" text="김지윤">
      <formula>NOT(ISERROR(SEARCH("김지윤",J155)))</formula>
    </cfRule>
    <cfRule type="containsText" dxfId="1519" priority="749" operator="containsText" text="전준영">
      <formula>NOT(ISERROR(SEARCH("전준영",J155)))</formula>
    </cfRule>
    <cfRule type="containsText" dxfId="1518" priority="750" operator="containsText" text="차재성">
      <formula>NOT(ISERROR(SEARCH("차재성",J155)))</formula>
    </cfRule>
  </conditionalFormatting>
  <conditionalFormatting sqref="J234">
    <cfRule type="containsText" dxfId="1517" priority="823" operator="containsText" text="허하나로">
      <formula>NOT(ISERROR(SEARCH("허하나로",H1192)))</formula>
    </cfRule>
    <cfRule type="containsText" dxfId="1516" priority="824" operator="containsText" text="한별">
      <formula>NOT(ISERROR(SEARCH("한별",H1192)))</formula>
    </cfRule>
    <cfRule type="containsText" dxfId="1515" priority="825" operator="containsText" text="정홍조">
      <formula>NOT(ISERROR(SEARCH("정홍조",H1192)))</formula>
    </cfRule>
    <cfRule type="containsText" dxfId="1514" priority="826" operator="containsText" text="김지윤">
      <formula>NOT(ISERROR(SEARCH("김지윤",H1192)))</formula>
    </cfRule>
    <cfRule type="containsText" dxfId="1513" priority="827" operator="containsText" text="전준영">
      <formula>NOT(ISERROR(SEARCH("전준영",H1192)))</formula>
    </cfRule>
    <cfRule type="containsText" dxfId="1512" priority="828" operator="containsText" text="차재성">
      <formula>NOT(ISERROR(SEARCH("차재성",H1192)))</formula>
    </cfRule>
  </conditionalFormatting>
  <conditionalFormatting sqref="J251:J252">
    <cfRule type="containsText" dxfId="1511" priority="835" operator="containsText" text="허하나로">
      <formula>NOT(ISERROR(SEARCH("허하나로",H1226)))</formula>
    </cfRule>
    <cfRule type="containsText" dxfId="1510" priority="836" operator="containsText" text="한별">
      <formula>NOT(ISERROR(SEARCH("한별",H1226)))</formula>
    </cfRule>
    <cfRule type="containsText" dxfId="1509" priority="837" operator="containsText" text="정홍조">
      <formula>NOT(ISERROR(SEARCH("정홍조",H1226)))</formula>
    </cfRule>
    <cfRule type="containsText" dxfId="1508" priority="838" operator="containsText" text="김지윤">
      <formula>NOT(ISERROR(SEARCH("김지윤",H1226)))</formula>
    </cfRule>
    <cfRule type="containsText" dxfId="1507" priority="839" operator="containsText" text="전준영">
      <formula>NOT(ISERROR(SEARCH("전준영",H1226)))</formula>
    </cfRule>
    <cfRule type="containsText" dxfId="1506" priority="840" operator="containsText" text="차재성">
      <formula>NOT(ISERROR(SEARCH("차재성",H1226)))</formula>
    </cfRule>
  </conditionalFormatting>
  <conditionalFormatting sqref="J523:J525">
    <cfRule type="containsText" dxfId="1505" priority="841" operator="containsText" text="허하나로">
      <formula>NOT(ISERROR(SEARCH("허하나로",H1236)))</formula>
    </cfRule>
    <cfRule type="containsText" dxfId="1504" priority="842" operator="containsText" text="한별">
      <formula>NOT(ISERROR(SEARCH("한별",H1236)))</formula>
    </cfRule>
    <cfRule type="containsText" dxfId="1503" priority="843" operator="containsText" text="정홍조">
      <formula>NOT(ISERROR(SEARCH("정홍조",H1236)))</formula>
    </cfRule>
    <cfRule type="containsText" dxfId="1502" priority="844" operator="containsText" text="김지윤">
      <formula>NOT(ISERROR(SEARCH("김지윤",H1236)))</formula>
    </cfRule>
    <cfRule type="containsText" dxfId="1501" priority="845" operator="containsText" text="전준영">
      <formula>NOT(ISERROR(SEARCH("전준영",H1236)))</formula>
    </cfRule>
    <cfRule type="containsText" dxfId="1500" priority="846" operator="containsText" text="차재성">
      <formula>NOT(ISERROR(SEARCH("차재성",H1236)))</formula>
    </cfRule>
  </conditionalFormatting>
  <conditionalFormatting sqref="J75:J77 J72">
    <cfRule type="containsText" dxfId="1499" priority="847" operator="containsText" text="허하나로">
      <formula>NOT(ISERROR(SEARCH("허하나로",H1025)))</formula>
    </cfRule>
    <cfRule type="containsText" dxfId="1498" priority="848" operator="containsText" text="한별">
      <formula>NOT(ISERROR(SEARCH("한별",H1025)))</formula>
    </cfRule>
    <cfRule type="containsText" dxfId="1497" priority="849" operator="containsText" text="정홍조">
      <formula>NOT(ISERROR(SEARCH("정홍조",H1025)))</formula>
    </cfRule>
    <cfRule type="containsText" dxfId="1496" priority="850" operator="containsText" text="김지윤">
      <formula>NOT(ISERROR(SEARCH("김지윤",H1025)))</formula>
    </cfRule>
    <cfRule type="containsText" dxfId="1495" priority="851" operator="containsText" text="전준영">
      <formula>NOT(ISERROR(SEARCH("전준영",H1025)))</formula>
    </cfRule>
    <cfRule type="containsText" dxfId="1494" priority="852" operator="containsText" text="차재성">
      <formula>NOT(ISERROR(SEARCH("차재성",H1025)))</formula>
    </cfRule>
  </conditionalFormatting>
  <conditionalFormatting sqref="J97">
    <cfRule type="containsText" dxfId="1493" priority="853" operator="containsText" text="허하나로">
      <formula>NOT(ISERROR(SEARCH("허하나로",H1072)))</formula>
    </cfRule>
    <cfRule type="containsText" dxfId="1492" priority="854" operator="containsText" text="한별">
      <formula>NOT(ISERROR(SEARCH("한별",H1072)))</formula>
    </cfRule>
    <cfRule type="containsText" dxfId="1491" priority="855" operator="containsText" text="정홍조">
      <formula>NOT(ISERROR(SEARCH("정홍조",H1072)))</formula>
    </cfRule>
    <cfRule type="containsText" dxfId="1490" priority="856" operator="containsText" text="김지윤">
      <formula>NOT(ISERROR(SEARCH("김지윤",H1072)))</formula>
    </cfRule>
    <cfRule type="containsText" dxfId="1489" priority="857" operator="containsText" text="전준영">
      <formula>NOT(ISERROR(SEARCH("전준영",H1072)))</formula>
    </cfRule>
    <cfRule type="containsText" dxfId="1488" priority="858" operator="containsText" text="차재성">
      <formula>NOT(ISERROR(SEARCH("차재성",H1072)))</formula>
    </cfRule>
  </conditionalFormatting>
  <conditionalFormatting sqref="J49:J50">
    <cfRule type="containsText" dxfId="1487" priority="865" operator="containsText" text="허하나로">
      <formula>NOT(ISERROR(SEARCH("허하나로",H996)))</formula>
    </cfRule>
    <cfRule type="containsText" dxfId="1486" priority="866" operator="containsText" text="한별">
      <formula>NOT(ISERROR(SEARCH("한별",H996)))</formula>
    </cfRule>
    <cfRule type="containsText" dxfId="1485" priority="867" operator="containsText" text="정홍조">
      <formula>NOT(ISERROR(SEARCH("정홍조",H996)))</formula>
    </cfRule>
    <cfRule type="containsText" dxfId="1484" priority="868" operator="containsText" text="김지윤">
      <formula>NOT(ISERROR(SEARCH("김지윤",H996)))</formula>
    </cfRule>
    <cfRule type="containsText" dxfId="1483" priority="869" operator="containsText" text="전준영">
      <formula>NOT(ISERROR(SEARCH("전준영",H996)))</formula>
    </cfRule>
    <cfRule type="containsText" dxfId="1482" priority="870" operator="containsText" text="차재성">
      <formula>NOT(ISERROR(SEARCH("차재성",H996)))</formula>
    </cfRule>
  </conditionalFormatting>
  <conditionalFormatting sqref="J512 J12:J39 J139:J140 J314:J377 J466 J83:J96 J277 J209:J224 J52:J67 J262:J269 J279:J281">
    <cfRule type="containsText" dxfId="1481" priority="726" operator="containsText" text="김지윤">
      <formula>NOT(ISERROR(SEARCH("김지윤",J12)))</formula>
    </cfRule>
    <cfRule type="containsText" dxfId="1480" priority="727" operator="containsText" text="양길승">
      <formula>NOT(ISERROR(SEARCH("양길승",J12)))</formula>
    </cfRule>
    <cfRule type="containsText" dxfId="1479" priority="728" operator="containsText" text="정지철">
      <formula>NOT(ISERROR(SEARCH("정지철",J12)))</formula>
    </cfRule>
    <cfRule type="containsText" dxfId="1478" priority="729" operator="containsText" text="최민">
      <formula>NOT(ISERROR(SEARCH("최민",J12)))</formula>
    </cfRule>
    <cfRule type="containsText" dxfId="1477" priority="730" operator="containsText" text="허하나로">
      <formula>NOT(ISERROR(SEARCH("허하나로",J12)))</formula>
    </cfRule>
    <cfRule type="containsText" dxfId="1476" priority="731" operator="containsText" text="안은선">
      <formula>NOT(ISERROR(SEARCH("안은선",J12)))</formula>
    </cfRule>
    <cfRule type="containsText" dxfId="1475" priority="732" operator="containsText" text="전준영">
      <formula>NOT(ISERROR(SEARCH("전준영",J12)))</formula>
    </cfRule>
  </conditionalFormatting>
  <conditionalFormatting sqref="J517:J518 J513:J515">
    <cfRule type="containsText" dxfId="1474" priority="720" operator="containsText" text="허하나로">
      <formula>NOT(ISERROR(SEARCH("허하나로",H950)))</formula>
    </cfRule>
    <cfRule type="containsText" dxfId="1473" priority="721" operator="containsText" text="한별">
      <formula>NOT(ISERROR(SEARCH("한별",H950)))</formula>
    </cfRule>
    <cfRule type="containsText" dxfId="1472" priority="722" operator="containsText" text="정홍조">
      <formula>NOT(ISERROR(SEARCH("정홍조",H950)))</formula>
    </cfRule>
    <cfRule type="containsText" dxfId="1471" priority="723" operator="containsText" text="김지윤">
      <formula>NOT(ISERROR(SEARCH("김지윤",H950)))</formula>
    </cfRule>
    <cfRule type="containsText" dxfId="1470" priority="724" operator="containsText" text="전준영">
      <formula>NOT(ISERROR(SEARCH("전준영",H950)))</formula>
    </cfRule>
    <cfRule type="containsText" dxfId="1469" priority="725" operator="containsText" text="차재성">
      <formula>NOT(ISERROR(SEARCH("차재성",H950)))</formula>
    </cfRule>
  </conditionalFormatting>
  <conditionalFormatting sqref="J194 J197:J198">
    <cfRule type="containsText" dxfId="1468" priority="871" operator="containsText" text="허하나로">
      <formula>NOT(ISERROR(SEARCH("허하나로",H1161)))</formula>
    </cfRule>
    <cfRule type="containsText" dxfId="1467" priority="872" operator="containsText" text="한별">
      <formula>NOT(ISERROR(SEARCH("한별",H1161)))</formula>
    </cfRule>
    <cfRule type="containsText" dxfId="1466" priority="873" operator="containsText" text="정홍조">
      <formula>NOT(ISERROR(SEARCH("정홍조",H1161)))</formula>
    </cfRule>
    <cfRule type="containsText" dxfId="1465" priority="874" operator="containsText" text="김지윤">
      <formula>NOT(ISERROR(SEARCH("김지윤",H1161)))</formula>
    </cfRule>
    <cfRule type="containsText" dxfId="1464" priority="875" operator="containsText" text="전준영">
      <formula>NOT(ISERROR(SEARCH("전준영",H1161)))</formula>
    </cfRule>
    <cfRule type="containsText" dxfId="1463" priority="876" operator="containsText" text="차재성">
      <formula>NOT(ISERROR(SEARCH("차재성",H1161)))</formula>
    </cfRule>
  </conditionalFormatting>
  <conditionalFormatting sqref="J74">
    <cfRule type="containsText" dxfId="1462" priority="714" operator="containsText" text="허하나로">
      <formula>NOT(ISERROR(SEARCH("허하나로",H1030)))</formula>
    </cfRule>
    <cfRule type="containsText" dxfId="1461" priority="715" operator="containsText" text="한별">
      <formula>NOT(ISERROR(SEARCH("한별",H1030)))</formula>
    </cfRule>
    <cfRule type="containsText" dxfId="1460" priority="716" operator="containsText" text="정홍조">
      <formula>NOT(ISERROR(SEARCH("정홍조",H1030)))</formula>
    </cfRule>
    <cfRule type="containsText" dxfId="1459" priority="717" operator="containsText" text="김지윤">
      <formula>NOT(ISERROR(SEARCH("김지윤",H1030)))</formula>
    </cfRule>
    <cfRule type="containsText" dxfId="1458" priority="718" operator="containsText" text="전준영">
      <formula>NOT(ISERROR(SEARCH("전준영",H1030)))</formula>
    </cfRule>
    <cfRule type="containsText" dxfId="1457" priority="719" operator="containsText" text="차재성">
      <formula>NOT(ISERROR(SEARCH("차재성",H1030)))</formula>
    </cfRule>
  </conditionalFormatting>
  <conditionalFormatting sqref="J73 J40">
    <cfRule type="containsText" dxfId="1456" priority="877" operator="containsText" text="허하나로">
      <formula>NOT(ISERROR(SEARCH("허하나로",H994)))</formula>
    </cfRule>
    <cfRule type="containsText" dxfId="1455" priority="878" operator="containsText" text="한별">
      <formula>NOT(ISERROR(SEARCH("한별",H994)))</formula>
    </cfRule>
    <cfRule type="containsText" dxfId="1454" priority="879" operator="containsText" text="정홍조">
      <formula>NOT(ISERROR(SEARCH("정홍조",H994)))</formula>
    </cfRule>
    <cfRule type="containsText" dxfId="1453" priority="880" operator="containsText" text="김지윤">
      <formula>NOT(ISERROR(SEARCH("김지윤",H994)))</formula>
    </cfRule>
    <cfRule type="containsText" dxfId="1452" priority="881" operator="containsText" text="전준영">
      <formula>NOT(ISERROR(SEARCH("전준영",H994)))</formula>
    </cfRule>
    <cfRule type="containsText" dxfId="1451" priority="882" operator="containsText" text="차재성">
      <formula>NOT(ISERROR(SEARCH("차재성",H994)))</formula>
    </cfRule>
  </conditionalFormatting>
  <conditionalFormatting sqref="J184">
    <cfRule type="containsText" dxfId="1450" priority="883" operator="containsText" text="허하나로">
      <formula>NOT(ISERROR(SEARCH("허하나로",H1151)))</formula>
    </cfRule>
    <cfRule type="containsText" dxfId="1449" priority="884" operator="containsText" text="한별">
      <formula>NOT(ISERROR(SEARCH("한별",H1151)))</formula>
    </cfRule>
    <cfRule type="containsText" dxfId="1448" priority="885" operator="containsText" text="정홍조">
      <formula>NOT(ISERROR(SEARCH("정홍조",H1151)))</formula>
    </cfRule>
    <cfRule type="containsText" dxfId="1447" priority="886" operator="containsText" text="김지윤">
      <formula>NOT(ISERROR(SEARCH("김지윤",H1151)))</formula>
    </cfRule>
    <cfRule type="containsText" dxfId="1446" priority="887" operator="containsText" text="전준영">
      <formula>NOT(ISERROR(SEARCH("전준영",H1151)))</formula>
    </cfRule>
    <cfRule type="containsText" dxfId="1445" priority="888" operator="containsText" text="차재성">
      <formula>NOT(ISERROR(SEARCH("차재성",H1151)))</formula>
    </cfRule>
  </conditionalFormatting>
  <conditionalFormatting sqref="J49:J50">
    <cfRule type="containsText" dxfId="1444" priority="889" operator="containsText" text="허하나로">
      <formula>NOT(ISERROR(SEARCH("허하나로",H1005)))</formula>
    </cfRule>
    <cfRule type="containsText" dxfId="1443" priority="890" operator="containsText" text="한별">
      <formula>NOT(ISERROR(SEARCH("한별",H1005)))</formula>
    </cfRule>
    <cfRule type="containsText" dxfId="1442" priority="891" operator="containsText" text="정홍조">
      <formula>NOT(ISERROR(SEARCH("정홍조",H1005)))</formula>
    </cfRule>
    <cfRule type="containsText" dxfId="1441" priority="892" operator="containsText" text="김지윤">
      <formula>NOT(ISERROR(SEARCH("김지윤",H1005)))</formula>
    </cfRule>
    <cfRule type="containsText" dxfId="1440" priority="893" operator="containsText" text="전준영">
      <formula>NOT(ISERROR(SEARCH("전준영",H1005)))</formula>
    </cfRule>
    <cfRule type="containsText" dxfId="1439" priority="894" operator="containsText" text="차재성">
      <formula>NOT(ISERROR(SEARCH("차재성",H1005)))</formula>
    </cfRule>
  </conditionalFormatting>
  <conditionalFormatting sqref="J123:J127">
    <cfRule type="containsText" dxfId="1438" priority="895" operator="containsText" text="허하나로">
      <formula>NOT(ISERROR(SEARCH("허하나로",H1098)))</formula>
    </cfRule>
    <cfRule type="containsText" dxfId="1437" priority="896" operator="containsText" text="한별">
      <formula>NOT(ISERROR(SEARCH("한별",H1098)))</formula>
    </cfRule>
    <cfRule type="containsText" dxfId="1436" priority="897" operator="containsText" text="정홍조">
      <formula>NOT(ISERROR(SEARCH("정홍조",H1098)))</formula>
    </cfRule>
    <cfRule type="containsText" dxfId="1435" priority="898" operator="containsText" text="김지윤">
      <formula>NOT(ISERROR(SEARCH("김지윤",H1098)))</formula>
    </cfRule>
    <cfRule type="containsText" dxfId="1434" priority="899" operator="containsText" text="전준영">
      <formula>NOT(ISERROR(SEARCH("전준영",H1098)))</formula>
    </cfRule>
    <cfRule type="containsText" dxfId="1433" priority="900" operator="containsText" text="차재성">
      <formula>NOT(ISERROR(SEARCH("차재성",H1098)))</formula>
    </cfRule>
  </conditionalFormatting>
  <conditionalFormatting sqref="J41:J44">
    <cfRule type="containsText" dxfId="1432" priority="707" operator="containsText" text="김지윤">
      <formula>NOT(ISERROR(SEARCH("김지윤",J41)))</formula>
    </cfRule>
    <cfRule type="containsText" dxfId="1431" priority="708" operator="containsText" text="양길승">
      <formula>NOT(ISERROR(SEARCH("양길승",J41)))</formula>
    </cfRule>
    <cfRule type="containsText" dxfId="1430" priority="709" operator="containsText" text="정지철">
      <formula>NOT(ISERROR(SEARCH("정지철",J41)))</formula>
    </cfRule>
    <cfRule type="containsText" dxfId="1429" priority="710" operator="containsText" text="최민">
      <formula>NOT(ISERROR(SEARCH("최민",J41)))</formula>
    </cfRule>
    <cfRule type="containsText" dxfId="1428" priority="711" operator="containsText" text="허하나로">
      <formula>NOT(ISERROR(SEARCH("허하나로",J41)))</formula>
    </cfRule>
    <cfRule type="containsText" dxfId="1427" priority="712" operator="containsText" text="안은선">
      <formula>NOT(ISERROR(SEARCH("안은선",J41)))</formula>
    </cfRule>
    <cfRule type="containsText" dxfId="1426" priority="713" operator="containsText" text="전준영">
      <formula>NOT(ISERROR(SEARCH("전준영",J41)))</formula>
    </cfRule>
  </conditionalFormatting>
  <conditionalFormatting sqref="J79">
    <cfRule type="containsText" dxfId="1425" priority="901" operator="containsText" text="허하나로">
      <formula>NOT(ISERROR(SEARCH("허하나로",H1032)))</formula>
    </cfRule>
    <cfRule type="containsText" dxfId="1424" priority="902" operator="containsText" text="한별">
      <formula>NOT(ISERROR(SEARCH("한별",H1032)))</formula>
    </cfRule>
    <cfRule type="containsText" dxfId="1423" priority="903" operator="containsText" text="정홍조">
      <formula>NOT(ISERROR(SEARCH("정홍조",H1032)))</formula>
    </cfRule>
    <cfRule type="containsText" dxfId="1422" priority="904" operator="containsText" text="김지윤">
      <formula>NOT(ISERROR(SEARCH("김지윤",H1032)))</formula>
    </cfRule>
    <cfRule type="containsText" dxfId="1421" priority="905" operator="containsText" text="전준영">
      <formula>NOT(ISERROR(SEARCH("전준영",H1032)))</formula>
    </cfRule>
    <cfRule type="containsText" dxfId="1420" priority="906" operator="containsText" text="차재성">
      <formula>NOT(ISERROR(SEARCH("차재성",H1032)))</formula>
    </cfRule>
  </conditionalFormatting>
  <conditionalFormatting sqref="J82">
    <cfRule type="containsText" dxfId="1419" priority="907" operator="containsText" text="허하나로">
      <formula>NOT(ISERROR(SEARCH("허하나로",H1036)))</formula>
    </cfRule>
    <cfRule type="containsText" dxfId="1418" priority="908" operator="containsText" text="한별">
      <formula>NOT(ISERROR(SEARCH("한별",H1036)))</formula>
    </cfRule>
    <cfRule type="containsText" dxfId="1417" priority="909" operator="containsText" text="정홍조">
      <formula>NOT(ISERROR(SEARCH("정홍조",H1036)))</formula>
    </cfRule>
    <cfRule type="containsText" dxfId="1416" priority="910" operator="containsText" text="김지윤">
      <formula>NOT(ISERROR(SEARCH("김지윤",H1036)))</formula>
    </cfRule>
    <cfRule type="containsText" dxfId="1415" priority="911" operator="containsText" text="전준영">
      <formula>NOT(ISERROR(SEARCH("전준영",H1036)))</formula>
    </cfRule>
    <cfRule type="containsText" dxfId="1414" priority="912" operator="containsText" text="차재성">
      <formula>NOT(ISERROR(SEARCH("차재성",H1036)))</formula>
    </cfRule>
  </conditionalFormatting>
  <conditionalFormatting sqref="J516">
    <cfRule type="containsText" dxfId="1413" priority="913" operator="containsText" text="허하나로">
      <formula>NOT(ISERROR(SEARCH("허하나로",H952)))</formula>
    </cfRule>
    <cfRule type="containsText" dxfId="1412" priority="914" operator="containsText" text="한별">
      <formula>NOT(ISERROR(SEARCH("한별",H952)))</formula>
    </cfRule>
    <cfRule type="containsText" dxfId="1411" priority="915" operator="containsText" text="정홍조">
      <formula>NOT(ISERROR(SEARCH("정홍조",H952)))</formula>
    </cfRule>
    <cfRule type="containsText" dxfId="1410" priority="916" operator="containsText" text="김지윤">
      <formula>NOT(ISERROR(SEARCH("김지윤",H952)))</formula>
    </cfRule>
    <cfRule type="containsText" dxfId="1409" priority="917" operator="containsText" text="전준영">
      <formula>NOT(ISERROR(SEARCH("전준영",H952)))</formula>
    </cfRule>
    <cfRule type="containsText" dxfId="1408" priority="918" operator="containsText" text="차재성">
      <formula>NOT(ISERROR(SEARCH("차재성",H952)))</formula>
    </cfRule>
  </conditionalFormatting>
  <conditionalFormatting sqref="J153">
    <cfRule type="containsText" dxfId="1407" priority="919" operator="containsText" text="허하나로">
      <formula>NOT(ISERROR(SEARCH("허하나로",H1120)))</formula>
    </cfRule>
    <cfRule type="containsText" dxfId="1406" priority="920" operator="containsText" text="한별">
      <formula>NOT(ISERROR(SEARCH("한별",H1120)))</formula>
    </cfRule>
    <cfRule type="containsText" dxfId="1405" priority="921" operator="containsText" text="정홍조">
      <formula>NOT(ISERROR(SEARCH("정홍조",H1120)))</formula>
    </cfRule>
    <cfRule type="containsText" dxfId="1404" priority="922" operator="containsText" text="김지윤">
      <formula>NOT(ISERROR(SEARCH("김지윤",H1120)))</formula>
    </cfRule>
    <cfRule type="containsText" dxfId="1403" priority="923" operator="containsText" text="전준영">
      <formula>NOT(ISERROR(SEARCH("전준영",H1120)))</formula>
    </cfRule>
    <cfRule type="containsText" dxfId="1402" priority="924" operator="containsText" text="차재성">
      <formula>NOT(ISERROR(SEARCH("차재성",H1120)))</formula>
    </cfRule>
  </conditionalFormatting>
  <conditionalFormatting sqref="J117">
    <cfRule type="containsText" dxfId="1401" priority="925" operator="containsText" text="허하나로">
      <formula>NOT(ISERROR(SEARCH("허하나로",H1088)))</formula>
    </cfRule>
    <cfRule type="containsText" dxfId="1400" priority="926" operator="containsText" text="한별">
      <formula>NOT(ISERROR(SEARCH("한별",H1088)))</formula>
    </cfRule>
    <cfRule type="containsText" dxfId="1399" priority="927" operator="containsText" text="정홍조">
      <formula>NOT(ISERROR(SEARCH("정홍조",H1088)))</formula>
    </cfRule>
    <cfRule type="containsText" dxfId="1398" priority="928" operator="containsText" text="김지윤">
      <formula>NOT(ISERROR(SEARCH("김지윤",H1088)))</formula>
    </cfRule>
    <cfRule type="containsText" dxfId="1397" priority="929" operator="containsText" text="전준영">
      <formula>NOT(ISERROR(SEARCH("전준영",H1088)))</formula>
    </cfRule>
    <cfRule type="containsText" dxfId="1396" priority="930" operator="containsText" text="차재성">
      <formula>NOT(ISERROR(SEARCH("차재성",H1088)))</formula>
    </cfRule>
  </conditionalFormatting>
  <conditionalFormatting sqref="J105:J106">
    <cfRule type="containsText" dxfId="1395" priority="695" operator="containsText" text="허하나로">
      <formula>NOT(ISERROR(SEARCH("허하나로",J105)))</formula>
    </cfRule>
    <cfRule type="containsText" dxfId="1394" priority="696" operator="containsText" text="한별">
      <formula>NOT(ISERROR(SEARCH("한별",J105)))</formula>
    </cfRule>
    <cfRule type="containsText" dxfId="1393" priority="697" operator="containsText" text="정홍조">
      <formula>NOT(ISERROR(SEARCH("정홍조",J105)))</formula>
    </cfRule>
    <cfRule type="containsText" dxfId="1392" priority="698" operator="containsText" text="김지윤">
      <formula>NOT(ISERROR(SEARCH("김지윤",J105)))</formula>
    </cfRule>
    <cfRule type="containsText" dxfId="1391" priority="699" operator="containsText" text="전준영">
      <formula>NOT(ISERROR(SEARCH("전준영",J105)))</formula>
    </cfRule>
    <cfRule type="containsText" dxfId="1390" priority="700" operator="containsText" text="차재성">
      <formula>NOT(ISERROR(SEARCH("차재성",J105)))</formula>
    </cfRule>
  </conditionalFormatting>
  <conditionalFormatting sqref="J238">
    <cfRule type="containsText" dxfId="1389" priority="931" operator="containsText" text="허하나로">
      <formula>NOT(ISERROR(SEARCH("허하나로",H1220)))</formula>
    </cfRule>
    <cfRule type="containsText" dxfId="1388" priority="932" operator="containsText" text="한별">
      <formula>NOT(ISERROR(SEARCH("한별",H1220)))</formula>
    </cfRule>
    <cfRule type="containsText" dxfId="1387" priority="933" operator="containsText" text="정홍조">
      <formula>NOT(ISERROR(SEARCH("정홍조",H1220)))</formula>
    </cfRule>
    <cfRule type="containsText" dxfId="1386" priority="934" operator="containsText" text="김지윤">
      <formula>NOT(ISERROR(SEARCH("김지윤",H1220)))</formula>
    </cfRule>
    <cfRule type="containsText" dxfId="1385" priority="935" operator="containsText" text="전준영">
      <formula>NOT(ISERROR(SEARCH("전준영",H1220)))</formula>
    </cfRule>
    <cfRule type="containsText" dxfId="1384" priority="936" operator="containsText" text="차재성">
      <formula>NOT(ISERROR(SEARCH("차재성",H1220)))</formula>
    </cfRule>
  </conditionalFormatting>
  <conditionalFormatting sqref="J130">
    <cfRule type="containsText" dxfId="1383" priority="937" operator="containsText" text="허하나로">
      <formula>NOT(ISERROR(SEARCH("허하나로",H1102)))</formula>
    </cfRule>
    <cfRule type="containsText" dxfId="1382" priority="938" operator="containsText" text="한별">
      <formula>NOT(ISERROR(SEARCH("한별",H1102)))</formula>
    </cfRule>
    <cfRule type="containsText" dxfId="1381" priority="939" operator="containsText" text="정홍조">
      <formula>NOT(ISERROR(SEARCH("정홍조",H1102)))</formula>
    </cfRule>
    <cfRule type="containsText" dxfId="1380" priority="940" operator="containsText" text="김지윤">
      <formula>NOT(ISERROR(SEARCH("김지윤",H1102)))</formula>
    </cfRule>
    <cfRule type="containsText" dxfId="1379" priority="941" operator="containsText" text="전준영">
      <formula>NOT(ISERROR(SEARCH("전준영",H1102)))</formula>
    </cfRule>
    <cfRule type="containsText" dxfId="1378" priority="942" operator="containsText" text="차재성">
      <formula>NOT(ISERROR(SEARCH("차재성",H1102)))</formula>
    </cfRule>
  </conditionalFormatting>
  <conditionalFormatting sqref="J158">
    <cfRule type="containsText" dxfId="1377" priority="943" operator="containsText" text="허하나로">
      <formula>NOT(ISERROR(SEARCH("허하나로",H1126)))</formula>
    </cfRule>
    <cfRule type="containsText" dxfId="1376" priority="944" operator="containsText" text="한별">
      <formula>NOT(ISERROR(SEARCH("한별",H1126)))</formula>
    </cfRule>
    <cfRule type="containsText" dxfId="1375" priority="945" operator="containsText" text="정홍조">
      <formula>NOT(ISERROR(SEARCH("정홍조",H1126)))</formula>
    </cfRule>
    <cfRule type="containsText" dxfId="1374" priority="946" operator="containsText" text="김지윤">
      <formula>NOT(ISERROR(SEARCH("김지윤",H1126)))</formula>
    </cfRule>
    <cfRule type="containsText" dxfId="1373" priority="947" operator="containsText" text="전준영">
      <formula>NOT(ISERROR(SEARCH("전준영",H1126)))</formula>
    </cfRule>
    <cfRule type="containsText" dxfId="1372" priority="948" operator="containsText" text="차재성">
      <formula>NOT(ISERROR(SEARCH("차재성",H1126)))</formula>
    </cfRule>
  </conditionalFormatting>
  <conditionalFormatting sqref="J171">
    <cfRule type="containsText" dxfId="1371" priority="683" operator="containsText" text="허하나로">
      <formula>NOT(ISERROR(SEARCH("허하나로",J171)))</formula>
    </cfRule>
    <cfRule type="containsText" dxfId="1370" priority="684" operator="containsText" text="한별">
      <formula>NOT(ISERROR(SEARCH("한별",J171)))</formula>
    </cfRule>
    <cfRule type="containsText" dxfId="1369" priority="685" operator="containsText" text="정홍조">
      <formula>NOT(ISERROR(SEARCH("정홍조",J171)))</formula>
    </cfRule>
    <cfRule type="containsText" dxfId="1368" priority="686" operator="containsText" text="김지윤">
      <formula>NOT(ISERROR(SEARCH("김지윤",J171)))</formula>
    </cfRule>
    <cfRule type="containsText" dxfId="1367" priority="687" operator="containsText" text="전준영">
      <formula>NOT(ISERROR(SEARCH("전준영",J171)))</formula>
    </cfRule>
    <cfRule type="containsText" dxfId="1366" priority="688" operator="containsText" text="차재성">
      <formula>NOT(ISERROR(SEARCH("차재성",J171)))</formula>
    </cfRule>
  </conditionalFormatting>
  <conditionalFormatting sqref="J171">
    <cfRule type="containsText" dxfId="1365" priority="677" operator="containsText" text="허하나로">
      <formula>NOT(ISERROR(SEARCH("허하나로",J171)))</formula>
    </cfRule>
    <cfRule type="containsText" dxfId="1364" priority="678" operator="containsText" text="한별">
      <formula>NOT(ISERROR(SEARCH("한별",J171)))</formula>
    </cfRule>
    <cfRule type="containsText" dxfId="1363" priority="679" operator="containsText" text="정홍조">
      <formula>NOT(ISERROR(SEARCH("정홍조",J171)))</formula>
    </cfRule>
    <cfRule type="containsText" dxfId="1362" priority="680" operator="containsText" text="김지윤">
      <formula>NOT(ISERROR(SEARCH("김지윤",J171)))</formula>
    </cfRule>
    <cfRule type="containsText" dxfId="1361" priority="681" operator="containsText" text="전준영">
      <formula>NOT(ISERROR(SEARCH("전준영",J171)))</formula>
    </cfRule>
    <cfRule type="containsText" dxfId="1360" priority="682" operator="containsText" text="차재성">
      <formula>NOT(ISERROR(SEARCH("차재성",J171)))</formula>
    </cfRule>
  </conditionalFormatting>
  <conditionalFormatting sqref="J49:J50">
    <cfRule type="containsText" dxfId="1359" priority="949" operator="containsText" text="허하나로">
      <formula>NOT(ISERROR(SEARCH("허하나로",H991)))</formula>
    </cfRule>
    <cfRule type="containsText" dxfId="1358" priority="950" operator="containsText" text="한별">
      <formula>NOT(ISERROR(SEARCH("한별",H991)))</formula>
    </cfRule>
    <cfRule type="containsText" dxfId="1357" priority="951" operator="containsText" text="정홍조">
      <formula>NOT(ISERROR(SEARCH("정홍조",H991)))</formula>
    </cfRule>
    <cfRule type="containsText" dxfId="1356" priority="952" operator="containsText" text="김지윤">
      <formula>NOT(ISERROR(SEARCH("김지윤",H991)))</formula>
    </cfRule>
    <cfRule type="containsText" dxfId="1355" priority="953" operator="containsText" text="전준영">
      <formula>NOT(ISERROR(SEARCH("전준영",H991)))</formula>
    </cfRule>
    <cfRule type="containsText" dxfId="1354" priority="954" operator="containsText" text="차재성">
      <formula>NOT(ISERROR(SEARCH("차재성",H991)))</formula>
    </cfRule>
  </conditionalFormatting>
  <conditionalFormatting sqref="J119">
    <cfRule type="containsText" dxfId="1353" priority="659" operator="containsText" text="허하나로">
      <formula>NOT(ISERROR(SEARCH("허하나로",J119)))</formula>
    </cfRule>
    <cfRule type="containsText" dxfId="1352" priority="660" operator="containsText" text="한별">
      <formula>NOT(ISERROR(SEARCH("한별",J119)))</formula>
    </cfRule>
    <cfRule type="containsText" dxfId="1351" priority="661" operator="containsText" text="정홍조">
      <formula>NOT(ISERROR(SEARCH("정홍조",J119)))</formula>
    </cfRule>
    <cfRule type="containsText" dxfId="1350" priority="662" operator="containsText" text="김지윤">
      <formula>NOT(ISERROR(SEARCH("김지윤",J119)))</formula>
    </cfRule>
    <cfRule type="containsText" dxfId="1349" priority="663" operator="containsText" text="전준영">
      <formula>NOT(ISERROR(SEARCH("전준영",J119)))</formula>
    </cfRule>
    <cfRule type="containsText" dxfId="1348" priority="664" operator="containsText" text="차재성">
      <formula>NOT(ISERROR(SEARCH("차재성",J119)))</formula>
    </cfRule>
  </conditionalFormatting>
  <conditionalFormatting sqref="J131:J145">
    <cfRule type="containsText" dxfId="1347" priority="652" operator="containsText" text="김지윤">
      <formula>NOT(ISERROR(SEARCH("김지윤",J131)))</formula>
    </cfRule>
    <cfRule type="containsText" dxfId="1346" priority="653" operator="containsText" text="양길승">
      <formula>NOT(ISERROR(SEARCH("양길승",J131)))</formula>
    </cfRule>
    <cfRule type="containsText" dxfId="1345" priority="654" operator="containsText" text="정지철">
      <formula>NOT(ISERROR(SEARCH("정지철",J131)))</formula>
    </cfRule>
    <cfRule type="containsText" dxfId="1344" priority="655" operator="containsText" text="최민">
      <formula>NOT(ISERROR(SEARCH("최민",J131)))</formula>
    </cfRule>
    <cfRule type="containsText" dxfId="1343" priority="656" operator="containsText" text="허하나로">
      <formula>NOT(ISERROR(SEARCH("허하나로",J131)))</formula>
    </cfRule>
    <cfRule type="containsText" dxfId="1342" priority="657" operator="containsText" text="안은선">
      <formula>NOT(ISERROR(SEARCH("안은선",J131)))</formula>
    </cfRule>
    <cfRule type="containsText" dxfId="1341" priority="658" operator="containsText" text="전준영">
      <formula>NOT(ISERROR(SEARCH("전준영",J131)))</formula>
    </cfRule>
  </conditionalFormatting>
  <conditionalFormatting sqref="J159:J170">
    <cfRule type="containsText" dxfId="1340" priority="645" operator="containsText" text="김지윤">
      <formula>NOT(ISERROR(SEARCH("김지윤",J159)))</formula>
    </cfRule>
    <cfRule type="containsText" dxfId="1339" priority="646" operator="containsText" text="양길승">
      <formula>NOT(ISERROR(SEARCH("양길승",J159)))</formula>
    </cfRule>
    <cfRule type="containsText" dxfId="1338" priority="647" operator="containsText" text="정지철">
      <formula>NOT(ISERROR(SEARCH("정지철",J159)))</formula>
    </cfRule>
    <cfRule type="containsText" dxfId="1337" priority="648" operator="containsText" text="최민">
      <formula>NOT(ISERROR(SEARCH("최민",J159)))</formula>
    </cfRule>
    <cfRule type="containsText" dxfId="1336" priority="649" operator="containsText" text="허하나로">
      <formula>NOT(ISERROR(SEARCH("허하나로",J159)))</formula>
    </cfRule>
    <cfRule type="containsText" dxfId="1335" priority="650" operator="containsText" text="안은선">
      <formula>NOT(ISERROR(SEARCH("안은선",J159)))</formula>
    </cfRule>
    <cfRule type="containsText" dxfId="1334" priority="651" operator="containsText" text="전준영">
      <formula>NOT(ISERROR(SEARCH("전준영",J159)))</formula>
    </cfRule>
  </conditionalFormatting>
  <conditionalFormatting sqref="J185:J193">
    <cfRule type="containsText" dxfId="1333" priority="638" operator="containsText" text="김지윤">
      <formula>NOT(ISERROR(SEARCH("김지윤",J185)))</formula>
    </cfRule>
    <cfRule type="containsText" dxfId="1332" priority="639" operator="containsText" text="양길승">
      <formula>NOT(ISERROR(SEARCH("양길승",J185)))</formula>
    </cfRule>
    <cfRule type="containsText" dxfId="1331" priority="640" operator="containsText" text="정지철">
      <formula>NOT(ISERROR(SEARCH("정지철",J185)))</formula>
    </cfRule>
    <cfRule type="containsText" dxfId="1330" priority="641" operator="containsText" text="최민">
      <formula>NOT(ISERROR(SEARCH("최민",J185)))</formula>
    </cfRule>
    <cfRule type="containsText" dxfId="1329" priority="642" operator="containsText" text="허하나로">
      <formula>NOT(ISERROR(SEARCH("허하나로",J185)))</formula>
    </cfRule>
    <cfRule type="containsText" dxfId="1328" priority="643" operator="containsText" text="안은선">
      <formula>NOT(ISERROR(SEARCH("안은선",J185)))</formula>
    </cfRule>
    <cfRule type="containsText" dxfId="1327" priority="644" operator="containsText" text="전준영">
      <formula>NOT(ISERROR(SEARCH("전준영",J185)))</formula>
    </cfRule>
  </conditionalFormatting>
  <conditionalFormatting sqref="J201">
    <cfRule type="containsText" dxfId="1326" priority="955" operator="containsText" text="허하나로">
      <formula>NOT(ISERROR(SEARCH("허하나로",H1168)))</formula>
    </cfRule>
    <cfRule type="containsText" dxfId="1325" priority="956" operator="containsText" text="한별">
      <formula>NOT(ISERROR(SEARCH("한별",H1168)))</formula>
    </cfRule>
    <cfRule type="containsText" dxfId="1324" priority="957" operator="containsText" text="정홍조">
      <formula>NOT(ISERROR(SEARCH("정홍조",H1168)))</formula>
    </cfRule>
    <cfRule type="containsText" dxfId="1323" priority="958" operator="containsText" text="김지윤">
      <formula>NOT(ISERROR(SEARCH("김지윤",H1168)))</formula>
    </cfRule>
    <cfRule type="containsText" dxfId="1322" priority="959" operator="containsText" text="전준영">
      <formula>NOT(ISERROR(SEARCH("전준영",H1168)))</formula>
    </cfRule>
    <cfRule type="containsText" dxfId="1321" priority="960" operator="containsText" text="차재성">
      <formula>NOT(ISERROR(SEARCH("차재성",H1168)))</formula>
    </cfRule>
  </conditionalFormatting>
  <conditionalFormatting sqref="J202">
    <cfRule type="containsText" dxfId="1320" priority="631" operator="containsText" text="김지윤">
      <formula>NOT(ISERROR(SEARCH("김지윤",J202)))</formula>
    </cfRule>
    <cfRule type="containsText" dxfId="1319" priority="632" operator="containsText" text="양길승">
      <formula>NOT(ISERROR(SEARCH("양길승",J202)))</formula>
    </cfRule>
    <cfRule type="containsText" dxfId="1318" priority="633" operator="containsText" text="정지철">
      <formula>NOT(ISERROR(SEARCH("정지철",J202)))</formula>
    </cfRule>
    <cfRule type="containsText" dxfId="1317" priority="634" operator="containsText" text="최민">
      <formula>NOT(ISERROR(SEARCH("최민",J202)))</formula>
    </cfRule>
    <cfRule type="containsText" dxfId="1316" priority="635" operator="containsText" text="허하나로">
      <formula>NOT(ISERROR(SEARCH("허하나로",J202)))</formula>
    </cfRule>
    <cfRule type="containsText" dxfId="1315" priority="636" operator="containsText" text="안은선">
      <formula>NOT(ISERROR(SEARCH("안은선",J202)))</formula>
    </cfRule>
    <cfRule type="containsText" dxfId="1314" priority="637" operator="containsText" text="전준영">
      <formula>NOT(ISERROR(SEARCH("전준영",J202)))</formula>
    </cfRule>
  </conditionalFormatting>
  <conditionalFormatting sqref="J203:J204">
    <cfRule type="containsText" dxfId="1313" priority="961" operator="containsText" text="허하나로">
      <formula>NOT(ISERROR(SEARCH("허하나로",H1169)))</formula>
    </cfRule>
    <cfRule type="containsText" dxfId="1312" priority="962" operator="containsText" text="한별">
      <formula>NOT(ISERROR(SEARCH("한별",H1169)))</formula>
    </cfRule>
    <cfRule type="containsText" dxfId="1311" priority="963" operator="containsText" text="정홍조">
      <formula>NOT(ISERROR(SEARCH("정홍조",H1169)))</formula>
    </cfRule>
    <cfRule type="containsText" dxfId="1310" priority="964" operator="containsText" text="김지윤">
      <formula>NOT(ISERROR(SEARCH("김지윤",H1169)))</formula>
    </cfRule>
    <cfRule type="containsText" dxfId="1309" priority="965" operator="containsText" text="전준영">
      <formula>NOT(ISERROR(SEARCH("전준영",H1169)))</formula>
    </cfRule>
    <cfRule type="containsText" dxfId="1308" priority="966" operator="containsText" text="차재성">
      <formula>NOT(ISERROR(SEARCH("차재성",H1169)))</formula>
    </cfRule>
  </conditionalFormatting>
  <conditionalFormatting sqref="J207:J208">
    <cfRule type="containsText" dxfId="1307" priority="967" operator="containsText" text="허하나로">
      <formula>NOT(ISERROR(SEARCH("허하나로",H1179)))</formula>
    </cfRule>
    <cfRule type="containsText" dxfId="1306" priority="968" operator="containsText" text="한별">
      <formula>NOT(ISERROR(SEARCH("한별",H1179)))</formula>
    </cfRule>
    <cfRule type="containsText" dxfId="1305" priority="969" operator="containsText" text="정홍조">
      <formula>NOT(ISERROR(SEARCH("정홍조",H1179)))</formula>
    </cfRule>
    <cfRule type="containsText" dxfId="1304" priority="970" operator="containsText" text="김지윤">
      <formula>NOT(ISERROR(SEARCH("김지윤",H1179)))</formula>
    </cfRule>
    <cfRule type="containsText" dxfId="1303" priority="971" operator="containsText" text="전준영">
      <formula>NOT(ISERROR(SEARCH("전준영",H1179)))</formula>
    </cfRule>
    <cfRule type="containsText" dxfId="1302" priority="972" operator="containsText" text="차재성">
      <formula>NOT(ISERROR(SEARCH("차재성",H1179)))</formula>
    </cfRule>
  </conditionalFormatting>
  <conditionalFormatting sqref="J228">
    <cfRule type="containsText" dxfId="1301" priority="617" operator="containsText" text="김지윤">
      <formula>NOT(ISERROR(SEARCH("김지윤",J228)))</formula>
    </cfRule>
    <cfRule type="containsText" dxfId="1300" priority="618" operator="containsText" text="양길승">
      <formula>NOT(ISERROR(SEARCH("양길승",J228)))</formula>
    </cfRule>
    <cfRule type="containsText" dxfId="1299" priority="619" operator="containsText" text="정지철">
      <formula>NOT(ISERROR(SEARCH("정지철",J228)))</formula>
    </cfRule>
    <cfRule type="containsText" dxfId="1298" priority="620" operator="containsText" text="최민">
      <formula>NOT(ISERROR(SEARCH("최민",J228)))</formula>
    </cfRule>
    <cfRule type="containsText" dxfId="1297" priority="621" operator="containsText" text="허하나로">
      <formula>NOT(ISERROR(SEARCH("허하나로",J228)))</formula>
    </cfRule>
    <cfRule type="containsText" dxfId="1296" priority="622" operator="containsText" text="안은선">
      <formula>NOT(ISERROR(SEARCH("안은선",J228)))</formula>
    </cfRule>
    <cfRule type="containsText" dxfId="1295" priority="623" operator="containsText" text="전준영">
      <formula>NOT(ISERROR(SEARCH("전준영",J228)))</formula>
    </cfRule>
  </conditionalFormatting>
  <conditionalFormatting sqref="J526:J528">
    <cfRule type="containsText" dxfId="1294" priority="610" operator="containsText" text="김지윤">
      <formula>NOT(ISERROR(SEARCH("김지윤",J526)))</formula>
    </cfRule>
    <cfRule type="containsText" dxfId="1293" priority="611" operator="containsText" text="양길승">
      <formula>NOT(ISERROR(SEARCH("양길승",J526)))</formula>
    </cfRule>
    <cfRule type="containsText" dxfId="1292" priority="612" operator="containsText" text="정지철">
      <formula>NOT(ISERROR(SEARCH("정지철",J526)))</formula>
    </cfRule>
    <cfRule type="containsText" dxfId="1291" priority="613" operator="containsText" text="최민">
      <formula>NOT(ISERROR(SEARCH("최민",J526)))</formula>
    </cfRule>
    <cfRule type="containsText" dxfId="1290" priority="614" operator="containsText" text="허하나로">
      <formula>NOT(ISERROR(SEARCH("허하나로",J526)))</formula>
    </cfRule>
    <cfRule type="containsText" dxfId="1289" priority="615" operator="containsText" text="안은선">
      <formula>NOT(ISERROR(SEARCH("안은선",J526)))</formula>
    </cfRule>
    <cfRule type="containsText" dxfId="1288" priority="616" operator="containsText" text="전준영">
      <formula>NOT(ISERROR(SEARCH("전준영",J526)))</formula>
    </cfRule>
  </conditionalFormatting>
  <conditionalFormatting sqref="J510">
    <cfRule type="containsText" dxfId="1287" priority="583" operator="containsText" text="허하나로">
      <formula>NOT(ISERROR(SEARCH("허하나로",H952)))</formula>
    </cfRule>
    <cfRule type="containsText" dxfId="1286" priority="584" operator="containsText" text="한별">
      <formula>NOT(ISERROR(SEARCH("한별",H952)))</formula>
    </cfRule>
    <cfRule type="containsText" dxfId="1285" priority="585" operator="containsText" text="정홍조">
      <formula>NOT(ISERROR(SEARCH("정홍조",H952)))</formula>
    </cfRule>
    <cfRule type="containsText" dxfId="1284" priority="586" operator="containsText" text="김지윤">
      <formula>NOT(ISERROR(SEARCH("김지윤",H952)))</formula>
    </cfRule>
    <cfRule type="containsText" dxfId="1283" priority="587" operator="containsText" text="전준영">
      <formula>NOT(ISERROR(SEARCH("전준영",H952)))</formula>
    </cfRule>
    <cfRule type="containsText" dxfId="1282" priority="588" operator="containsText" text="차재성">
      <formula>NOT(ISERROR(SEARCH("차재성",H952)))</formula>
    </cfRule>
  </conditionalFormatting>
  <conditionalFormatting sqref="J68:J71">
    <cfRule type="containsText" dxfId="1281" priority="973" operator="containsText" text="허하나로">
      <formula>NOT(ISERROR(SEARCH("허하나로",H1020)))</formula>
    </cfRule>
    <cfRule type="containsText" dxfId="1280" priority="974" operator="containsText" text="한별">
      <formula>NOT(ISERROR(SEARCH("한별",H1020)))</formula>
    </cfRule>
    <cfRule type="containsText" dxfId="1279" priority="975" operator="containsText" text="정홍조">
      <formula>NOT(ISERROR(SEARCH("정홍조",H1020)))</formula>
    </cfRule>
    <cfRule type="containsText" dxfId="1278" priority="976" operator="containsText" text="김지윤">
      <formula>NOT(ISERROR(SEARCH("김지윤",H1020)))</formula>
    </cfRule>
    <cfRule type="containsText" dxfId="1277" priority="977" operator="containsText" text="전준영">
      <formula>NOT(ISERROR(SEARCH("전준영",H1020)))</formula>
    </cfRule>
    <cfRule type="containsText" dxfId="1276" priority="978" operator="containsText" text="차재성">
      <formula>NOT(ISERROR(SEARCH("차재성",H1020)))</formula>
    </cfRule>
  </conditionalFormatting>
  <conditionalFormatting sqref="J235:J236">
    <cfRule type="containsText" dxfId="1275" priority="979" operator="containsText" text="허하나로">
      <formula>NOT(ISERROR(SEARCH("허하나로",H1217)))</formula>
    </cfRule>
    <cfRule type="containsText" dxfId="1274" priority="980" operator="containsText" text="한별">
      <formula>NOT(ISERROR(SEARCH("한별",H1217)))</formula>
    </cfRule>
    <cfRule type="containsText" dxfId="1273" priority="981" operator="containsText" text="정홍조">
      <formula>NOT(ISERROR(SEARCH("정홍조",H1217)))</formula>
    </cfRule>
    <cfRule type="containsText" dxfId="1272" priority="982" operator="containsText" text="김지윤">
      <formula>NOT(ISERROR(SEARCH("김지윤",H1217)))</formula>
    </cfRule>
    <cfRule type="containsText" dxfId="1271" priority="983" operator="containsText" text="전준영">
      <formula>NOT(ISERROR(SEARCH("전준영",H1217)))</formula>
    </cfRule>
    <cfRule type="containsText" dxfId="1270" priority="984" operator="containsText" text="차재성">
      <formula>NOT(ISERROR(SEARCH("차재성",H1217)))</formula>
    </cfRule>
  </conditionalFormatting>
  <conditionalFormatting sqref="J244">
    <cfRule type="containsText" dxfId="1269" priority="576" operator="containsText" text="김지윤">
      <formula>NOT(ISERROR(SEARCH("김지윤",J244)))</formula>
    </cfRule>
    <cfRule type="containsText" dxfId="1268" priority="577" operator="containsText" text="양길승">
      <formula>NOT(ISERROR(SEARCH("양길승",J244)))</formula>
    </cfRule>
    <cfRule type="containsText" dxfId="1267" priority="578" operator="containsText" text="정지철">
      <formula>NOT(ISERROR(SEARCH("정지철",J244)))</formula>
    </cfRule>
    <cfRule type="containsText" dxfId="1266" priority="579" operator="containsText" text="최민">
      <formula>NOT(ISERROR(SEARCH("최민",J244)))</formula>
    </cfRule>
    <cfRule type="containsText" dxfId="1265" priority="580" operator="containsText" text="허하나로">
      <formula>NOT(ISERROR(SEARCH("허하나로",J244)))</formula>
    </cfRule>
    <cfRule type="containsText" dxfId="1264" priority="581" operator="containsText" text="안은선">
      <formula>NOT(ISERROR(SEARCH("안은선",J244)))</formula>
    </cfRule>
    <cfRule type="containsText" dxfId="1263" priority="582" operator="containsText" text="전준영">
      <formula>NOT(ISERROR(SEARCH("전준영",J244)))</formula>
    </cfRule>
  </conditionalFormatting>
  <conditionalFormatting sqref="J49:J50">
    <cfRule type="containsText" dxfId="1262" priority="985" operator="containsText" text="허하나로">
      <formula>NOT(ISERROR(SEARCH("허하나로",H989)))</formula>
    </cfRule>
    <cfRule type="containsText" dxfId="1261" priority="986" operator="containsText" text="한별">
      <formula>NOT(ISERROR(SEARCH("한별",H989)))</formula>
    </cfRule>
    <cfRule type="containsText" dxfId="1260" priority="987" operator="containsText" text="정홍조">
      <formula>NOT(ISERROR(SEARCH("정홍조",H989)))</formula>
    </cfRule>
    <cfRule type="containsText" dxfId="1259" priority="988" operator="containsText" text="김지윤">
      <formula>NOT(ISERROR(SEARCH("김지윤",H989)))</formula>
    </cfRule>
    <cfRule type="containsText" dxfId="1258" priority="989" operator="containsText" text="전준영">
      <formula>NOT(ISERROR(SEARCH("전준영",H989)))</formula>
    </cfRule>
    <cfRule type="containsText" dxfId="1257" priority="990" operator="containsText" text="차재성">
      <formula>NOT(ISERROR(SEARCH("차재성",H989)))</formula>
    </cfRule>
  </conditionalFormatting>
  <conditionalFormatting sqref="J120">
    <cfRule type="containsText" dxfId="1256" priority="991" operator="containsText" text="허하나로">
      <formula>NOT(ISERROR(SEARCH("허하나로",H1089)))</formula>
    </cfRule>
    <cfRule type="containsText" dxfId="1255" priority="992" operator="containsText" text="한별">
      <formula>NOT(ISERROR(SEARCH("한별",H1089)))</formula>
    </cfRule>
    <cfRule type="containsText" dxfId="1254" priority="993" operator="containsText" text="정홍조">
      <formula>NOT(ISERROR(SEARCH("정홍조",H1089)))</formula>
    </cfRule>
    <cfRule type="containsText" dxfId="1253" priority="994" operator="containsText" text="김지윤">
      <formula>NOT(ISERROR(SEARCH("김지윤",H1089)))</formula>
    </cfRule>
    <cfRule type="containsText" dxfId="1252" priority="995" operator="containsText" text="전준영">
      <formula>NOT(ISERROR(SEARCH("전준영",H1089)))</formula>
    </cfRule>
    <cfRule type="containsText" dxfId="1251" priority="996" operator="containsText" text="차재성">
      <formula>NOT(ISERROR(SEARCH("차재성",H1089)))</formula>
    </cfRule>
  </conditionalFormatting>
  <conditionalFormatting sqref="J225">
    <cfRule type="containsText" dxfId="1250" priority="548" operator="containsText" text="김지윤">
      <formula>NOT(ISERROR(SEARCH("김지윤",J225)))</formula>
    </cfRule>
    <cfRule type="containsText" dxfId="1249" priority="549" operator="containsText" text="양길승">
      <formula>NOT(ISERROR(SEARCH("양길승",J225)))</formula>
    </cfRule>
    <cfRule type="containsText" dxfId="1248" priority="550" operator="containsText" text="정지철">
      <formula>NOT(ISERROR(SEARCH("정지철",J225)))</formula>
    </cfRule>
    <cfRule type="containsText" dxfId="1247" priority="551" operator="containsText" text="최민">
      <formula>NOT(ISERROR(SEARCH("최민",J225)))</formula>
    </cfRule>
    <cfRule type="containsText" dxfId="1246" priority="552" operator="containsText" text="허하나로">
      <formula>NOT(ISERROR(SEARCH("허하나로",J225)))</formula>
    </cfRule>
    <cfRule type="containsText" dxfId="1245" priority="553" operator="containsText" text="안은선">
      <formula>NOT(ISERROR(SEARCH("안은선",J225)))</formula>
    </cfRule>
    <cfRule type="containsText" dxfId="1244" priority="554" operator="containsText" text="전준영">
      <formula>NOT(ISERROR(SEARCH("전준영",J225)))</formula>
    </cfRule>
  </conditionalFormatting>
  <conditionalFormatting sqref="J256">
    <cfRule type="containsText" dxfId="1243" priority="542" operator="containsText" text="허하나로">
      <formula>NOT(ISERROR(SEARCH("허하나로",H1231)))</formula>
    </cfRule>
    <cfRule type="containsText" dxfId="1242" priority="543" operator="containsText" text="한별">
      <formula>NOT(ISERROR(SEARCH("한별",H1231)))</formula>
    </cfRule>
    <cfRule type="containsText" dxfId="1241" priority="544" operator="containsText" text="정홍조">
      <formula>NOT(ISERROR(SEARCH("정홍조",H1231)))</formula>
    </cfRule>
    <cfRule type="containsText" dxfId="1240" priority="545" operator="containsText" text="김지윤">
      <formula>NOT(ISERROR(SEARCH("김지윤",H1231)))</formula>
    </cfRule>
    <cfRule type="containsText" dxfId="1239" priority="546" operator="containsText" text="전준영">
      <formula>NOT(ISERROR(SEARCH("전준영",H1231)))</formula>
    </cfRule>
    <cfRule type="containsText" dxfId="1238" priority="547" operator="containsText" text="차재성">
      <formula>NOT(ISERROR(SEARCH("차재성",H1231)))</formula>
    </cfRule>
  </conditionalFormatting>
  <conditionalFormatting sqref="J257">
    <cfRule type="containsText" dxfId="1237" priority="536" operator="containsText" text="허하나로">
      <formula>NOT(ISERROR(SEARCH("허하나로",H1232)))</formula>
    </cfRule>
    <cfRule type="containsText" dxfId="1236" priority="537" operator="containsText" text="한별">
      <formula>NOT(ISERROR(SEARCH("한별",H1232)))</formula>
    </cfRule>
    <cfRule type="containsText" dxfId="1235" priority="538" operator="containsText" text="정홍조">
      <formula>NOT(ISERROR(SEARCH("정홍조",H1232)))</formula>
    </cfRule>
    <cfRule type="containsText" dxfId="1234" priority="539" operator="containsText" text="김지윤">
      <formula>NOT(ISERROR(SEARCH("김지윤",H1232)))</formula>
    </cfRule>
    <cfRule type="containsText" dxfId="1233" priority="540" operator="containsText" text="전준영">
      <formula>NOT(ISERROR(SEARCH("전준영",H1232)))</formula>
    </cfRule>
    <cfRule type="containsText" dxfId="1232" priority="541" operator="containsText" text="차재성">
      <formula>NOT(ISERROR(SEARCH("차재성",H1232)))</formula>
    </cfRule>
  </conditionalFormatting>
  <conditionalFormatting sqref="J519">
    <cfRule type="containsText" dxfId="1231" priority="1003" operator="containsText" text="허하나로">
      <formula>NOT(ISERROR(SEARCH("허하나로",H1234)))</formula>
    </cfRule>
    <cfRule type="containsText" dxfId="1230" priority="1004" operator="containsText" text="한별">
      <formula>NOT(ISERROR(SEARCH("한별",H1234)))</formula>
    </cfRule>
    <cfRule type="containsText" dxfId="1229" priority="1005" operator="containsText" text="정홍조">
      <formula>NOT(ISERROR(SEARCH("정홍조",H1234)))</formula>
    </cfRule>
    <cfRule type="containsText" dxfId="1228" priority="1006" operator="containsText" text="김지윤">
      <formula>NOT(ISERROR(SEARCH("김지윤",H1234)))</formula>
    </cfRule>
    <cfRule type="containsText" dxfId="1227" priority="1007" operator="containsText" text="전준영">
      <formula>NOT(ISERROR(SEARCH("전준영",H1234)))</formula>
    </cfRule>
    <cfRule type="containsText" dxfId="1226" priority="1008" operator="containsText" text="차재성">
      <formula>NOT(ISERROR(SEARCH("차재성",H1234)))</formula>
    </cfRule>
  </conditionalFormatting>
  <conditionalFormatting sqref="J511">
    <cfRule type="containsText" dxfId="1225" priority="1009" operator="containsText" text="허하나로">
      <formula>NOT(ISERROR(SEARCH("허하나로",H948)))</formula>
    </cfRule>
    <cfRule type="containsText" dxfId="1224" priority="1010" operator="containsText" text="한별">
      <formula>NOT(ISERROR(SEARCH("한별",H948)))</formula>
    </cfRule>
    <cfRule type="containsText" dxfId="1223" priority="1011" operator="containsText" text="정홍조">
      <formula>NOT(ISERROR(SEARCH("정홍조",H948)))</formula>
    </cfRule>
    <cfRule type="containsText" dxfId="1222" priority="1012" operator="containsText" text="김지윤">
      <formula>NOT(ISERROR(SEARCH("김지윤",H948)))</formula>
    </cfRule>
    <cfRule type="containsText" dxfId="1221" priority="1013" operator="containsText" text="전준영">
      <formula>NOT(ISERROR(SEARCH("전준영",H948)))</formula>
    </cfRule>
    <cfRule type="containsText" dxfId="1220" priority="1014" operator="containsText" text="차재성">
      <formula>NOT(ISERROR(SEARCH("차재성",H948)))</formula>
    </cfRule>
  </conditionalFormatting>
  <conditionalFormatting sqref="J146">
    <cfRule type="containsText" dxfId="1219" priority="1015" operator="containsText" text="허하나로">
      <formula>NOT(ISERROR(SEARCH("허하나로",H1110)))</formula>
    </cfRule>
    <cfRule type="containsText" dxfId="1218" priority="1016" operator="containsText" text="한별">
      <formula>NOT(ISERROR(SEARCH("한별",H1110)))</formula>
    </cfRule>
    <cfRule type="containsText" dxfId="1217" priority="1017" operator="containsText" text="정홍조">
      <formula>NOT(ISERROR(SEARCH("정홍조",H1110)))</formula>
    </cfRule>
    <cfRule type="containsText" dxfId="1216" priority="1018" operator="containsText" text="김지윤">
      <formula>NOT(ISERROR(SEARCH("김지윤",H1110)))</formula>
    </cfRule>
    <cfRule type="containsText" dxfId="1215" priority="1019" operator="containsText" text="전준영">
      <formula>NOT(ISERROR(SEARCH("전준영",H1110)))</formula>
    </cfRule>
    <cfRule type="containsText" dxfId="1214" priority="1020" operator="containsText" text="차재성">
      <formula>NOT(ISERROR(SEARCH("차재성",H1110)))</formula>
    </cfRule>
  </conditionalFormatting>
  <conditionalFormatting sqref="J310">
    <cfRule type="containsText" dxfId="1213" priority="1021" operator="containsText" text="허하나로">
      <formula>NOT(ISERROR(SEARCH("허하나로",H758)))</formula>
    </cfRule>
    <cfRule type="containsText" dxfId="1212" priority="1022" operator="containsText" text="한별">
      <formula>NOT(ISERROR(SEARCH("한별",H758)))</formula>
    </cfRule>
    <cfRule type="containsText" dxfId="1211" priority="1023" operator="containsText" text="정홍조">
      <formula>NOT(ISERROR(SEARCH("정홍조",H758)))</formula>
    </cfRule>
    <cfRule type="containsText" dxfId="1210" priority="1024" operator="containsText" text="김지윤">
      <formula>NOT(ISERROR(SEARCH("김지윤",H758)))</formula>
    </cfRule>
    <cfRule type="containsText" dxfId="1209" priority="1025" operator="containsText" text="전준영">
      <formula>NOT(ISERROR(SEARCH("전준영",H758)))</formula>
    </cfRule>
    <cfRule type="containsText" dxfId="1208" priority="1026" operator="containsText" text="차재성">
      <formula>NOT(ISERROR(SEARCH("차재성",H758)))</formula>
    </cfRule>
  </conditionalFormatting>
  <conditionalFormatting sqref="J312:J313">
    <cfRule type="containsText" dxfId="1207" priority="1027" operator="containsText" text="허하나로">
      <formula>NOT(ISERROR(SEARCH("허하나로",H759)))</formula>
    </cfRule>
    <cfRule type="containsText" dxfId="1206" priority="1028" operator="containsText" text="한별">
      <formula>NOT(ISERROR(SEARCH("한별",H759)))</formula>
    </cfRule>
    <cfRule type="containsText" dxfId="1205" priority="1029" operator="containsText" text="정홍조">
      <formula>NOT(ISERROR(SEARCH("정홍조",H759)))</formula>
    </cfRule>
    <cfRule type="containsText" dxfId="1204" priority="1030" operator="containsText" text="김지윤">
      <formula>NOT(ISERROR(SEARCH("김지윤",H759)))</formula>
    </cfRule>
    <cfRule type="containsText" dxfId="1203" priority="1031" operator="containsText" text="전준영">
      <formula>NOT(ISERROR(SEARCH("전준영",H759)))</formula>
    </cfRule>
    <cfRule type="containsText" dxfId="1202" priority="1032" operator="containsText" text="차재성">
      <formula>NOT(ISERROR(SEARCH("차재성",H759)))</formula>
    </cfRule>
  </conditionalFormatting>
  <conditionalFormatting sqref="J1">
    <cfRule type="containsText" dxfId="1201" priority="1033" operator="containsText" text="허하나로">
      <formula>NOT(ISERROR(SEARCH("허하나로",H751)))</formula>
    </cfRule>
    <cfRule type="containsText" dxfId="1200" priority="1034" operator="containsText" text="한별">
      <formula>NOT(ISERROR(SEARCH("한별",H751)))</formula>
    </cfRule>
    <cfRule type="containsText" dxfId="1199" priority="1035" operator="containsText" text="정홍조">
      <formula>NOT(ISERROR(SEARCH("정홍조",H751)))</formula>
    </cfRule>
    <cfRule type="containsText" dxfId="1198" priority="1036" operator="containsText" text="김지윤">
      <formula>NOT(ISERROR(SEARCH("김지윤",H751)))</formula>
    </cfRule>
    <cfRule type="containsText" dxfId="1197" priority="1037" operator="containsText" text="전준영">
      <formula>NOT(ISERROR(SEARCH("전준영",H751)))</formula>
    </cfRule>
    <cfRule type="containsText" dxfId="1196" priority="1038" operator="containsText" text="차재성">
      <formula>NOT(ISERROR(SEARCH("차재성",H751)))</formula>
    </cfRule>
  </conditionalFormatting>
  <conditionalFormatting sqref="J2:J6">
    <cfRule type="containsText" dxfId="1195" priority="1039" operator="containsText" text="허하나로">
      <formula>NOT(ISERROR(SEARCH("허하나로",H753)))</formula>
    </cfRule>
    <cfRule type="containsText" dxfId="1194" priority="1040" operator="containsText" text="한별">
      <formula>NOT(ISERROR(SEARCH("한별",H753)))</formula>
    </cfRule>
    <cfRule type="containsText" dxfId="1193" priority="1041" operator="containsText" text="정홍조">
      <formula>NOT(ISERROR(SEARCH("정홍조",H753)))</formula>
    </cfRule>
    <cfRule type="containsText" dxfId="1192" priority="1042" operator="containsText" text="김지윤">
      <formula>NOT(ISERROR(SEARCH("김지윤",H753)))</formula>
    </cfRule>
    <cfRule type="containsText" dxfId="1191" priority="1043" operator="containsText" text="전준영">
      <formula>NOT(ISERROR(SEARCH("전준영",H753)))</formula>
    </cfRule>
    <cfRule type="containsText" dxfId="1190" priority="1044" operator="containsText" text="차재성">
      <formula>NOT(ISERROR(SEARCH("차재성",H753)))</formula>
    </cfRule>
  </conditionalFormatting>
  <conditionalFormatting sqref="J7">
    <cfRule type="containsText" dxfId="1189" priority="433" operator="containsText" text="허하나로">
      <formula>NOT(ISERROR(SEARCH("허하나로",H757)))</formula>
    </cfRule>
    <cfRule type="containsText" dxfId="1188" priority="434" operator="containsText" text="한별">
      <formula>NOT(ISERROR(SEARCH("한별",H757)))</formula>
    </cfRule>
    <cfRule type="containsText" dxfId="1187" priority="435" operator="containsText" text="정홍조">
      <formula>NOT(ISERROR(SEARCH("정홍조",H757)))</formula>
    </cfRule>
    <cfRule type="containsText" dxfId="1186" priority="436" operator="containsText" text="김지윤">
      <formula>NOT(ISERROR(SEARCH("김지윤",H757)))</formula>
    </cfRule>
    <cfRule type="containsText" dxfId="1185" priority="437" operator="containsText" text="전준영">
      <formula>NOT(ISERROR(SEARCH("전준영",H757)))</formula>
    </cfRule>
    <cfRule type="containsText" dxfId="1184" priority="438" operator="containsText" text="차재성">
      <formula>NOT(ISERROR(SEARCH("차재성",H757)))</formula>
    </cfRule>
  </conditionalFormatting>
  <conditionalFormatting sqref="J128:J129">
    <cfRule type="containsText" dxfId="1183" priority="1045" operator="containsText" text="허하나로">
      <formula>NOT(ISERROR(SEARCH("허하나로",H1096)))</formula>
    </cfRule>
    <cfRule type="containsText" dxfId="1182" priority="1046" operator="containsText" text="한별">
      <formula>NOT(ISERROR(SEARCH("한별",H1096)))</formula>
    </cfRule>
    <cfRule type="containsText" dxfId="1181" priority="1047" operator="containsText" text="정홍조">
      <formula>NOT(ISERROR(SEARCH("정홍조",H1096)))</formula>
    </cfRule>
    <cfRule type="containsText" dxfId="1180" priority="1048" operator="containsText" text="김지윤">
      <formula>NOT(ISERROR(SEARCH("김지윤",H1096)))</formula>
    </cfRule>
    <cfRule type="containsText" dxfId="1179" priority="1049" operator="containsText" text="전준영">
      <formula>NOT(ISERROR(SEARCH("전준영",H1096)))</formula>
    </cfRule>
    <cfRule type="containsText" dxfId="1178" priority="1050" operator="containsText" text="차재성">
      <formula>NOT(ISERROR(SEARCH("차재성",H1096)))</formula>
    </cfRule>
  </conditionalFormatting>
  <conditionalFormatting sqref="J273">
    <cfRule type="containsText" dxfId="1177" priority="421" operator="containsText" text="허하나로">
      <formula>NOT(ISERROR(SEARCH("허하나로",H1293)))</formula>
    </cfRule>
    <cfRule type="containsText" dxfId="1176" priority="422" operator="containsText" text="한별">
      <formula>NOT(ISERROR(SEARCH("한별",H1293)))</formula>
    </cfRule>
    <cfRule type="containsText" dxfId="1175" priority="423" operator="containsText" text="정홍조">
      <formula>NOT(ISERROR(SEARCH("정홍조",H1293)))</formula>
    </cfRule>
    <cfRule type="containsText" dxfId="1174" priority="424" operator="containsText" text="김지윤">
      <formula>NOT(ISERROR(SEARCH("김지윤",H1293)))</formula>
    </cfRule>
    <cfRule type="containsText" dxfId="1173" priority="425" operator="containsText" text="전준영">
      <formula>NOT(ISERROR(SEARCH("전준영",H1293)))</formula>
    </cfRule>
    <cfRule type="containsText" dxfId="1172" priority="426" operator="containsText" text="차재성">
      <formula>NOT(ISERROR(SEARCH("차재성",H1293)))</formula>
    </cfRule>
  </conditionalFormatting>
  <conditionalFormatting sqref="J261">
    <cfRule type="containsText" dxfId="1171" priority="427" operator="containsText" text="허하나로">
      <formula>NOT(ISERROR(SEARCH("허하나로",H1260)))</formula>
    </cfRule>
    <cfRule type="containsText" dxfId="1170" priority="428" operator="containsText" text="한별">
      <formula>NOT(ISERROR(SEARCH("한별",H1260)))</formula>
    </cfRule>
    <cfRule type="containsText" dxfId="1169" priority="429" operator="containsText" text="정홍조">
      <formula>NOT(ISERROR(SEARCH("정홍조",H1260)))</formula>
    </cfRule>
    <cfRule type="containsText" dxfId="1168" priority="430" operator="containsText" text="김지윤">
      <formula>NOT(ISERROR(SEARCH("김지윤",H1260)))</formula>
    </cfRule>
    <cfRule type="containsText" dxfId="1167" priority="431" operator="containsText" text="전준영">
      <formula>NOT(ISERROR(SEARCH("전준영",H1260)))</formula>
    </cfRule>
    <cfRule type="containsText" dxfId="1166" priority="432" operator="containsText" text="차재성">
      <formula>NOT(ISERROR(SEARCH("차재성",H1260)))</formula>
    </cfRule>
  </conditionalFormatting>
  <conditionalFormatting sqref="J274:J276">
    <cfRule type="containsText" dxfId="1165" priority="409" operator="containsText" text="허하나로">
      <formula>NOT(ISERROR(SEARCH("허하나로",H1286)))</formula>
    </cfRule>
    <cfRule type="containsText" dxfId="1164" priority="410" operator="containsText" text="한별">
      <formula>NOT(ISERROR(SEARCH("한별",H1286)))</formula>
    </cfRule>
    <cfRule type="containsText" dxfId="1163" priority="411" operator="containsText" text="정홍조">
      <formula>NOT(ISERROR(SEARCH("정홍조",H1286)))</formula>
    </cfRule>
    <cfRule type="containsText" dxfId="1162" priority="412" operator="containsText" text="김지윤">
      <formula>NOT(ISERROR(SEARCH("김지윤",H1286)))</formula>
    </cfRule>
    <cfRule type="containsText" dxfId="1161" priority="413" operator="containsText" text="전준영">
      <formula>NOT(ISERROR(SEARCH("전준영",H1286)))</formula>
    </cfRule>
    <cfRule type="containsText" dxfId="1160" priority="414" operator="containsText" text="차재성">
      <formula>NOT(ISERROR(SEARCH("차재성",H1286)))</formula>
    </cfRule>
  </conditionalFormatting>
  <conditionalFormatting sqref="J278">
    <cfRule type="containsText" dxfId="1159" priority="415" operator="containsText" text="허하나로">
      <formula>NOT(ISERROR(SEARCH("허하나로",H1290)))</formula>
    </cfRule>
    <cfRule type="containsText" dxfId="1158" priority="416" operator="containsText" text="한별">
      <formula>NOT(ISERROR(SEARCH("한별",H1290)))</formula>
    </cfRule>
    <cfRule type="containsText" dxfId="1157" priority="417" operator="containsText" text="정홍조">
      <formula>NOT(ISERROR(SEARCH("정홍조",H1290)))</formula>
    </cfRule>
    <cfRule type="containsText" dxfId="1156" priority="418" operator="containsText" text="김지윤">
      <formula>NOT(ISERROR(SEARCH("김지윤",H1290)))</formula>
    </cfRule>
    <cfRule type="containsText" dxfId="1155" priority="419" operator="containsText" text="전준영">
      <formula>NOT(ISERROR(SEARCH("전준영",H1290)))</formula>
    </cfRule>
    <cfRule type="containsText" dxfId="1154" priority="420" operator="containsText" text="차재성">
      <formula>NOT(ISERROR(SEARCH("차재성",H1290)))</formula>
    </cfRule>
  </conditionalFormatting>
  <conditionalFormatting sqref="J287">
    <cfRule type="containsText" dxfId="1153" priority="384" operator="containsText" text="허하나로">
      <formula>NOT(ISERROR(SEARCH("허하나로",J287)))</formula>
    </cfRule>
    <cfRule type="containsText" dxfId="1152" priority="385" operator="containsText" text="한별">
      <formula>NOT(ISERROR(SEARCH("한별",J287)))</formula>
    </cfRule>
    <cfRule type="containsText" dxfId="1151" priority="386" operator="containsText" text="정홍조">
      <formula>NOT(ISERROR(SEARCH("정홍조",J287)))</formula>
    </cfRule>
    <cfRule type="containsText" dxfId="1150" priority="387" operator="containsText" text="김지윤">
      <formula>NOT(ISERROR(SEARCH("김지윤",J287)))</formula>
    </cfRule>
    <cfRule type="containsText" dxfId="1149" priority="388" operator="containsText" text="전준영">
      <formula>NOT(ISERROR(SEARCH("전준영",J287)))</formula>
    </cfRule>
    <cfRule type="containsText" dxfId="1148" priority="389" operator="containsText" text="차재성">
      <formula>NOT(ISERROR(SEARCH("차재성",J287)))</formula>
    </cfRule>
  </conditionalFormatting>
  <conditionalFormatting sqref="J303">
    <cfRule type="containsText" dxfId="1147" priority="378" operator="containsText" text="허하나로">
      <formula>NOT(ISERROR(SEARCH("허하나로",J303)))</formula>
    </cfRule>
    <cfRule type="containsText" dxfId="1146" priority="379" operator="containsText" text="한별">
      <formula>NOT(ISERROR(SEARCH("한별",J303)))</formula>
    </cfRule>
    <cfRule type="containsText" dxfId="1145" priority="380" operator="containsText" text="정홍조">
      <formula>NOT(ISERROR(SEARCH("정홍조",J303)))</formula>
    </cfRule>
    <cfRule type="containsText" dxfId="1144" priority="381" operator="containsText" text="김지윤">
      <formula>NOT(ISERROR(SEARCH("김지윤",J303)))</formula>
    </cfRule>
    <cfRule type="containsText" dxfId="1143" priority="382" operator="containsText" text="전준영">
      <formula>NOT(ISERROR(SEARCH("전준영",J303)))</formula>
    </cfRule>
    <cfRule type="containsText" dxfId="1142" priority="383" operator="containsText" text="차재성">
      <formula>NOT(ISERROR(SEARCH("차재성",J303)))</formula>
    </cfRule>
  </conditionalFormatting>
  <conditionalFormatting sqref="J284:J285">
    <cfRule type="containsText" dxfId="1141" priority="372" operator="containsText" text="허하나로">
      <formula>NOT(ISERROR(SEARCH("허하나로",J284)))</formula>
    </cfRule>
    <cfRule type="containsText" dxfId="1140" priority="373" operator="containsText" text="한별">
      <formula>NOT(ISERROR(SEARCH("한별",J284)))</formula>
    </cfRule>
    <cfRule type="containsText" dxfId="1139" priority="374" operator="containsText" text="정홍조">
      <formula>NOT(ISERROR(SEARCH("정홍조",J284)))</formula>
    </cfRule>
    <cfRule type="containsText" dxfId="1138" priority="375" operator="containsText" text="김지윤">
      <formula>NOT(ISERROR(SEARCH("김지윤",J284)))</formula>
    </cfRule>
    <cfRule type="containsText" dxfId="1137" priority="376" operator="containsText" text="전준영">
      <formula>NOT(ISERROR(SEARCH("전준영",J284)))</formula>
    </cfRule>
    <cfRule type="containsText" dxfId="1136" priority="377" operator="containsText" text="차재성">
      <formula>NOT(ISERROR(SEARCH("차재성",J284)))</formula>
    </cfRule>
  </conditionalFormatting>
  <conditionalFormatting sqref="J290:J291">
    <cfRule type="containsText" dxfId="1135" priority="366" operator="containsText" text="허하나로">
      <formula>NOT(ISERROR(SEARCH("허하나로",J290)))</formula>
    </cfRule>
    <cfRule type="containsText" dxfId="1134" priority="367" operator="containsText" text="한별">
      <formula>NOT(ISERROR(SEARCH("한별",J290)))</formula>
    </cfRule>
    <cfRule type="containsText" dxfId="1133" priority="368" operator="containsText" text="정홍조">
      <formula>NOT(ISERROR(SEARCH("정홍조",J290)))</formula>
    </cfRule>
    <cfRule type="containsText" dxfId="1132" priority="369" operator="containsText" text="김지윤">
      <formula>NOT(ISERROR(SEARCH("김지윤",J290)))</formula>
    </cfRule>
    <cfRule type="containsText" dxfId="1131" priority="370" operator="containsText" text="전준영">
      <formula>NOT(ISERROR(SEARCH("전준영",J290)))</formula>
    </cfRule>
    <cfRule type="containsText" dxfId="1130" priority="371" operator="containsText" text="차재성">
      <formula>NOT(ISERROR(SEARCH("차재성",J290)))</formula>
    </cfRule>
  </conditionalFormatting>
  <conditionalFormatting sqref="J286 J292:J294">
    <cfRule type="containsText" dxfId="1129" priority="390" operator="containsText" text="허하나로">
      <formula>NOT(ISERROR(SEARCH("허하나로",H1293)))</formula>
    </cfRule>
    <cfRule type="containsText" dxfId="1128" priority="391" operator="containsText" text="한별">
      <formula>NOT(ISERROR(SEARCH("한별",H1293)))</formula>
    </cfRule>
    <cfRule type="containsText" dxfId="1127" priority="392" operator="containsText" text="정홍조">
      <formula>NOT(ISERROR(SEARCH("정홍조",H1293)))</formula>
    </cfRule>
    <cfRule type="containsText" dxfId="1126" priority="393" operator="containsText" text="김지윤">
      <formula>NOT(ISERROR(SEARCH("김지윤",H1293)))</formula>
    </cfRule>
    <cfRule type="containsText" dxfId="1125" priority="394" operator="containsText" text="전준영">
      <formula>NOT(ISERROR(SEARCH("전준영",H1293)))</formula>
    </cfRule>
    <cfRule type="containsText" dxfId="1124" priority="395" operator="containsText" text="차재성">
      <formula>NOT(ISERROR(SEARCH("차재성",H1293)))</formula>
    </cfRule>
  </conditionalFormatting>
  <conditionalFormatting sqref="J288:J289">
    <cfRule type="containsText" dxfId="1123" priority="348" operator="containsText" text="허하나로">
      <formula>NOT(ISERROR(SEARCH("허하나로",J288)))</formula>
    </cfRule>
    <cfRule type="containsText" dxfId="1122" priority="349" operator="containsText" text="한별">
      <formula>NOT(ISERROR(SEARCH("한별",J288)))</formula>
    </cfRule>
    <cfRule type="containsText" dxfId="1121" priority="350" operator="containsText" text="정홍조">
      <formula>NOT(ISERROR(SEARCH("정홍조",J288)))</formula>
    </cfRule>
    <cfRule type="containsText" dxfId="1120" priority="351" operator="containsText" text="김지윤">
      <formula>NOT(ISERROR(SEARCH("김지윤",J288)))</formula>
    </cfRule>
    <cfRule type="containsText" dxfId="1119" priority="352" operator="containsText" text="전준영">
      <formula>NOT(ISERROR(SEARCH("전준영",J288)))</formula>
    </cfRule>
    <cfRule type="containsText" dxfId="1118" priority="353" operator="containsText" text="차재성">
      <formula>NOT(ISERROR(SEARCH("차재성",J288)))</formula>
    </cfRule>
  </conditionalFormatting>
  <conditionalFormatting sqref="J302">
    <cfRule type="containsText" dxfId="1117" priority="396" operator="containsText" text="허하나로">
      <formula>NOT(ISERROR(SEARCH("허하나로",H1301)))</formula>
    </cfRule>
    <cfRule type="containsText" dxfId="1116" priority="397" operator="containsText" text="한별">
      <formula>NOT(ISERROR(SEARCH("한별",H1301)))</formula>
    </cfRule>
    <cfRule type="containsText" dxfId="1115" priority="398" operator="containsText" text="정홍조">
      <formula>NOT(ISERROR(SEARCH("정홍조",H1301)))</formula>
    </cfRule>
    <cfRule type="containsText" dxfId="1114" priority="399" operator="containsText" text="김지윤">
      <formula>NOT(ISERROR(SEARCH("김지윤",H1301)))</formula>
    </cfRule>
    <cfRule type="containsText" dxfId="1113" priority="400" operator="containsText" text="전준영">
      <formula>NOT(ISERROR(SEARCH("전준영",H1301)))</formula>
    </cfRule>
    <cfRule type="containsText" dxfId="1112" priority="401" operator="containsText" text="차재성">
      <formula>NOT(ISERROR(SEARCH("차재성",H1301)))</formula>
    </cfRule>
  </conditionalFormatting>
  <conditionalFormatting sqref="J46:J48">
    <cfRule type="containsText" dxfId="1111" priority="1051" operator="containsText" text="허하나로">
      <formula>NOT(ISERROR(SEARCH("허하나로",H990)))</formula>
    </cfRule>
    <cfRule type="containsText" dxfId="1110" priority="1052" operator="containsText" text="한별">
      <formula>NOT(ISERROR(SEARCH("한별",H990)))</formula>
    </cfRule>
    <cfRule type="containsText" dxfId="1109" priority="1053" operator="containsText" text="정홍조">
      <formula>NOT(ISERROR(SEARCH("정홍조",H990)))</formula>
    </cfRule>
    <cfRule type="containsText" dxfId="1108" priority="1054" operator="containsText" text="김지윤">
      <formula>NOT(ISERROR(SEARCH("김지윤",H990)))</formula>
    </cfRule>
    <cfRule type="containsText" dxfId="1107" priority="1055" operator="containsText" text="전준영">
      <formula>NOT(ISERROR(SEARCH("전준영",H990)))</formula>
    </cfRule>
    <cfRule type="containsText" dxfId="1106" priority="1056" operator="containsText" text="차재성">
      <formula>NOT(ISERROR(SEARCH("차재성",H990)))</formula>
    </cfRule>
  </conditionalFormatting>
  <conditionalFormatting sqref="J226:J227">
    <cfRule type="containsText" dxfId="1105" priority="1057" operator="containsText" text="허하나로">
      <formula>NOT(ISERROR(SEARCH("허하나로",H1185)))</formula>
    </cfRule>
    <cfRule type="containsText" dxfId="1104" priority="1058" operator="containsText" text="한별">
      <formula>NOT(ISERROR(SEARCH("한별",H1185)))</formula>
    </cfRule>
    <cfRule type="containsText" dxfId="1103" priority="1059" operator="containsText" text="정홍조">
      <formula>NOT(ISERROR(SEARCH("정홍조",H1185)))</formula>
    </cfRule>
    <cfRule type="containsText" dxfId="1102" priority="1060" operator="containsText" text="김지윤">
      <formula>NOT(ISERROR(SEARCH("김지윤",H1185)))</formula>
    </cfRule>
    <cfRule type="containsText" dxfId="1101" priority="1061" operator="containsText" text="전준영">
      <formula>NOT(ISERROR(SEARCH("전준영",H1185)))</formula>
    </cfRule>
    <cfRule type="containsText" dxfId="1100" priority="1062" operator="containsText" text="차재성">
      <formula>NOT(ISERROR(SEARCH("차재성",H1185)))</formula>
    </cfRule>
  </conditionalFormatting>
  <conditionalFormatting sqref="J9:J11">
    <cfRule type="containsText" dxfId="1099" priority="1063" operator="containsText" text="허하나로">
      <formula>NOT(ISERROR(SEARCH("허하나로",H955)))</formula>
    </cfRule>
    <cfRule type="containsText" dxfId="1098" priority="1064" operator="containsText" text="한별">
      <formula>NOT(ISERROR(SEARCH("한별",H955)))</formula>
    </cfRule>
    <cfRule type="containsText" dxfId="1097" priority="1065" operator="containsText" text="정홍조">
      <formula>NOT(ISERROR(SEARCH("정홍조",H955)))</formula>
    </cfRule>
    <cfRule type="containsText" dxfId="1096" priority="1066" operator="containsText" text="김지윤">
      <formula>NOT(ISERROR(SEARCH("김지윤",H955)))</formula>
    </cfRule>
    <cfRule type="containsText" dxfId="1095" priority="1067" operator="containsText" text="전준영">
      <formula>NOT(ISERROR(SEARCH("전준영",H955)))</formula>
    </cfRule>
    <cfRule type="containsText" dxfId="1094" priority="1068" operator="containsText" text="차재성">
      <formula>NOT(ISERROR(SEARCH("차재성",H955)))</formula>
    </cfRule>
  </conditionalFormatting>
  <conditionalFormatting sqref="J521">
    <cfRule type="containsText" dxfId="1093" priority="342" operator="containsText" text="허하나로">
      <formula>NOT(ISERROR(SEARCH("허하나로",H1246)))</formula>
    </cfRule>
    <cfRule type="containsText" dxfId="1092" priority="343" operator="containsText" text="한별">
      <formula>NOT(ISERROR(SEARCH("한별",H1246)))</formula>
    </cfRule>
    <cfRule type="containsText" dxfId="1091" priority="344" operator="containsText" text="정홍조">
      <formula>NOT(ISERROR(SEARCH("정홍조",H1246)))</formula>
    </cfRule>
    <cfRule type="containsText" dxfId="1090" priority="345" operator="containsText" text="김지윤">
      <formula>NOT(ISERROR(SEARCH("김지윤",H1246)))</formula>
    </cfRule>
    <cfRule type="containsText" dxfId="1089" priority="346" operator="containsText" text="전준영">
      <formula>NOT(ISERROR(SEARCH("전준영",H1246)))</formula>
    </cfRule>
    <cfRule type="containsText" dxfId="1088" priority="347" operator="containsText" text="차재성">
      <formula>NOT(ISERROR(SEARCH("차재성",H1246)))</formula>
    </cfRule>
  </conditionalFormatting>
  <conditionalFormatting sqref="J530:J532">
    <cfRule type="containsText" dxfId="1087" priority="336" operator="containsText" text="허하나로">
      <formula>NOT(ISERROR(SEARCH("허하나로",H1256)))</formula>
    </cfRule>
    <cfRule type="containsText" dxfId="1086" priority="337" operator="containsText" text="한별">
      <formula>NOT(ISERROR(SEARCH("한별",H1256)))</formula>
    </cfRule>
    <cfRule type="containsText" dxfId="1085" priority="338" operator="containsText" text="정홍조">
      <formula>NOT(ISERROR(SEARCH("정홍조",H1256)))</formula>
    </cfRule>
    <cfRule type="containsText" dxfId="1084" priority="339" operator="containsText" text="김지윤">
      <formula>NOT(ISERROR(SEARCH("김지윤",H1256)))</formula>
    </cfRule>
    <cfRule type="containsText" dxfId="1083" priority="340" operator="containsText" text="전준영">
      <formula>NOT(ISERROR(SEARCH("전준영",H1256)))</formula>
    </cfRule>
    <cfRule type="containsText" dxfId="1082" priority="341" operator="containsText" text="차재성">
      <formula>NOT(ISERROR(SEARCH("차재성",H1256)))</formula>
    </cfRule>
  </conditionalFormatting>
  <conditionalFormatting sqref="J529">
    <cfRule type="containsText" dxfId="1081" priority="330" operator="containsText" text="허하나로">
      <formula>NOT(ISERROR(SEARCH("허하나로",H1255)))</formula>
    </cfRule>
    <cfRule type="containsText" dxfId="1080" priority="331" operator="containsText" text="한별">
      <formula>NOT(ISERROR(SEARCH("한별",H1255)))</formula>
    </cfRule>
    <cfRule type="containsText" dxfId="1079" priority="332" operator="containsText" text="정홍조">
      <formula>NOT(ISERROR(SEARCH("정홍조",H1255)))</formula>
    </cfRule>
    <cfRule type="containsText" dxfId="1078" priority="333" operator="containsText" text="김지윤">
      <formula>NOT(ISERROR(SEARCH("김지윤",H1255)))</formula>
    </cfRule>
    <cfRule type="containsText" dxfId="1077" priority="334" operator="containsText" text="전준영">
      <formula>NOT(ISERROR(SEARCH("전준영",H1255)))</formula>
    </cfRule>
    <cfRule type="containsText" dxfId="1076" priority="335" operator="containsText" text="차재성">
      <formula>NOT(ISERROR(SEARCH("차재성",H1255)))</formula>
    </cfRule>
  </conditionalFormatting>
  <conditionalFormatting sqref="J522">
    <cfRule type="containsText" dxfId="1075" priority="324" operator="containsText" text="허하나로">
      <formula>NOT(ISERROR(SEARCH("허하나로",H1235)))</formula>
    </cfRule>
    <cfRule type="containsText" dxfId="1074" priority="325" operator="containsText" text="한별">
      <formula>NOT(ISERROR(SEARCH("한별",H1235)))</formula>
    </cfRule>
    <cfRule type="containsText" dxfId="1073" priority="326" operator="containsText" text="정홍조">
      <formula>NOT(ISERROR(SEARCH("정홍조",H1235)))</formula>
    </cfRule>
    <cfRule type="containsText" dxfId="1072" priority="327" operator="containsText" text="김지윤">
      <formula>NOT(ISERROR(SEARCH("김지윤",H1235)))</formula>
    </cfRule>
    <cfRule type="containsText" dxfId="1071" priority="328" operator="containsText" text="전준영">
      <formula>NOT(ISERROR(SEARCH("전준영",H1235)))</formula>
    </cfRule>
    <cfRule type="containsText" dxfId="1070" priority="329" operator="containsText" text="차재성">
      <formula>NOT(ISERROR(SEARCH("차재성",H1235)))</formula>
    </cfRule>
  </conditionalFormatting>
  <conditionalFormatting sqref="J520">
    <cfRule type="containsText" dxfId="1069" priority="318" operator="containsText" text="허하나로">
      <formula>NOT(ISERROR(SEARCH("허하나로",H1245)))</formula>
    </cfRule>
    <cfRule type="containsText" dxfId="1068" priority="319" operator="containsText" text="한별">
      <formula>NOT(ISERROR(SEARCH("한별",H1245)))</formula>
    </cfRule>
    <cfRule type="containsText" dxfId="1067" priority="320" operator="containsText" text="정홍조">
      <formula>NOT(ISERROR(SEARCH("정홍조",H1245)))</formula>
    </cfRule>
    <cfRule type="containsText" dxfId="1066" priority="321" operator="containsText" text="김지윤">
      <formula>NOT(ISERROR(SEARCH("김지윤",H1245)))</formula>
    </cfRule>
    <cfRule type="containsText" dxfId="1065" priority="322" operator="containsText" text="전준영">
      <formula>NOT(ISERROR(SEARCH("전준영",H1245)))</formula>
    </cfRule>
    <cfRule type="containsText" dxfId="1064" priority="323" operator="containsText" text="차재성">
      <formula>NOT(ISERROR(SEARCH("차재성",H1245)))</formula>
    </cfRule>
  </conditionalFormatting>
  <conditionalFormatting sqref="J311">
    <cfRule type="containsText" dxfId="1063" priority="222" operator="containsText" text="허하나로">
      <formula>NOT(ISERROR(SEARCH("허하나로",H758)))</formula>
    </cfRule>
    <cfRule type="containsText" dxfId="1062" priority="223" operator="containsText" text="한별">
      <formula>NOT(ISERROR(SEARCH("한별",H758)))</formula>
    </cfRule>
    <cfRule type="containsText" dxfId="1061" priority="224" operator="containsText" text="정홍조">
      <formula>NOT(ISERROR(SEARCH("정홍조",H758)))</formula>
    </cfRule>
    <cfRule type="containsText" dxfId="1060" priority="225" operator="containsText" text="김지윤">
      <formula>NOT(ISERROR(SEARCH("김지윤",H758)))</formula>
    </cfRule>
    <cfRule type="containsText" dxfId="1059" priority="226" operator="containsText" text="전준영">
      <formula>NOT(ISERROR(SEARCH("전준영",H758)))</formula>
    </cfRule>
    <cfRule type="containsText" dxfId="1058" priority="227" operator="containsText" text="차재성">
      <formula>NOT(ISERROR(SEARCH("차재성",H758)))</formula>
    </cfRule>
  </conditionalFormatting>
  <conditionalFormatting sqref="J467:J490 J493:J500">
    <cfRule type="containsText" dxfId="1057" priority="103" operator="containsText" text="김지윤">
      <formula>NOT(ISERROR(SEARCH("김지윤",J467)))</formula>
    </cfRule>
    <cfRule type="containsText" dxfId="1056" priority="104" operator="containsText" text="양길승">
      <formula>NOT(ISERROR(SEARCH("양길승",J467)))</formula>
    </cfRule>
    <cfRule type="containsText" dxfId="1055" priority="105" operator="containsText" text="정지철">
      <formula>NOT(ISERROR(SEARCH("정지철",J467)))</formula>
    </cfRule>
    <cfRule type="containsText" dxfId="1054" priority="106" operator="containsText" text="최민">
      <formula>NOT(ISERROR(SEARCH("최민",J467)))</formula>
    </cfRule>
    <cfRule type="containsText" dxfId="1053" priority="107" operator="containsText" text="허하나로">
      <formula>NOT(ISERROR(SEARCH("허하나로",J467)))</formula>
    </cfRule>
    <cfRule type="containsText" dxfId="1052" priority="108" operator="containsText" text="안은선">
      <formula>NOT(ISERROR(SEARCH("안은선",J467)))</formula>
    </cfRule>
    <cfRule type="containsText" dxfId="1051" priority="109" operator="containsText" text="전준영">
      <formula>NOT(ISERROR(SEARCH("전준영",J467)))</formula>
    </cfRule>
  </conditionalFormatting>
  <conditionalFormatting sqref="J501:J502">
    <cfRule type="containsText" dxfId="1050" priority="1105" operator="containsText" text="허하나로">
      <formula>NOT(ISERROR(SEARCH("허하나로",H947)))</formula>
    </cfRule>
    <cfRule type="containsText" dxfId="1049" priority="1106" operator="containsText" text="한별">
      <formula>NOT(ISERROR(SEARCH("한별",H947)))</formula>
    </cfRule>
    <cfRule type="containsText" dxfId="1048" priority="1107" operator="containsText" text="정홍조">
      <formula>NOT(ISERROR(SEARCH("정홍조",H947)))</formula>
    </cfRule>
    <cfRule type="containsText" dxfId="1047" priority="1108" operator="containsText" text="김지윤">
      <formula>NOT(ISERROR(SEARCH("김지윤",H947)))</formula>
    </cfRule>
    <cfRule type="containsText" dxfId="1046" priority="1109" operator="containsText" text="전준영">
      <formula>NOT(ISERROR(SEARCH("전준영",H947)))</formula>
    </cfRule>
    <cfRule type="containsText" dxfId="1045" priority="1110" operator="containsText" text="차재성">
      <formula>NOT(ISERROR(SEARCH("차재성",H947)))</formula>
    </cfRule>
  </conditionalFormatting>
  <conditionalFormatting sqref="J441:J465">
    <cfRule type="containsText" dxfId="1044" priority="61" operator="containsText" text="김지윤">
      <formula>NOT(ISERROR(SEARCH("김지윤",J441)))</formula>
    </cfRule>
    <cfRule type="containsText" dxfId="1043" priority="62" operator="containsText" text="양길승">
      <formula>NOT(ISERROR(SEARCH("양길승",J441)))</formula>
    </cfRule>
    <cfRule type="containsText" dxfId="1042" priority="63" operator="containsText" text="정지철">
      <formula>NOT(ISERROR(SEARCH("정지철",J441)))</formula>
    </cfRule>
    <cfRule type="containsText" dxfId="1041" priority="64" operator="containsText" text="최민">
      <formula>NOT(ISERROR(SEARCH("최민",J441)))</formula>
    </cfRule>
    <cfRule type="containsText" dxfId="1040" priority="65" operator="containsText" text="허하나로">
      <formula>NOT(ISERROR(SEARCH("허하나로",J441)))</formula>
    </cfRule>
    <cfRule type="containsText" dxfId="1039" priority="66" operator="containsText" text="안은선">
      <formula>NOT(ISERROR(SEARCH("안은선",J441)))</formula>
    </cfRule>
    <cfRule type="containsText" dxfId="1038" priority="67" operator="containsText" text="전준영">
      <formula>NOT(ISERROR(SEARCH("전준영",J441)))</formula>
    </cfRule>
  </conditionalFormatting>
  <conditionalFormatting sqref="J45:J48">
    <cfRule type="containsText" dxfId="1037" priority="1135" operator="containsText" text="허하나로">
      <formula>NOT(ISERROR(SEARCH("허하나로",H999)))</formula>
    </cfRule>
    <cfRule type="containsText" dxfId="1036" priority="1136" operator="containsText" text="한별">
      <formula>NOT(ISERROR(SEARCH("한별",H999)))</formula>
    </cfRule>
    <cfRule type="containsText" dxfId="1035" priority="1137" operator="containsText" text="정홍조">
      <formula>NOT(ISERROR(SEARCH("정홍조",H999)))</formula>
    </cfRule>
    <cfRule type="containsText" dxfId="1034" priority="1138" operator="containsText" text="김지윤">
      <formula>NOT(ISERROR(SEARCH("김지윤",H999)))</formula>
    </cfRule>
    <cfRule type="containsText" dxfId="1033" priority="1139" operator="containsText" text="전준영">
      <formula>NOT(ISERROR(SEARCH("전준영",H999)))</formula>
    </cfRule>
    <cfRule type="containsText" dxfId="1032" priority="1140" operator="containsText" text="차재성">
      <formula>NOT(ISERROR(SEARCH("차재성",H999)))</formula>
    </cfRule>
  </conditionalFormatting>
  <conditionalFormatting sqref="J78">
    <cfRule type="containsText" dxfId="1031" priority="55" operator="containsText" text="허하나로">
      <formula>NOT(ISERROR(SEARCH("허하나로",J78)))</formula>
    </cfRule>
    <cfRule type="containsText" dxfId="1030" priority="56" operator="containsText" text="한별">
      <formula>NOT(ISERROR(SEARCH("한별",J78)))</formula>
    </cfRule>
    <cfRule type="containsText" dxfId="1029" priority="57" operator="containsText" text="정홍조">
      <formula>NOT(ISERROR(SEARCH("정홍조",J78)))</formula>
    </cfRule>
    <cfRule type="containsText" dxfId="1028" priority="58" operator="containsText" text="김지윤">
      <formula>NOT(ISERROR(SEARCH("김지윤",J78)))</formula>
    </cfRule>
    <cfRule type="containsText" dxfId="1027" priority="59" operator="containsText" text="전준영">
      <formula>NOT(ISERROR(SEARCH("전준영",J78)))</formula>
    </cfRule>
    <cfRule type="containsText" dxfId="1026" priority="60" operator="containsText" text="차재성">
      <formula>NOT(ISERROR(SEARCH("차재성",J78)))</formula>
    </cfRule>
  </conditionalFormatting>
  <conditionalFormatting sqref="J152">
    <cfRule type="containsText" dxfId="1025" priority="1153" operator="containsText" text="허하나로">
      <formula>NOT(ISERROR(SEARCH("허하나로",H1118)))</formula>
    </cfRule>
    <cfRule type="containsText" dxfId="1024" priority="1154" operator="containsText" text="한별">
      <formula>NOT(ISERROR(SEARCH("한별",H1118)))</formula>
    </cfRule>
    <cfRule type="containsText" dxfId="1023" priority="1155" operator="containsText" text="정홍조">
      <formula>NOT(ISERROR(SEARCH("정홍조",H1118)))</formula>
    </cfRule>
    <cfRule type="containsText" dxfId="1022" priority="1156" operator="containsText" text="김지윤">
      <formula>NOT(ISERROR(SEARCH("김지윤",H1118)))</formula>
    </cfRule>
    <cfRule type="containsText" dxfId="1021" priority="1157" operator="containsText" text="전준영">
      <formula>NOT(ISERROR(SEARCH("전준영",H1118)))</formula>
    </cfRule>
    <cfRule type="containsText" dxfId="1020" priority="1158" operator="containsText" text="차재성">
      <formula>NOT(ISERROR(SEARCH("차재성",H1118)))</formula>
    </cfRule>
  </conditionalFormatting>
  <conditionalFormatting sqref="J229">
    <cfRule type="containsText" dxfId="1019" priority="1159" operator="containsText" text="허하나로">
      <formula>NOT(ISERROR(SEARCH("허하나로",H1188)))</formula>
    </cfRule>
    <cfRule type="containsText" dxfId="1018" priority="1160" operator="containsText" text="한별">
      <formula>NOT(ISERROR(SEARCH("한별",H1188)))</formula>
    </cfRule>
    <cfRule type="containsText" dxfId="1017" priority="1161" operator="containsText" text="정홍조">
      <formula>NOT(ISERROR(SEARCH("정홍조",H1188)))</formula>
    </cfRule>
    <cfRule type="containsText" dxfId="1016" priority="1162" operator="containsText" text="김지윤">
      <formula>NOT(ISERROR(SEARCH("김지윤",H1188)))</formula>
    </cfRule>
    <cfRule type="containsText" dxfId="1015" priority="1163" operator="containsText" text="전준영">
      <formula>NOT(ISERROR(SEARCH("전준영",H1188)))</formula>
    </cfRule>
    <cfRule type="containsText" dxfId="1014" priority="1164" operator="containsText" text="차재성">
      <formula>NOT(ISERROR(SEARCH("차재성",H1188)))</formula>
    </cfRule>
  </conditionalFormatting>
  <conditionalFormatting sqref="J272">
    <cfRule type="containsText" dxfId="1013" priority="1195" operator="containsText" text="허하나로">
      <formula>NOT(ISERROR(SEARCH("허하나로",H1293)))</formula>
    </cfRule>
    <cfRule type="containsText" dxfId="1012" priority="1196" operator="containsText" text="한별">
      <formula>NOT(ISERROR(SEARCH("한별",H1293)))</formula>
    </cfRule>
    <cfRule type="containsText" dxfId="1011" priority="1197" operator="containsText" text="정홍조">
      <formula>NOT(ISERROR(SEARCH("정홍조",H1293)))</formula>
    </cfRule>
    <cfRule type="containsText" dxfId="1010" priority="1198" operator="containsText" text="김지윤">
      <formula>NOT(ISERROR(SEARCH("김지윤",H1293)))</formula>
    </cfRule>
    <cfRule type="containsText" dxfId="1009" priority="1199" operator="containsText" text="전준영">
      <formula>NOT(ISERROR(SEARCH("전준영",H1293)))</formula>
    </cfRule>
    <cfRule type="containsText" dxfId="1008" priority="1200" operator="containsText" text="차재성">
      <formula>NOT(ISERROR(SEARCH("차재성",H1293)))</formula>
    </cfRule>
  </conditionalFormatting>
  <conditionalFormatting sqref="J271">
    <cfRule type="containsText" dxfId="1007" priority="1243" operator="containsText" text="허하나로">
      <formula>NOT(ISERROR(SEARCH("허하나로",H1293)))</formula>
    </cfRule>
    <cfRule type="containsText" dxfId="1006" priority="1244" operator="containsText" text="한별">
      <formula>NOT(ISERROR(SEARCH("한별",H1293)))</formula>
    </cfRule>
    <cfRule type="containsText" dxfId="1005" priority="1245" operator="containsText" text="정홍조">
      <formula>NOT(ISERROR(SEARCH("정홍조",H1293)))</formula>
    </cfRule>
    <cfRule type="containsText" dxfId="1004" priority="1246" operator="containsText" text="김지윤">
      <formula>NOT(ISERROR(SEARCH("김지윤",H1293)))</formula>
    </cfRule>
    <cfRule type="containsText" dxfId="1003" priority="1247" operator="containsText" text="전준영">
      <formula>NOT(ISERROR(SEARCH("전준영",H1293)))</formula>
    </cfRule>
    <cfRule type="containsText" dxfId="1002" priority="1248" operator="containsText" text="차재성">
      <formula>NOT(ISERROR(SEARCH("차재성",H1293)))</formula>
    </cfRule>
  </conditionalFormatting>
  <conditionalFormatting sqref="J270">
    <cfRule type="containsText" dxfId="1001" priority="1291" operator="containsText" text="허하나로">
      <formula>NOT(ISERROR(SEARCH("허하나로",H1292)))</formula>
    </cfRule>
    <cfRule type="containsText" dxfId="1000" priority="1292" operator="containsText" text="한별">
      <formula>NOT(ISERROR(SEARCH("한별",H1292)))</formula>
    </cfRule>
    <cfRule type="containsText" dxfId="999" priority="1293" operator="containsText" text="정홍조">
      <formula>NOT(ISERROR(SEARCH("정홍조",H1292)))</formula>
    </cfRule>
    <cfRule type="containsText" dxfId="998" priority="1294" operator="containsText" text="김지윤">
      <formula>NOT(ISERROR(SEARCH("김지윤",H1292)))</formula>
    </cfRule>
    <cfRule type="containsText" dxfId="997" priority="1295" operator="containsText" text="전준영">
      <formula>NOT(ISERROR(SEARCH("전준영",H1292)))</formula>
    </cfRule>
    <cfRule type="containsText" dxfId="996" priority="1296" operator="containsText" text="차재성">
      <formula>NOT(ISERROR(SEARCH("차재성",H1292)))</formula>
    </cfRule>
  </conditionalFormatting>
  <conditionalFormatting sqref="J301">
    <cfRule type="containsText" dxfId="995" priority="1339" operator="containsText" text="허하나로">
      <formula>NOT(ISERROR(SEARCH("허하나로",H1301)))</formula>
    </cfRule>
    <cfRule type="containsText" dxfId="994" priority="1340" operator="containsText" text="한별">
      <formula>NOT(ISERROR(SEARCH("한별",H1301)))</formula>
    </cfRule>
    <cfRule type="containsText" dxfId="993" priority="1341" operator="containsText" text="정홍조">
      <formula>NOT(ISERROR(SEARCH("정홍조",H1301)))</formula>
    </cfRule>
    <cfRule type="containsText" dxfId="992" priority="1342" operator="containsText" text="김지윤">
      <formula>NOT(ISERROR(SEARCH("김지윤",H1301)))</formula>
    </cfRule>
    <cfRule type="containsText" dxfId="991" priority="1343" operator="containsText" text="전준영">
      <formula>NOT(ISERROR(SEARCH("전준영",H1301)))</formula>
    </cfRule>
    <cfRule type="containsText" dxfId="990" priority="1344" operator="containsText" text="차재성">
      <formula>NOT(ISERROR(SEARCH("차재성",H1301)))</formula>
    </cfRule>
  </conditionalFormatting>
  <conditionalFormatting sqref="J300">
    <cfRule type="containsText" dxfId="989" priority="1387" operator="containsText" text="허하나로">
      <formula>NOT(ISERROR(SEARCH("허하나로",H1301)))</formula>
    </cfRule>
    <cfRule type="containsText" dxfId="988" priority="1388" operator="containsText" text="한별">
      <formula>NOT(ISERROR(SEARCH("한별",H1301)))</formula>
    </cfRule>
    <cfRule type="containsText" dxfId="987" priority="1389" operator="containsText" text="정홍조">
      <formula>NOT(ISERROR(SEARCH("정홍조",H1301)))</formula>
    </cfRule>
    <cfRule type="containsText" dxfId="986" priority="1390" operator="containsText" text="김지윤">
      <formula>NOT(ISERROR(SEARCH("김지윤",H1301)))</formula>
    </cfRule>
    <cfRule type="containsText" dxfId="985" priority="1391" operator="containsText" text="전준영">
      <formula>NOT(ISERROR(SEARCH("전준영",H1301)))</formula>
    </cfRule>
    <cfRule type="containsText" dxfId="984" priority="1392" operator="containsText" text="차재성">
      <formula>NOT(ISERROR(SEARCH("차재성",H1301)))</formula>
    </cfRule>
  </conditionalFormatting>
  <conditionalFormatting sqref="J299">
    <cfRule type="containsText" dxfId="983" priority="1435" operator="containsText" text="허하나로">
      <formula>NOT(ISERROR(SEARCH("허하나로",H1301)))</formula>
    </cfRule>
    <cfRule type="containsText" dxfId="982" priority="1436" operator="containsText" text="한별">
      <formula>NOT(ISERROR(SEARCH("한별",H1301)))</formula>
    </cfRule>
    <cfRule type="containsText" dxfId="981" priority="1437" operator="containsText" text="정홍조">
      <formula>NOT(ISERROR(SEARCH("정홍조",H1301)))</formula>
    </cfRule>
    <cfRule type="containsText" dxfId="980" priority="1438" operator="containsText" text="김지윤">
      <formula>NOT(ISERROR(SEARCH("김지윤",H1301)))</formula>
    </cfRule>
    <cfRule type="containsText" dxfId="979" priority="1439" operator="containsText" text="전준영">
      <formula>NOT(ISERROR(SEARCH("전준영",H1301)))</formula>
    </cfRule>
    <cfRule type="containsText" dxfId="978" priority="1440" operator="containsText" text="차재성">
      <formula>NOT(ISERROR(SEARCH("차재성",H1301)))</formula>
    </cfRule>
  </conditionalFormatting>
  <conditionalFormatting sqref="J297:J298">
    <cfRule type="containsText" dxfId="977" priority="1531" operator="containsText" text="허하나로">
      <formula>NOT(ISERROR(SEARCH("허하나로",H1301)))</formula>
    </cfRule>
    <cfRule type="containsText" dxfId="976" priority="1532" operator="containsText" text="한별">
      <formula>NOT(ISERROR(SEARCH("한별",H1301)))</formula>
    </cfRule>
    <cfRule type="containsText" dxfId="975" priority="1533" operator="containsText" text="정홍조">
      <formula>NOT(ISERROR(SEARCH("정홍조",H1301)))</formula>
    </cfRule>
    <cfRule type="containsText" dxfId="974" priority="1534" operator="containsText" text="김지윤">
      <formula>NOT(ISERROR(SEARCH("김지윤",H1301)))</formula>
    </cfRule>
    <cfRule type="containsText" dxfId="973" priority="1535" operator="containsText" text="전준영">
      <formula>NOT(ISERROR(SEARCH("전준영",H1301)))</formula>
    </cfRule>
    <cfRule type="containsText" dxfId="972" priority="1536" operator="containsText" text="차재성">
      <formula>NOT(ISERROR(SEARCH("차재성",H1301)))</formula>
    </cfRule>
  </conditionalFormatting>
  <conditionalFormatting sqref="J296">
    <cfRule type="containsText" dxfId="971" priority="1579" operator="containsText" text="허하나로">
      <formula>NOT(ISERROR(SEARCH("허하나로",H1301)))</formula>
    </cfRule>
    <cfRule type="containsText" dxfId="970" priority="1580" operator="containsText" text="한별">
      <formula>NOT(ISERROR(SEARCH("한별",H1301)))</formula>
    </cfRule>
    <cfRule type="containsText" dxfId="969" priority="1581" operator="containsText" text="정홍조">
      <formula>NOT(ISERROR(SEARCH("정홍조",H1301)))</formula>
    </cfRule>
    <cfRule type="containsText" dxfId="968" priority="1582" operator="containsText" text="김지윤">
      <formula>NOT(ISERROR(SEARCH("김지윤",H1301)))</formula>
    </cfRule>
    <cfRule type="containsText" dxfId="967" priority="1583" operator="containsText" text="전준영">
      <formula>NOT(ISERROR(SEARCH("전준영",H1301)))</formula>
    </cfRule>
    <cfRule type="containsText" dxfId="966" priority="1584" operator="containsText" text="차재성">
      <formula>NOT(ISERROR(SEARCH("차재성",H1301)))</formula>
    </cfRule>
  </conditionalFormatting>
  <conditionalFormatting sqref="J295">
    <cfRule type="containsText" dxfId="965" priority="1627" operator="containsText" text="허하나로">
      <formula>NOT(ISERROR(SEARCH("허하나로",H1301)))</formula>
    </cfRule>
    <cfRule type="containsText" dxfId="964" priority="1628" operator="containsText" text="한별">
      <formula>NOT(ISERROR(SEARCH("한별",H1301)))</formula>
    </cfRule>
    <cfRule type="containsText" dxfId="963" priority="1629" operator="containsText" text="정홍조">
      <formula>NOT(ISERROR(SEARCH("정홍조",H1301)))</formula>
    </cfRule>
    <cfRule type="containsText" dxfId="962" priority="1630" operator="containsText" text="김지윤">
      <formula>NOT(ISERROR(SEARCH("김지윤",H1301)))</formula>
    </cfRule>
    <cfRule type="containsText" dxfId="961" priority="1631" operator="containsText" text="전준영">
      <formula>NOT(ISERROR(SEARCH("전준영",H1301)))</formula>
    </cfRule>
    <cfRule type="containsText" dxfId="960" priority="1632" operator="containsText" text="차재성">
      <formula>NOT(ISERROR(SEARCH("차재성",H1301)))</formula>
    </cfRule>
  </conditionalFormatting>
  <conditionalFormatting sqref="J378:J440">
    <cfRule type="containsText" dxfId="959" priority="48" operator="containsText" text="김지윤">
      <formula>NOT(ISERROR(SEARCH("김지윤",J378)))</formula>
    </cfRule>
    <cfRule type="containsText" dxfId="958" priority="49" operator="containsText" text="양길승">
      <formula>NOT(ISERROR(SEARCH("양길승",J378)))</formula>
    </cfRule>
    <cfRule type="containsText" dxfId="957" priority="50" operator="containsText" text="정지철">
      <formula>NOT(ISERROR(SEARCH("정지철",J378)))</formula>
    </cfRule>
    <cfRule type="containsText" dxfId="956" priority="51" operator="containsText" text="최민">
      <formula>NOT(ISERROR(SEARCH("최민",J378)))</formula>
    </cfRule>
    <cfRule type="containsText" dxfId="955" priority="52" operator="containsText" text="허하나로">
      <formula>NOT(ISERROR(SEARCH("허하나로",J378)))</formula>
    </cfRule>
    <cfRule type="containsText" dxfId="954" priority="53" operator="containsText" text="안은선">
      <formula>NOT(ISERROR(SEARCH("안은선",J378)))</formula>
    </cfRule>
    <cfRule type="containsText" dxfId="953" priority="54" operator="containsText" text="전준영">
      <formula>NOT(ISERROR(SEARCH("전준영",J378)))</formula>
    </cfRule>
  </conditionalFormatting>
  <conditionalFormatting sqref="J503:J506">
    <cfRule type="containsText" dxfId="952" priority="1663" operator="containsText" text="허하나로">
      <formula>NOT(ISERROR(SEARCH("허하나로",H948)))</formula>
    </cfRule>
    <cfRule type="containsText" dxfId="951" priority="1664" operator="containsText" text="한별">
      <formula>NOT(ISERROR(SEARCH("한별",H948)))</formula>
    </cfRule>
    <cfRule type="containsText" dxfId="950" priority="1665" operator="containsText" text="정홍조">
      <formula>NOT(ISERROR(SEARCH("정홍조",H948)))</formula>
    </cfRule>
    <cfRule type="containsText" dxfId="949" priority="1666" operator="containsText" text="김지윤">
      <formula>NOT(ISERROR(SEARCH("김지윤",H948)))</formula>
    </cfRule>
    <cfRule type="containsText" dxfId="948" priority="1667" operator="containsText" text="전준영">
      <formula>NOT(ISERROR(SEARCH("전준영",H948)))</formula>
    </cfRule>
    <cfRule type="containsText" dxfId="947" priority="1668" operator="containsText" text="차재성">
      <formula>NOT(ISERROR(SEARCH("차재성",H948)))</formula>
    </cfRule>
  </conditionalFormatting>
  <conditionalFormatting sqref="J118">
    <cfRule type="containsText" dxfId="946" priority="1693" operator="containsText" text="허하나로">
      <formula>NOT(ISERROR(SEARCH("허하나로",H1090)))</formula>
    </cfRule>
    <cfRule type="containsText" dxfId="945" priority="1694" operator="containsText" text="한별">
      <formula>NOT(ISERROR(SEARCH("한별",H1090)))</formula>
    </cfRule>
    <cfRule type="containsText" dxfId="944" priority="1695" operator="containsText" text="정홍조">
      <formula>NOT(ISERROR(SEARCH("정홍조",H1090)))</formula>
    </cfRule>
    <cfRule type="containsText" dxfId="943" priority="1696" operator="containsText" text="김지윤">
      <formula>NOT(ISERROR(SEARCH("김지윤",H1090)))</formula>
    </cfRule>
    <cfRule type="containsText" dxfId="942" priority="1697" operator="containsText" text="전준영">
      <formula>NOT(ISERROR(SEARCH("전준영",H1090)))</formula>
    </cfRule>
    <cfRule type="containsText" dxfId="941" priority="1698" operator="containsText" text="차재성">
      <formula>NOT(ISERROR(SEARCH("차재성",H1090)))</formula>
    </cfRule>
  </conditionalFormatting>
  <conditionalFormatting sqref="J509">
    <cfRule type="containsText" dxfId="940" priority="1723" operator="containsText" text="허하나로">
      <formula>NOT(ISERROR(SEARCH("허하나로",H952)))</formula>
    </cfRule>
    <cfRule type="containsText" dxfId="939" priority="1724" operator="containsText" text="한별">
      <formula>NOT(ISERROR(SEARCH("한별",H952)))</formula>
    </cfRule>
    <cfRule type="containsText" dxfId="938" priority="1725" operator="containsText" text="정홍조">
      <formula>NOT(ISERROR(SEARCH("정홍조",H952)))</formula>
    </cfRule>
    <cfRule type="containsText" dxfId="937" priority="1726" operator="containsText" text="김지윤">
      <formula>NOT(ISERROR(SEARCH("김지윤",H952)))</formula>
    </cfRule>
    <cfRule type="containsText" dxfId="936" priority="1727" operator="containsText" text="전준영">
      <formula>NOT(ISERROR(SEARCH("전준영",H952)))</formula>
    </cfRule>
    <cfRule type="containsText" dxfId="935" priority="1728" operator="containsText" text="차재성">
      <formula>NOT(ISERROR(SEARCH("차재성",H952)))</formula>
    </cfRule>
  </conditionalFormatting>
  <conditionalFormatting sqref="J507:J508">
    <cfRule type="containsText" dxfId="934" priority="1777" operator="containsText" text="허하나로">
      <formula>NOT(ISERROR(SEARCH("허하나로",H951)))</formula>
    </cfRule>
    <cfRule type="containsText" dxfId="933" priority="1778" operator="containsText" text="한별">
      <formula>NOT(ISERROR(SEARCH("한별",H951)))</formula>
    </cfRule>
    <cfRule type="containsText" dxfId="932" priority="1779" operator="containsText" text="정홍조">
      <formula>NOT(ISERROR(SEARCH("정홍조",H951)))</formula>
    </cfRule>
    <cfRule type="containsText" dxfId="931" priority="1780" operator="containsText" text="김지윤">
      <formula>NOT(ISERROR(SEARCH("김지윤",H951)))</formula>
    </cfRule>
    <cfRule type="containsText" dxfId="930" priority="1781" operator="containsText" text="전준영">
      <formula>NOT(ISERROR(SEARCH("전준영",H951)))</formula>
    </cfRule>
    <cfRule type="containsText" dxfId="929" priority="1782" operator="containsText" text="차재성">
      <formula>NOT(ISERROR(SEARCH("차재성",H951)))</formula>
    </cfRule>
  </conditionalFormatting>
  <conditionalFormatting sqref="J51">
    <cfRule type="containsText" dxfId="928" priority="1789" operator="containsText" text="허하나로">
      <formula>NOT(ISERROR(SEARCH("허하나로",H1000)))</formula>
    </cfRule>
    <cfRule type="containsText" dxfId="927" priority="1790" operator="containsText" text="한별">
      <formula>NOT(ISERROR(SEARCH("한별",H1000)))</formula>
    </cfRule>
    <cfRule type="containsText" dxfId="926" priority="1791" operator="containsText" text="정홍조">
      <formula>NOT(ISERROR(SEARCH("정홍조",H1000)))</formula>
    </cfRule>
    <cfRule type="containsText" dxfId="925" priority="1792" operator="containsText" text="김지윤">
      <formula>NOT(ISERROR(SEARCH("김지윤",H1000)))</formula>
    </cfRule>
    <cfRule type="containsText" dxfId="924" priority="1793" operator="containsText" text="전준영">
      <formula>NOT(ISERROR(SEARCH("전준영",H1000)))</formula>
    </cfRule>
    <cfRule type="containsText" dxfId="923" priority="1794" operator="containsText" text="차재성">
      <formula>NOT(ISERROR(SEARCH("차재성",H1000)))</formula>
    </cfRule>
  </conditionalFormatting>
  <conditionalFormatting sqref="J237">
    <cfRule type="containsText" dxfId="922" priority="42" operator="containsText" text="허하나로">
      <formula>NOT(ISERROR(SEARCH(("허하나로"),(J237))))</formula>
    </cfRule>
  </conditionalFormatting>
  <conditionalFormatting sqref="J237">
    <cfRule type="containsText" dxfId="921" priority="43" operator="containsText" text="한별">
      <formula>NOT(ISERROR(SEARCH(("한별"),(J237))))</formula>
    </cfRule>
  </conditionalFormatting>
  <conditionalFormatting sqref="J237">
    <cfRule type="containsText" dxfId="920" priority="44" operator="containsText" text="정홍조">
      <formula>NOT(ISERROR(SEARCH(("정홍조"),(J237))))</formula>
    </cfRule>
  </conditionalFormatting>
  <conditionalFormatting sqref="J237">
    <cfRule type="containsText" dxfId="919" priority="45" operator="containsText" text="김지윤">
      <formula>NOT(ISERROR(SEARCH(("김지윤"),(J237))))</formula>
    </cfRule>
  </conditionalFormatting>
  <conditionalFormatting sqref="J237">
    <cfRule type="containsText" dxfId="918" priority="46" operator="containsText" text="전준영">
      <formula>NOT(ISERROR(SEARCH(("전준영"),(J237))))</formula>
    </cfRule>
  </conditionalFormatting>
  <conditionalFormatting sqref="J237">
    <cfRule type="containsText" dxfId="917" priority="47" operator="containsText" text="차재성">
      <formula>NOT(ISERROR(SEARCH(("차재성"),(J237))))</formula>
    </cfRule>
  </conditionalFormatting>
  <conditionalFormatting sqref="J239:J243">
    <cfRule type="containsText" dxfId="916" priority="35" operator="containsText" text="김지윤">
      <formula>NOT(ISERROR(SEARCH(("김지윤"),(J239))))</formula>
    </cfRule>
  </conditionalFormatting>
  <conditionalFormatting sqref="J239:J243">
    <cfRule type="containsText" dxfId="915" priority="36" operator="containsText" text="양길승">
      <formula>NOT(ISERROR(SEARCH(("양길승"),(J239))))</formula>
    </cfRule>
  </conditionalFormatting>
  <conditionalFormatting sqref="J239:J243">
    <cfRule type="containsText" dxfId="914" priority="37" operator="containsText" text="정지철">
      <formula>NOT(ISERROR(SEARCH(("정지철"),(J239))))</formula>
    </cfRule>
  </conditionalFormatting>
  <conditionalFormatting sqref="J239:J243">
    <cfRule type="containsText" dxfId="913" priority="38" operator="containsText" text="최민">
      <formula>NOT(ISERROR(SEARCH(("최민"),(J239))))</formula>
    </cfRule>
  </conditionalFormatting>
  <conditionalFormatting sqref="J239:J243">
    <cfRule type="containsText" dxfId="912" priority="39" operator="containsText" text="허하나로">
      <formula>NOT(ISERROR(SEARCH(("허하나로"),(J239))))</formula>
    </cfRule>
  </conditionalFormatting>
  <conditionalFormatting sqref="J239:J243">
    <cfRule type="containsText" dxfId="911" priority="40" operator="containsText" text="안은선">
      <formula>NOT(ISERROR(SEARCH(("안은선"),(J239))))</formula>
    </cfRule>
  </conditionalFormatting>
  <conditionalFormatting sqref="J239:J243">
    <cfRule type="containsText" dxfId="910" priority="41" operator="containsText" text="전준영">
      <formula>NOT(ISERROR(SEARCH(("전준영"),(J239))))</formula>
    </cfRule>
  </conditionalFormatting>
  <conditionalFormatting sqref="J246:J250">
    <cfRule type="containsText" dxfId="909" priority="21" operator="containsText" text="김지윤">
      <formula>NOT(ISERROR(SEARCH(("김지윤"),(J246))))</formula>
    </cfRule>
  </conditionalFormatting>
  <conditionalFormatting sqref="J246:J250">
    <cfRule type="containsText" dxfId="908" priority="22" operator="containsText" text="양길승">
      <formula>NOT(ISERROR(SEARCH(("양길승"),(J246))))</formula>
    </cfRule>
  </conditionalFormatting>
  <conditionalFormatting sqref="J246:J250">
    <cfRule type="containsText" dxfId="907" priority="23" operator="containsText" text="정지철">
      <formula>NOT(ISERROR(SEARCH(("정지철"),(J246))))</formula>
    </cfRule>
  </conditionalFormatting>
  <conditionalFormatting sqref="J246:J250">
    <cfRule type="containsText" dxfId="906" priority="24" operator="containsText" text="최민">
      <formula>NOT(ISERROR(SEARCH(("최민"),(J246))))</formula>
    </cfRule>
  </conditionalFormatting>
  <conditionalFormatting sqref="J246:J250">
    <cfRule type="containsText" dxfId="905" priority="25" operator="containsText" text="허하나로">
      <formula>NOT(ISERROR(SEARCH(("허하나로"),(J246))))</formula>
    </cfRule>
  </conditionalFormatting>
  <conditionalFormatting sqref="J246:J250">
    <cfRule type="containsText" dxfId="904" priority="26" operator="containsText" text="안은선">
      <formula>NOT(ISERROR(SEARCH(("안은선"),(J246))))</formula>
    </cfRule>
  </conditionalFormatting>
  <conditionalFormatting sqref="J246:J250">
    <cfRule type="containsText" dxfId="903" priority="27" operator="containsText" text="전준영">
      <formula>NOT(ISERROR(SEARCH(("전준영"),(J246))))</formula>
    </cfRule>
  </conditionalFormatting>
  <conditionalFormatting sqref="J245">
    <cfRule type="containsText" dxfId="902" priority="28" operator="containsText" text="김지윤">
      <formula>NOT(ISERROR(SEARCH(("김지윤"),(J245))))</formula>
    </cfRule>
  </conditionalFormatting>
  <conditionalFormatting sqref="J245">
    <cfRule type="containsText" dxfId="901" priority="29" operator="containsText" text="양길승">
      <formula>NOT(ISERROR(SEARCH(("양길승"),(J245))))</formula>
    </cfRule>
  </conditionalFormatting>
  <conditionalFormatting sqref="J245">
    <cfRule type="containsText" dxfId="900" priority="30" operator="containsText" text="정지철">
      <formula>NOT(ISERROR(SEARCH(("정지철"),(J245))))</formula>
    </cfRule>
  </conditionalFormatting>
  <conditionalFormatting sqref="J245">
    <cfRule type="containsText" dxfId="899" priority="31" operator="containsText" text="최민">
      <formula>NOT(ISERROR(SEARCH(("최민"),(J245))))</formula>
    </cfRule>
  </conditionalFormatting>
  <conditionalFormatting sqref="J245">
    <cfRule type="containsText" dxfId="898" priority="32" operator="containsText" text="허하나로">
      <formula>NOT(ISERROR(SEARCH(("허하나로"),(J245))))</formula>
    </cfRule>
  </conditionalFormatting>
  <conditionalFormatting sqref="J245">
    <cfRule type="containsText" dxfId="897" priority="33" operator="containsText" text="안은선">
      <formula>NOT(ISERROR(SEARCH(("안은선"),(J245))))</formula>
    </cfRule>
  </conditionalFormatting>
  <conditionalFormatting sqref="J245">
    <cfRule type="containsText" dxfId="896" priority="34" operator="containsText" text="전준영">
      <formula>NOT(ISERROR(SEARCH(("전준영"),(J245))))</formula>
    </cfRule>
  </conditionalFormatting>
  <conditionalFormatting sqref="J183">
    <cfRule type="containsText" dxfId="895" priority="15" operator="containsText" text="허하나로">
      <formula>NOT(ISERROR(SEARCH("허하나로",J183)))</formula>
    </cfRule>
    <cfRule type="containsText" dxfId="894" priority="16" operator="containsText" text="한별">
      <formula>NOT(ISERROR(SEARCH("한별",J183)))</formula>
    </cfRule>
    <cfRule type="containsText" dxfId="893" priority="17" operator="containsText" text="정홍조">
      <formula>NOT(ISERROR(SEARCH("정홍조",J183)))</formula>
    </cfRule>
    <cfRule type="containsText" dxfId="892" priority="18" operator="containsText" text="김지윤">
      <formula>NOT(ISERROR(SEARCH("김지윤",J183)))</formula>
    </cfRule>
    <cfRule type="containsText" dxfId="891" priority="19" operator="containsText" text="전준영">
      <formula>NOT(ISERROR(SEARCH("전준영",J183)))</formula>
    </cfRule>
    <cfRule type="containsText" dxfId="890" priority="20" operator="containsText" text="차재성">
      <formula>NOT(ISERROR(SEARCH("차재성",J183)))</formula>
    </cfRule>
  </conditionalFormatting>
  <conditionalFormatting sqref="J282:J283">
    <cfRule type="containsText" dxfId="889" priority="1819" operator="containsText" text="허하나로">
      <formula>NOT(ISERROR(SEARCH("허하나로",H1290)))</formula>
    </cfRule>
    <cfRule type="containsText" dxfId="888" priority="1820" operator="containsText" text="한별">
      <formula>NOT(ISERROR(SEARCH("한별",H1290)))</formula>
    </cfRule>
    <cfRule type="containsText" dxfId="887" priority="1821" operator="containsText" text="정홍조">
      <formula>NOT(ISERROR(SEARCH("정홍조",H1290)))</formula>
    </cfRule>
    <cfRule type="containsText" dxfId="886" priority="1822" operator="containsText" text="김지윤">
      <formula>NOT(ISERROR(SEARCH("김지윤",H1290)))</formula>
    </cfRule>
    <cfRule type="containsText" dxfId="885" priority="1823" operator="containsText" text="전준영">
      <formula>NOT(ISERROR(SEARCH("전준영",H1290)))</formula>
    </cfRule>
    <cfRule type="containsText" dxfId="884" priority="1824" operator="containsText" text="차재성">
      <formula>NOT(ISERROR(SEARCH("차재성",H1290)))</formula>
    </cfRule>
  </conditionalFormatting>
  <conditionalFormatting sqref="J121:J122 J118">
    <cfRule type="containsText" dxfId="883" priority="1831" operator="containsText" text="허하나로">
      <formula>NOT(ISERROR(SEARCH("허하나로",H1091)))</formula>
    </cfRule>
    <cfRule type="containsText" dxfId="882" priority="1832" operator="containsText" text="한별">
      <formula>NOT(ISERROR(SEARCH("한별",H1091)))</formula>
    </cfRule>
    <cfRule type="containsText" dxfId="881" priority="1833" operator="containsText" text="정홍조">
      <formula>NOT(ISERROR(SEARCH("정홍조",H1091)))</formula>
    </cfRule>
    <cfRule type="containsText" dxfId="880" priority="1834" operator="containsText" text="김지윤">
      <formula>NOT(ISERROR(SEARCH("김지윤",H1091)))</formula>
    </cfRule>
    <cfRule type="containsText" dxfId="879" priority="1835" operator="containsText" text="전준영">
      <formula>NOT(ISERROR(SEARCH("전준영",H1091)))</formula>
    </cfRule>
    <cfRule type="containsText" dxfId="878" priority="1836" operator="containsText" text="차재성">
      <formula>NOT(ISERROR(SEARCH("차재성",H1091)))</formula>
    </cfRule>
  </conditionalFormatting>
  <conditionalFormatting sqref="J491:J492">
    <cfRule type="containsText" dxfId="877" priority="1" operator="containsText" text="김지윤">
      <formula>NOT(ISERROR(SEARCH("김지윤",J491)))</formula>
    </cfRule>
    <cfRule type="containsText" dxfId="876" priority="2" operator="containsText" text="양길승">
      <formula>NOT(ISERROR(SEARCH("양길승",J491)))</formula>
    </cfRule>
    <cfRule type="containsText" dxfId="875" priority="3" operator="containsText" text="정지철">
      <formula>NOT(ISERROR(SEARCH("정지철",J491)))</formula>
    </cfRule>
    <cfRule type="containsText" dxfId="874" priority="4" operator="containsText" text="최민">
      <formula>NOT(ISERROR(SEARCH("최민",J491)))</formula>
    </cfRule>
    <cfRule type="containsText" dxfId="873" priority="5" operator="containsText" text="허하나로">
      <formula>NOT(ISERROR(SEARCH("허하나로",J491)))</formula>
    </cfRule>
    <cfRule type="containsText" dxfId="872" priority="6" operator="containsText" text="안은선">
      <formula>NOT(ISERROR(SEARCH("안은선",J491)))</formula>
    </cfRule>
    <cfRule type="containsText" dxfId="871" priority="7" operator="containsText" text="전준영">
      <formula>NOT(ISERROR(SEARCH("전준영",J491)))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1427-275E-461D-9F8B-CD27790E7B3F}">
  <dimension ref="A1:CS1048564"/>
  <sheetViews>
    <sheetView zoomScaleNormal="100" zoomScaleSheetLayoutView="100" workbookViewId="0">
      <selection activeCell="H15" sqref="H15"/>
    </sheetView>
  </sheetViews>
  <sheetFormatPr defaultRowHeight="13.5"/>
  <cols>
    <col min="1" max="6" width="3.875" style="298" customWidth="1"/>
    <col min="7" max="7" width="32.625" style="298" customWidth="1"/>
    <col min="8" max="9" width="14.625" style="347" customWidth="1"/>
    <col min="10" max="10" width="14.625" style="1336" customWidth="1"/>
    <col min="11" max="11" width="55.625" style="1337" customWidth="1"/>
    <col min="12" max="12" width="3.625" style="1338" customWidth="1"/>
    <col min="13" max="13" width="14.625" style="299" customWidth="1"/>
    <col min="14" max="14" width="16.25" style="1820" bestFit="1" customWidth="1"/>
    <col min="15" max="15" width="9.875" style="494" hidden="1" customWidth="1"/>
    <col min="16" max="16" width="9.375" style="494" hidden="1" customWidth="1"/>
    <col min="17" max="17" width="7.625" style="494" hidden="1" customWidth="1"/>
    <col min="18" max="18" width="8.375" style="494" hidden="1" customWidth="1"/>
    <col min="19" max="19" width="12.75" style="494" hidden="1" customWidth="1"/>
    <col min="20" max="20" width="11.875" style="494" hidden="1" customWidth="1"/>
    <col min="21" max="21" width="10.625" style="494" hidden="1" customWidth="1"/>
    <col min="22" max="26" width="0" style="494" hidden="1" customWidth="1"/>
    <col min="27" max="27" width="13" style="494" hidden="1" customWidth="1"/>
    <col min="28" max="53" width="0" style="494" hidden="1" customWidth="1"/>
    <col min="54" max="57" width="9" style="494"/>
    <col min="58" max="58" width="10" style="2778" bestFit="1" customWidth="1"/>
    <col min="59" max="16384" width="9" style="492"/>
  </cols>
  <sheetData>
    <row r="1" spans="1:82" ht="21.75" customHeight="1" thickBot="1">
      <c r="A1" s="765" t="s">
        <v>1530</v>
      </c>
      <c r="B1" s="297"/>
      <c r="C1" s="297"/>
      <c r="D1" s="297"/>
      <c r="E1" s="297"/>
      <c r="F1" s="297"/>
      <c r="M1" s="1314" t="s">
        <v>903</v>
      </c>
    </row>
    <row r="2" spans="1:82" s="2" customFormat="1" ht="18" customHeight="1">
      <c r="A2" s="2972" t="s">
        <v>844</v>
      </c>
      <c r="B2" s="2932" t="s">
        <v>845</v>
      </c>
      <c r="C2" s="2933"/>
      <c r="D2" s="2934"/>
      <c r="E2" s="2932" t="s">
        <v>846</v>
      </c>
      <c r="F2" s="2933"/>
      <c r="G2" s="2934"/>
      <c r="H2" s="2944" t="s">
        <v>33</v>
      </c>
      <c r="I2" s="2940" t="s">
        <v>35</v>
      </c>
      <c r="J2" s="2942" t="s">
        <v>73</v>
      </c>
      <c r="K2" s="2923" t="s">
        <v>105</v>
      </c>
      <c r="L2" s="2924"/>
      <c r="M2" s="2925"/>
      <c r="N2" s="1821"/>
      <c r="O2" s="6"/>
      <c r="P2" s="39"/>
      <c r="Q2" s="6"/>
      <c r="R2" s="6"/>
      <c r="S2" s="6"/>
      <c r="T2" s="14"/>
      <c r="U2" s="5"/>
      <c r="BF2" s="2779"/>
    </row>
    <row r="3" spans="1:82" s="2" customFormat="1" ht="18" customHeight="1" thickBot="1">
      <c r="A3" s="2931"/>
      <c r="B3" s="1015" t="s">
        <v>847</v>
      </c>
      <c r="C3" s="1015" t="s">
        <v>848</v>
      </c>
      <c r="D3" s="1015" t="s">
        <v>849</v>
      </c>
      <c r="E3" s="1015" t="s">
        <v>850</v>
      </c>
      <c r="F3" s="1015" t="s">
        <v>851</v>
      </c>
      <c r="G3" s="1015" t="s">
        <v>852</v>
      </c>
      <c r="H3" s="2945"/>
      <c r="I3" s="2941"/>
      <c r="J3" s="2943"/>
      <c r="K3" s="2926"/>
      <c r="L3" s="2927"/>
      <c r="M3" s="2928"/>
      <c r="N3" s="1821"/>
      <c r="O3" s="6"/>
      <c r="P3" s="39"/>
      <c r="Q3" s="6"/>
      <c r="R3" s="6"/>
      <c r="S3" s="6"/>
      <c r="T3" s="14"/>
      <c r="U3" s="5"/>
      <c r="BF3" s="2779"/>
    </row>
    <row r="4" spans="1:82" s="497" customFormat="1" ht="18" customHeight="1" thickBot="1">
      <c r="A4" s="2975" t="s">
        <v>853</v>
      </c>
      <c r="B4" s="2976"/>
      <c r="C4" s="2976"/>
      <c r="D4" s="2976"/>
      <c r="E4" s="2976"/>
      <c r="F4" s="2976"/>
      <c r="G4" s="2977"/>
      <c r="H4" s="1315">
        <f>H5+H280</f>
        <v>2395168</v>
      </c>
      <c r="I4" s="1315">
        <f>I5+I280</f>
        <v>2113893</v>
      </c>
      <c r="J4" s="1017">
        <f t="shared" ref="J4:J9" si="0">H4-I4</f>
        <v>281275</v>
      </c>
      <c r="K4" s="766"/>
      <c r="L4" s="767"/>
      <c r="M4" s="1018"/>
      <c r="N4" s="1822"/>
      <c r="O4" s="325"/>
      <c r="P4" s="326"/>
      <c r="Q4" s="327"/>
      <c r="R4" s="328"/>
      <c r="S4" s="328"/>
      <c r="T4" s="500"/>
      <c r="X4" s="500"/>
      <c r="Y4" s="500"/>
      <c r="Z4" s="500"/>
      <c r="AA4" s="500"/>
      <c r="AB4" s="500"/>
      <c r="BF4" s="2780"/>
    </row>
    <row r="5" spans="1:82" s="2" customFormat="1" ht="18" customHeight="1">
      <c r="A5" s="1709" t="s">
        <v>204</v>
      </c>
      <c r="B5" s="1019"/>
      <c r="C5" s="1020"/>
      <c r="D5" s="1020"/>
      <c r="E5" s="1020"/>
      <c r="F5" s="1020"/>
      <c r="G5" s="1021"/>
      <c r="H5" s="829">
        <f>H6</f>
        <v>2228418</v>
      </c>
      <c r="I5" s="829">
        <f>I6</f>
        <v>1986393</v>
      </c>
      <c r="J5" s="830">
        <f t="shared" si="0"/>
        <v>242025</v>
      </c>
      <c r="K5" s="678"/>
      <c r="L5" s="679"/>
      <c r="M5" s="680"/>
      <c r="N5" s="1823"/>
      <c r="O5" s="3"/>
      <c r="P5" s="68"/>
      <c r="Q5" s="1023"/>
      <c r="R5" s="1023"/>
      <c r="S5" s="1023"/>
      <c r="T5" s="1024"/>
      <c r="U5" s="1025"/>
      <c r="BF5" s="2779"/>
    </row>
    <row r="6" spans="1:82" s="2" customFormat="1" ht="18" customHeight="1">
      <c r="A6" s="64"/>
      <c r="B6" s="1026" t="s">
        <v>920</v>
      </c>
      <c r="C6" s="1026"/>
      <c r="D6" s="1027"/>
      <c r="E6" s="1027"/>
      <c r="F6" s="1027"/>
      <c r="G6" s="1028"/>
      <c r="H6" s="829">
        <f>H7+H110+H146+H210</f>
        <v>2228418</v>
      </c>
      <c r="I6" s="829">
        <f>I7+I110+I146+I210</f>
        <v>1986393</v>
      </c>
      <c r="J6" s="830">
        <f t="shared" si="0"/>
        <v>242025</v>
      </c>
      <c r="K6" s="678"/>
      <c r="L6" s="679"/>
      <c r="M6" s="680"/>
      <c r="N6" s="1823"/>
      <c r="O6" s="3"/>
      <c r="P6" s="68"/>
      <c r="Q6" s="1023"/>
      <c r="R6" s="1023"/>
      <c r="S6" s="1023"/>
      <c r="T6" s="1024"/>
      <c r="U6" s="1025"/>
      <c r="BF6" s="2779"/>
    </row>
    <row r="7" spans="1:82" s="2" customFormat="1" ht="18" customHeight="1">
      <c r="A7" s="64"/>
      <c r="B7" s="22"/>
      <c r="C7" s="1339" t="s">
        <v>910</v>
      </c>
      <c r="D7" s="1027"/>
      <c r="E7" s="1027"/>
      <c r="F7" s="1027"/>
      <c r="G7" s="1028"/>
      <c r="H7" s="829">
        <f>H8+H104</f>
        <v>1577711</v>
      </c>
      <c r="I7" s="829">
        <f>I8+I104</f>
        <v>1456881</v>
      </c>
      <c r="J7" s="830">
        <f t="shared" si="0"/>
        <v>120830</v>
      </c>
      <c r="K7" s="678"/>
      <c r="L7" s="679"/>
      <c r="M7" s="680"/>
      <c r="N7" s="2978"/>
      <c r="O7" s="2979"/>
      <c r="P7" s="2979"/>
      <c r="Q7" s="2979"/>
      <c r="R7" s="2979"/>
      <c r="S7" s="2979"/>
      <c r="T7" s="2979"/>
      <c r="U7" s="2979"/>
      <c r="BF7" s="2779"/>
    </row>
    <row r="8" spans="1:82" s="2" customFormat="1" ht="18" customHeight="1">
      <c r="A8" s="64"/>
      <c r="B8" s="22"/>
      <c r="C8" s="25"/>
      <c r="D8" s="1339" t="s">
        <v>571</v>
      </c>
      <c r="E8" s="1027"/>
      <c r="F8" s="1027"/>
      <c r="G8" s="1028"/>
      <c r="H8" s="1029">
        <f>H9+H24+H100</f>
        <v>1396852</v>
      </c>
      <c r="I8" s="1029">
        <f>I9+I24+I100</f>
        <v>1271881</v>
      </c>
      <c r="J8" s="51">
        <f t="shared" si="0"/>
        <v>124971</v>
      </c>
      <c r="K8" s="684"/>
      <c r="L8" s="1030"/>
      <c r="M8" s="680"/>
      <c r="N8" s="1823"/>
      <c r="O8" s="3"/>
      <c r="P8" s="68"/>
      <c r="Q8" s="1023"/>
      <c r="R8" s="1023"/>
      <c r="S8" s="1023"/>
      <c r="T8" s="1024"/>
      <c r="U8" s="1025"/>
      <c r="BF8" s="2779"/>
    </row>
    <row r="9" spans="1:82" s="2" customFormat="1" ht="18" customHeight="1">
      <c r="A9" s="64"/>
      <c r="B9" s="22"/>
      <c r="C9" s="1031"/>
      <c r="D9" s="1032"/>
      <c r="E9" s="1026" t="s">
        <v>854</v>
      </c>
      <c r="F9" s="1027"/>
      <c r="G9" s="1028"/>
      <c r="H9" s="825">
        <f>H10</f>
        <v>374709</v>
      </c>
      <c r="I9" s="825">
        <f>I10</f>
        <v>491919</v>
      </c>
      <c r="J9" s="826">
        <f t="shared" si="0"/>
        <v>-117210</v>
      </c>
      <c r="K9" s="728"/>
      <c r="L9" s="827"/>
      <c r="M9" s="694"/>
      <c r="N9" s="1823"/>
      <c r="O9" s="3"/>
      <c r="P9" s="68"/>
      <c r="Q9" s="1023"/>
      <c r="R9" s="1023"/>
      <c r="S9" s="1023"/>
      <c r="T9" s="76"/>
      <c r="U9" s="1025"/>
      <c r="BF9" s="2779"/>
    </row>
    <row r="10" spans="1:82" ht="25.5" customHeight="1">
      <c r="A10" s="1340"/>
      <c r="B10" s="1341"/>
      <c r="C10" s="1342"/>
      <c r="D10" s="1342"/>
      <c r="E10" s="1342"/>
      <c r="F10" s="2970" t="s">
        <v>921</v>
      </c>
      <c r="G10" s="2971"/>
      <c r="H10" s="1343">
        <f>H11</f>
        <v>374709</v>
      </c>
      <c r="I10" s="1343">
        <f>I11</f>
        <v>491919</v>
      </c>
      <c r="J10" s="1344">
        <f>H10-I10</f>
        <v>-117210</v>
      </c>
      <c r="K10" s="302"/>
      <c r="L10" s="303"/>
      <c r="M10" s="1345"/>
      <c r="N10" s="1346"/>
      <c r="O10" s="1347"/>
      <c r="P10" s="1348"/>
      <c r="Q10" s="1348"/>
      <c r="R10" s="1349"/>
      <c r="S10" s="1350"/>
      <c r="T10" s="1350"/>
      <c r="U10" s="1350"/>
      <c r="V10" s="496"/>
      <c r="W10" s="496"/>
      <c r="X10" s="496"/>
      <c r="Y10" s="496"/>
      <c r="Z10" s="496"/>
      <c r="AA10" s="496"/>
      <c r="AB10" s="495"/>
      <c r="AC10" s="495"/>
      <c r="AD10" s="495"/>
      <c r="AE10" s="495"/>
      <c r="AF10" s="495"/>
      <c r="AG10" s="495"/>
      <c r="AH10" s="495"/>
      <c r="AI10" s="495"/>
      <c r="AJ10" s="495"/>
      <c r="AK10" s="495"/>
      <c r="AL10" s="495"/>
      <c r="AM10" s="495"/>
      <c r="AN10" s="495"/>
      <c r="AO10" s="495"/>
      <c r="AP10" s="495"/>
      <c r="AQ10" s="495"/>
      <c r="AR10" s="495"/>
      <c r="AS10" s="495"/>
      <c r="AT10" s="495"/>
      <c r="AU10" s="495"/>
      <c r="AV10" s="495"/>
      <c r="AW10" s="495"/>
      <c r="AX10" s="495"/>
      <c r="AY10" s="495"/>
      <c r="AZ10" s="495"/>
      <c r="BA10" s="495"/>
      <c r="BB10" s="495"/>
      <c r="BC10" s="495"/>
      <c r="BD10" s="495"/>
      <c r="BE10" s="495"/>
      <c r="BF10" s="2781"/>
      <c r="BG10" s="495"/>
      <c r="BH10" s="495"/>
      <c r="BI10" s="495"/>
      <c r="BJ10" s="495"/>
      <c r="BK10" s="495"/>
      <c r="BL10" s="495"/>
      <c r="BM10" s="495"/>
      <c r="BN10" s="495"/>
      <c r="BO10" s="495"/>
      <c r="BP10" s="495"/>
      <c r="BQ10" s="495"/>
      <c r="BR10" s="495"/>
      <c r="BS10" s="495"/>
      <c r="BT10" s="495"/>
      <c r="BU10" s="495"/>
      <c r="BV10" s="495"/>
      <c r="BW10" s="495"/>
      <c r="BX10" s="495"/>
      <c r="BY10" s="495"/>
      <c r="BZ10" s="495"/>
      <c r="CA10" s="495"/>
      <c r="CB10" s="495"/>
      <c r="CC10" s="495"/>
      <c r="CD10" s="495"/>
    </row>
    <row r="11" spans="1:82" ht="24" customHeight="1">
      <c r="A11" s="1351"/>
      <c r="B11" s="1352"/>
      <c r="C11" s="304"/>
      <c r="D11" s="304"/>
      <c r="E11" s="304"/>
      <c r="F11" s="304"/>
      <c r="G11" s="1353" t="s">
        <v>922</v>
      </c>
      <c r="H11" s="1354">
        <f>M11</f>
        <v>374709</v>
      </c>
      <c r="I11" s="1354">
        <v>491919</v>
      </c>
      <c r="J11" s="1355">
        <f>H11-I11</f>
        <v>-117210</v>
      </c>
      <c r="K11" s="1356" t="s">
        <v>923</v>
      </c>
      <c r="L11" s="1357"/>
      <c r="M11" s="1358">
        <f>M12+M22+M17</f>
        <v>374709</v>
      </c>
      <c r="N11" s="1346"/>
      <c r="O11" s="1359"/>
      <c r="P11" s="1360"/>
      <c r="Q11" s="1360"/>
      <c r="R11" s="1361"/>
      <c r="S11" s="1362"/>
      <c r="T11" s="496"/>
      <c r="U11" s="496"/>
      <c r="V11" s="496"/>
      <c r="W11" s="496"/>
      <c r="X11" s="496"/>
      <c r="Y11" s="496"/>
      <c r="Z11" s="496"/>
      <c r="AA11" s="496"/>
      <c r="AB11" s="496"/>
      <c r="AC11" s="496"/>
      <c r="AD11" s="496"/>
      <c r="AE11" s="496"/>
      <c r="AF11" s="496"/>
      <c r="AG11" s="496"/>
      <c r="AH11" s="496"/>
      <c r="AI11" s="496"/>
      <c r="AJ11" s="496"/>
      <c r="AK11" s="496"/>
      <c r="AL11" s="496"/>
      <c r="AM11" s="496"/>
      <c r="AN11" s="496"/>
      <c r="AO11" s="496"/>
      <c r="AP11" s="496"/>
      <c r="AQ11" s="496"/>
      <c r="AR11" s="496"/>
      <c r="AS11" s="496"/>
      <c r="AT11" s="496"/>
      <c r="AU11" s="496"/>
      <c r="AV11" s="496"/>
      <c r="AW11" s="496"/>
      <c r="AX11" s="496"/>
      <c r="AY11" s="496"/>
      <c r="AZ11" s="496"/>
      <c r="BA11" s="496"/>
      <c r="BB11" s="496"/>
      <c r="BC11" s="496"/>
      <c r="BD11" s="496"/>
      <c r="BE11" s="496"/>
      <c r="BF11" s="2782"/>
      <c r="BG11" s="496"/>
      <c r="BH11" s="496"/>
      <c r="BI11" s="496"/>
      <c r="BJ11" s="496"/>
      <c r="BK11" s="496"/>
      <c r="BL11" s="496"/>
      <c r="BM11" s="496"/>
      <c r="BN11" s="496"/>
      <c r="BO11" s="496"/>
      <c r="BP11" s="496"/>
      <c r="BQ11" s="496"/>
      <c r="BR11" s="496"/>
      <c r="BS11" s="496"/>
      <c r="BT11" s="496"/>
      <c r="BU11" s="496"/>
      <c r="BV11" s="496"/>
      <c r="BW11" s="496"/>
      <c r="BX11" s="496"/>
      <c r="BY11" s="496"/>
      <c r="BZ11" s="496"/>
      <c r="CA11" s="496"/>
      <c r="CB11" s="496"/>
      <c r="CC11" s="496"/>
      <c r="CD11" s="496"/>
    </row>
    <row r="12" spans="1:82" ht="21" customHeight="1">
      <c r="A12" s="1351"/>
      <c r="B12" s="1352"/>
      <c r="C12" s="304"/>
      <c r="D12" s="304"/>
      <c r="E12" s="304"/>
      <c r="F12" s="304"/>
      <c r="G12" s="1363"/>
      <c r="H12" s="1241"/>
      <c r="I12" s="1824"/>
      <c r="J12" s="1364"/>
      <c r="K12" s="307" t="s">
        <v>1531</v>
      </c>
      <c r="L12" s="483"/>
      <c r="M12" s="1365">
        <f>M13+M14+M15+M16</f>
        <v>175168</v>
      </c>
      <c r="N12" s="1346"/>
      <c r="O12" s="1359"/>
      <c r="P12" s="1360"/>
      <c r="Q12" s="1360"/>
      <c r="R12" s="1361"/>
      <c r="S12" s="1362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6"/>
      <c r="AH12" s="496"/>
      <c r="AI12" s="496"/>
      <c r="AJ12" s="496"/>
      <c r="AK12" s="496"/>
      <c r="AL12" s="496"/>
      <c r="AM12" s="496"/>
      <c r="AN12" s="496"/>
      <c r="AO12" s="496"/>
      <c r="AP12" s="496"/>
      <c r="AQ12" s="496"/>
      <c r="AR12" s="496"/>
      <c r="AS12" s="496"/>
      <c r="AT12" s="496"/>
      <c r="AU12" s="496"/>
      <c r="AV12" s="496"/>
      <c r="AW12" s="496"/>
      <c r="AX12" s="496"/>
      <c r="AY12" s="496"/>
      <c r="AZ12" s="496"/>
      <c r="BA12" s="496"/>
      <c r="BB12" s="496"/>
      <c r="BC12" s="496"/>
      <c r="BD12" s="496"/>
      <c r="BE12" s="496"/>
      <c r="BF12" s="2782"/>
      <c r="BG12" s="496"/>
      <c r="BH12" s="496"/>
      <c r="BI12" s="496"/>
      <c r="BJ12" s="496"/>
      <c r="BK12" s="496"/>
      <c r="BL12" s="496"/>
      <c r="BM12" s="496"/>
      <c r="BN12" s="496"/>
      <c r="BO12" s="496"/>
      <c r="BP12" s="496"/>
      <c r="BQ12" s="496"/>
      <c r="BR12" s="496"/>
      <c r="BS12" s="496"/>
      <c r="BT12" s="496"/>
      <c r="BU12" s="496"/>
      <c r="BV12" s="496"/>
      <c r="BW12" s="496"/>
      <c r="BX12" s="496"/>
      <c r="BY12" s="496"/>
      <c r="BZ12" s="496"/>
      <c r="CA12" s="496"/>
      <c r="CB12" s="496"/>
      <c r="CC12" s="496"/>
      <c r="CD12" s="496"/>
    </row>
    <row r="13" spans="1:82" ht="21" customHeight="1">
      <c r="A13" s="1351"/>
      <c r="B13" s="1352"/>
      <c r="C13" s="304"/>
      <c r="D13" s="304"/>
      <c r="E13" s="304"/>
      <c r="F13" s="304"/>
      <c r="G13" s="1363"/>
      <c r="H13" s="1241"/>
      <c r="I13" s="1824"/>
      <c r="J13" s="1364"/>
      <c r="K13" s="307" t="s">
        <v>2365</v>
      </c>
      <c r="L13" s="483" t="s">
        <v>292</v>
      </c>
      <c r="M13" s="1366">
        <v>116480</v>
      </c>
      <c r="N13" s="1346">
        <f>89970*5*5*52</f>
        <v>116961000</v>
      </c>
      <c r="O13" s="1359"/>
      <c r="P13" s="1360"/>
      <c r="Q13" s="1360"/>
      <c r="R13" s="1361"/>
      <c r="S13" s="1362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AU13" s="496"/>
      <c r="AV13" s="496"/>
      <c r="AW13" s="496"/>
      <c r="AX13" s="496"/>
      <c r="AY13" s="496"/>
      <c r="AZ13" s="496"/>
      <c r="BA13" s="496"/>
      <c r="BB13" s="496"/>
      <c r="BC13" s="496"/>
      <c r="BD13" s="496"/>
      <c r="BE13" s="496"/>
      <c r="BF13" s="2782"/>
      <c r="BG13" s="496"/>
      <c r="BH13" s="496"/>
      <c r="BI13" s="496"/>
      <c r="BJ13" s="496"/>
      <c r="BK13" s="496"/>
      <c r="BL13" s="496"/>
      <c r="BM13" s="496"/>
      <c r="BN13" s="496"/>
      <c r="BO13" s="496"/>
      <c r="BP13" s="496"/>
      <c r="BQ13" s="496"/>
      <c r="BR13" s="496"/>
      <c r="BS13" s="496"/>
      <c r="BT13" s="496"/>
      <c r="BU13" s="496"/>
      <c r="BV13" s="496"/>
      <c r="BW13" s="496"/>
      <c r="BX13" s="496"/>
      <c r="BY13" s="496"/>
      <c r="BZ13" s="496"/>
      <c r="CA13" s="496"/>
      <c r="CB13" s="496"/>
      <c r="CC13" s="496"/>
      <c r="CD13" s="496"/>
    </row>
    <row r="14" spans="1:82" ht="21" customHeight="1">
      <c r="A14" s="1351"/>
      <c r="B14" s="1352"/>
      <c r="C14" s="304"/>
      <c r="D14" s="304"/>
      <c r="E14" s="304"/>
      <c r="F14" s="304"/>
      <c r="G14" s="1363"/>
      <c r="H14" s="1241"/>
      <c r="I14" s="1824"/>
      <c r="J14" s="1364"/>
      <c r="K14" s="307" t="s">
        <v>2366</v>
      </c>
      <c r="L14" s="483" t="s">
        <v>292</v>
      </c>
      <c r="M14" s="1366">
        <v>23296</v>
      </c>
      <c r="N14" s="1346">
        <f>89970*5*52</f>
        <v>23392200</v>
      </c>
      <c r="O14" s="1367"/>
      <c r="P14" s="1360"/>
      <c r="Q14" s="1360"/>
      <c r="R14" s="1361"/>
      <c r="S14" s="1362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6"/>
      <c r="AQ14" s="496"/>
      <c r="AR14" s="496"/>
      <c r="AS14" s="496"/>
      <c r="AT14" s="496"/>
      <c r="AU14" s="496"/>
      <c r="AV14" s="496"/>
      <c r="AW14" s="496"/>
      <c r="AX14" s="496"/>
      <c r="AY14" s="496"/>
      <c r="AZ14" s="496"/>
      <c r="BA14" s="496"/>
      <c r="BB14" s="496"/>
      <c r="BC14" s="496"/>
      <c r="BD14" s="496"/>
      <c r="BE14" s="496"/>
      <c r="BF14" s="2782"/>
      <c r="BG14" s="496"/>
      <c r="BH14" s="496"/>
      <c r="BI14" s="496"/>
      <c r="BJ14" s="496"/>
      <c r="BK14" s="496"/>
      <c r="BL14" s="496"/>
      <c r="BM14" s="496"/>
      <c r="BN14" s="496"/>
      <c r="BO14" s="496"/>
      <c r="BP14" s="496"/>
      <c r="BQ14" s="496"/>
      <c r="BR14" s="496"/>
      <c r="BS14" s="496"/>
      <c r="BT14" s="496"/>
      <c r="BU14" s="496"/>
      <c r="BV14" s="496"/>
      <c r="BW14" s="496"/>
      <c r="BX14" s="496"/>
      <c r="BY14" s="496"/>
      <c r="BZ14" s="496"/>
      <c r="CA14" s="496"/>
      <c r="CB14" s="496"/>
      <c r="CC14" s="496"/>
      <c r="CD14" s="496"/>
    </row>
    <row r="15" spans="1:82" ht="21" customHeight="1">
      <c r="A15" s="1351"/>
      <c r="B15" s="1352"/>
      <c r="C15" s="304"/>
      <c r="D15" s="304"/>
      <c r="E15" s="304"/>
      <c r="F15" s="304"/>
      <c r="G15" s="1363"/>
      <c r="H15" s="1241"/>
      <c r="I15" s="1824"/>
      <c r="J15" s="1364"/>
      <c r="K15" s="307" t="s">
        <v>2367</v>
      </c>
      <c r="L15" s="483" t="s">
        <v>292</v>
      </c>
      <c r="M15" s="1366">
        <v>30912</v>
      </c>
      <c r="N15" s="1346">
        <f>89970*5*46*1.5</f>
        <v>31039650</v>
      </c>
      <c r="O15" s="1359"/>
      <c r="P15" s="1360"/>
      <c r="Q15" s="1360"/>
      <c r="R15" s="1361"/>
      <c r="S15" s="1362"/>
      <c r="T15" s="496"/>
      <c r="U15" s="496"/>
      <c r="V15" s="496"/>
      <c r="W15" s="496"/>
      <c r="X15" s="496"/>
      <c r="Y15" s="496"/>
      <c r="Z15" s="496"/>
      <c r="AA15" s="496"/>
      <c r="AB15" s="496"/>
      <c r="AC15" s="496"/>
      <c r="AD15" s="496"/>
      <c r="AE15" s="496"/>
      <c r="AF15" s="496"/>
      <c r="AG15" s="496"/>
      <c r="AH15" s="496"/>
      <c r="AI15" s="496"/>
      <c r="AJ15" s="496"/>
      <c r="AK15" s="496"/>
      <c r="AL15" s="496"/>
      <c r="AM15" s="496"/>
      <c r="AN15" s="496"/>
      <c r="AO15" s="496"/>
      <c r="AP15" s="496"/>
      <c r="AQ15" s="496"/>
      <c r="AR15" s="496"/>
      <c r="AS15" s="496"/>
      <c r="AT15" s="496"/>
      <c r="AU15" s="496"/>
      <c r="AV15" s="496"/>
      <c r="AW15" s="496"/>
      <c r="AX15" s="496"/>
      <c r="AY15" s="496"/>
      <c r="AZ15" s="496"/>
      <c r="BA15" s="496"/>
      <c r="BB15" s="496"/>
      <c r="BC15" s="496"/>
      <c r="BD15" s="496"/>
      <c r="BE15" s="496"/>
      <c r="BF15" s="2782"/>
      <c r="BG15" s="496"/>
      <c r="BH15" s="496"/>
      <c r="BI15" s="496"/>
      <c r="BJ15" s="496"/>
      <c r="BK15" s="496"/>
      <c r="BL15" s="496"/>
      <c r="BM15" s="496"/>
      <c r="BN15" s="496"/>
      <c r="BO15" s="496"/>
      <c r="BP15" s="496"/>
      <c r="BQ15" s="496"/>
      <c r="BR15" s="496"/>
      <c r="BS15" s="496"/>
      <c r="BT15" s="496"/>
      <c r="BU15" s="496"/>
      <c r="BV15" s="496"/>
      <c r="BW15" s="496"/>
      <c r="BX15" s="496"/>
      <c r="BY15" s="496"/>
      <c r="BZ15" s="496"/>
      <c r="CA15" s="496"/>
      <c r="CB15" s="496"/>
      <c r="CC15" s="496"/>
      <c r="CD15" s="496"/>
    </row>
    <row r="16" spans="1:82" ht="21" customHeight="1">
      <c r="A16" s="1351"/>
      <c r="B16" s="1352"/>
      <c r="C16" s="304"/>
      <c r="D16" s="304"/>
      <c r="E16" s="304"/>
      <c r="F16" s="304"/>
      <c r="G16" s="1363"/>
      <c r="H16" s="1241"/>
      <c r="I16" s="1824"/>
      <c r="J16" s="1364"/>
      <c r="K16" s="307" t="s">
        <v>2368</v>
      </c>
      <c r="L16" s="483" t="s">
        <v>292</v>
      </c>
      <c r="M16" s="1366">
        <v>4480</v>
      </c>
      <c r="N16" s="1346">
        <f>89970*5*10</f>
        <v>4498500</v>
      </c>
      <c r="O16" s="1359"/>
      <c r="P16" s="1360"/>
      <c r="Q16" s="1360"/>
      <c r="R16" s="1361"/>
      <c r="S16" s="1362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6"/>
      <c r="AQ16" s="496"/>
      <c r="AR16" s="496"/>
      <c r="AS16" s="496"/>
      <c r="AT16" s="496"/>
      <c r="AU16" s="496"/>
      <c r="AV16" s="496"/>
      <c r="AW16" s="496"/>
      <c r="AX16" s="496"/>
      <c r="AY16" s="496"/>
      <c r="AZ16" s="496"/>
      <c r="BA16" s="496"/>
      <c r="BB16" s="496"/>
      <c r="BC16" s="496"/>
      <c r="BD16" s="496"/>
      <c r="BE16" s="496"/>
      <c r="BF16" s="2782"/>
      <c r="BG16" s="496"/>
      <c r="BH16" s="496"/>
      <c r="BI16" s="496"/>
      <c r="BJ16" s="496"/>
      <c r="BK16" s="496"/>
      <c r="BL16" s="496"/>
      <c r="BM16" s="496"/>
      <c r="BN16" s="496"/>
      <c r="BO16" s="496"/>
      <c r="BP16" s="496"/>
      <c r="BQ16" s="496"/>
      <c r="BR16" s="496"/>
      <c r="BS16" s="496"/>
      <c r="BT16" s="496"/>
      <c r="BU16" s="496"/>
      <c r="BV16" s="496"/>
      <c r="BW16" s="496"/>
      <c r="BX16" s="496"/>
      <c r="BY16" s="496"/>
      <c r="BZ16" s="496"/>
      <c r="CA16" s="496"/>
      <c r="CB16" s="496"/>
      <c r="CC16" s="496"/>
      <c r="CD16" s="496"/>
    </row>
    <row r="17" spans="1:97" ht="21" customHeight="1">
      <c r="A17" s="1351"/>
      <c r="B17" s="1352"/>
      <c r="C17" s="304"/>
      <c r="D17" s="304"/>
      <c r="E17" s="304"/>
      <c r="F17" s="304"/>
      <c r="G17" s="1363"/>
      <c r="H17" s="1241"/>
      <c r="I17" s="1824"/>
      <c r="J17" s="1364"/>
      <c r="K17" s="307" t="s">
        <v>1532</v>
      </c>
      <c r="L17" s="483"/>
      <c r="M17" s="1365">
        <f>M18+M19+M20+M21</f>
        <v>166926</v>
      </c>
      <c r="N17" s="1346"/>
      <c r="O17" s="1359"/>
      <c r="P17" s="1360"/>
      <c r="Q17" s="1360"/>
      <c r="R17" s="1361"/>
      <c r="S17" s="1362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6"/>
      <c r="AJ17" s="496"/>
      <c r="AK17" s="496"/>
      <c r="AL17" s="496"/>
      <c r="AM17" s="496"/>
      <c r="AN17" s="496"/>
      <c r="AO17" s="496"/>
      <c r="AP17" s="496"/>
      <c r="AQ17" s="496"/>
      <c r="AR17" s="496"/>
      <c r="AS17" s="496"/>
      <c r="AT17" s="496"/>
      <c r="AU17" s="496"/>
      <c r="AV17" s="496"/>
      <c r="AW17" s="496"/>
      <c r="AX17" s="496"/>
      <c r="AY17" s="496"/>
      <c r="AZ17" s="496"/>
      <c r="BA17" s="496"/>
      <c r="BB17" s="496"/>
      <c r="BC17" s="496"/>
      <c r="BD17" s="496"/>
      <c r="BE17" s="496"/>
      <c r="BF17" s="2782"/>
      <c r="BG17" s="496"/>
      <c r="BH17" s="496"/>
      <c r="BI17" s="496"/>
      <c r="BJ17" s="496"/>
      <c r="BK17" s="496"/>
      <c r="BL17" s="496"/>
      <c r="BM17" s="496"/>
      <c r="BN17" s="496"/>
      <c r="BO17" s="496"/>
      <c r="BP17" s="496"/>
      <c r="BQ17" s="496"/>
      <c r="BR17" s="496"/>
      <c r="BS17" s="496"/>
      <c r="BT17" s="496"/>
      <c r="BU17" s="496"/>
      <c r="BV17" s="496"/>
      <c r="BW17" s="496"/>
      <c r="BX17" s="496"/>
      <c r="BY17" s="496"/>
      <c r="BZ17" s="496"/>
      <c r="CA17" s="496"/>
      <c r="CB17" s="496"/>
      <c r="CC17" s="496"/>
      <c r="CD17" s="496"/>
    </row>
    <row r="18" spans="1:97" ht="21" customHeight="1">
      <c r="A18" s="1351"/>
      <c r="B18" s="1352"/>
      <c r="C18" s="304"/>
      <c r="D18" s="304"/>
      <c r="E18" s="304"/>
      <c r="F18" s="304"/>
      <c r="G18" s="1363"/>
      <c r="H18" s="1241"/>
      <c r="I18" s="1824"/>
      <c r="J18" s="1364"/>
      <c r="K18" s="307" t="s">
        <v>2369</v>
      </c>
      <c r="L18" s="483" t="s">
        <v>292</v>
      </c>
      <c r="M18" s="1366">
        <v>104832</v>
      </c>
      <c r="N18" s="1346">
        <f>67480*6*5*52</f>
        <v>105268800</v>
      </c>
      <c r="O18" s="1359"/>
      <c r="P18" s="1360"/>
      <c r="Q18" s="1360"/>
      <c r="R18" s="1361"/>
      <c r="S18" s="1362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6"/>
      <c r="AK18" s="496"/>
      <c r="AL18" s="496"/>
      <c r="AM18" s="496"/>
      <c r="AN18" s="496"/>
      <c r="AO18" s="496"/>
      <c r="AP18" s="496"/>
      <c r="AQ18" s="496"/>
      <c r="AR18" s="496"/>
      <c r="AS18" s="496"/>
      <c r="AT18" s="496"/>
      <c r="AU18" s="496"/>
      <c r="AV18" s="496"/>
      <c r="AW18" s="496"/>
      <c r="AX18" s="496"/>
      <c r="AY18" s="496"/>
      <c r="AZ18" s="496"/>
      <c r="BA18" s="496"/>
      <c r="BB18" s="496"/>
      <c r="BC18" s="496"/>
      <c r="BD18" s="496"/>
      <c r="BE18" s="496"/>
      <c r="BF18" s="2782"/>
      <c r="BG18" s="496"/>
      <c r="BH18" s="496"/>
      <c r="BI18" s="496"/>
      <c r="BJ18" s="496"/>
      <c r="BK18" s="496"/>
      <c r="BL18" s="496"/>
      <c r="BM18" s="496"/>
      <c r="BN18" s="496"/>
      <c r="BO18" s="496"/>
      <c r="BP18" s="496"/>
      <c r="BQ18" s="496"/>
      <c r="BR18" s="496"/>
      <c r="BS18" s="496"/>
      <c r="BT18" s="496"/>
      <c r="BU18" s="496"/>
      <c r="BV18" s="496"/>
      <c r="BW18" s="496"/>
      <c r="BX18" s="496"/>
      <c r="BY18" s="496"/>
      <c r="BZ18" s="496"/>
      <c r="CA18" s="496"/>
      <c r="CB18" s="496"/>
      <c r="CC18" s="496"/>
      <c r="CD18" s="496"/>
    </row>
    <row r="19" spans="1:97" ht="21" customHeight="1">
      <c r="A19" s="1351"/>
      <c r="B19" s="1352"/>
      <c r="C19" s="304"/>
      <c r="D19" s="304"/>
      <c r="E19" s="304"/>
      <c r="F19" s="304"/>
      <c r="G19" s="1363"/>
      <c r="H19" s="1241"/>
      <c r="I19" s="1824"/>
      <c r="J19" s="1364"/>
      <c r="K19" s="307" t="s">
        <v>2370</v>
      </c>
      <c r="L19" s="483" t="s">
        <v>292</v>
      </c>
      <c r="M19" s="1366">
        <v>20967</v>
      </c>
      <c r="N19" s="1346">
        <f>67480*6*52</f>
        <v>21053760</v>
      </c>
      <c r="O19" s="1359"/>
      <c r="P19" s="1360"/>
      <c r="Q19" s="1360"/>
      <c r="R19" s="1361"/>
      <c r="S19" s="1362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6"/>
      <c r="AQ19" s="496"/>
      <c r="AR19" s="496"/>
      <c r="AS19" s="496"/>
      <c r="AT19" s="496"/>
      <c r="AU19" s="496"/>
      <c r="AV19" s="496"/>
      <c r="AW19" s="496"/>
      <c r="AX19" s="496"/>
      <c r="AY19" s="496"/>
      <c r="AZ19" s="496"/>
      <c r="BA19" s="496"/>
      <c r="BB19" s="496"/>
      <c r="BC19" s="496"/>
      <c r="BD19" s="496"/>
      <c r="BE19" s="496"/>
      <c r="BF19" s="2782"/>
      <c r="BG19" s="496"/>
      <c r="BH19" s="496"/>
      <c r="BI19" s="496"/>
      <c r="BJ19" s="496"/>
      <c r="BK19" s="496"/>
      <c r="BL19" s="496"/>
      <c r="BM19" s="496"/>
      <c r="BN19" s="496"/>
      <c r="BO19" s="496"/>
      <c r="BP19" s="496"/>
      <c r="BQ19" s="496"/>
      <c r="BR19" s="496"/>
      <c r="BS19" s="496"/>
      <c r="BT19" s="496"/>
      <c r="BU19" s="496"/>
      <c r="BV19" s="496"/>
      <c r="BW19" s="496"/>
      <c r="BX19" s="496"/>
      <c r="BY19" s="496"/>
      <c r="BZ19" s="496"/>
      <c r="CA19" s="496"/>
      <c r="CB19" s="496"/>
      <c r="CC19" s="496"/>
      <c r="CD19" s="496"/>
    </row>
    <row r="20" spans="1:97" ht="21" customHeight="1">
      <c r="A20" s="1351"/>
      <c r="B20" s="1352"/>
      <c r="C20" s="304"/>
      <c r="D20" s="304"/>
      <c r="E20" s="304"/>
      <c r="F20" s="304"/>
      <c r="G20" s="1363"/>
      <c r="H20" s="1241"/>
      <c r="I20" s="1824"/>
      <c r="J20" s="1364"/>
      <c r="K20" s="307" t="s">
        <v>2371</v>
      </c>
      <c r="L20" s="483" t="s">
        <v>292</v>
      </c>
      <c r="M20" s="1366">
        <v>37095</v>
      </c>
      <c r="N20" s="1346">
        <f>89970*6*46*1.5</f>
        <v>37247580</v>
      </c>
      <c r="O20" s="1359"/>
      <c r="P20" s="1360"/>
      <c r="Q20" s="1360"/>
      <c r="R20" s="1361"/>
      <c r="S20" s="1362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6"/>
      <c r="AN20" s="496"/>
      <c r="AO20" s="496"/>
      <c r="AP20" s="496"/>
      <c r="AQ20" s="496"/>
      <c r="AR20" s="496"/>
      <c r="AS20" s="496"/>
      <c r="AT20" s="496"/>
      <c r="AU20" s="496"/>
      <c r="AV20" s="496"/>
      <c r="AW20" s="496"/>
      <c r="AX20" s="496"/>
      <c r="AY20" s="496"/>
      <c r="AZ20" s="496"/>
      <c r="BA20" s="496"/>
      <c r="BB20" s="496"/>
      <c r="BC20" s="496"/>
      <c r="BD20" s="496"/>
      <c r="BE20" s="496"/>
      <c r="BF20" s="2782"/>
      <c r="BG20" s="496"/>
      <c r="BH20" s="496"/>
      <c r="BI20" s="496"/>
      <c r="BJ20" s="496"/>
      <c r="BK20" s="496"/>
      <c r="BL20" s="496"/>
      <c r="BM20" s="496"/>
      <c r="BN20" s="496"/>
      <c r="BO20" s="496"/>
      <c r="BP20" s="496"/>
      <c r="BQ20" s="496"/>
      <c r="BR20" s="496"/>
      <c r="BS20" s="496"/>
      <c r="BT20" s="496"/>
      <c r="BU20" s="496"/>
      <c r="BV20" s="496"/>
      <c r="BW20" s="496"/>
      <c r="BX20" s="496"/>
      <c r="BY20" s="496"/>
      <c r="BZ20" s="496"/>
      <c r="CA20" s="496"/>
      <c r="CB20" s="496"/>
      <c r="CC20" s="496"/>
      <c r="CD20" s="496"/>
    </row>
    <row r="21" spans="1:97" ht="21" customHeight="1">
      <c r="A21" s="1351"/>
      <c r="B21" s="1352"/>
      <c r="C21" s="304"/>
      <c r="D21" s="304"/>
      <c r="E21" s="304"/>
      <c r="F21" s="304"/>
      <c r="G21" s="1363"/>
      <c r="H21" s="1241"/>
      <c r="I21" s="1824"/>
      <c r="J21" s="1364"/>
      <c r="K21" s="307" t="s">
        <v>2372</v>
      </c>
      <c r="L21" s="483" t="s">
        <v>292</v>
      </c>
      <c r="M21" s="1366">
        <v>4032</v>
      </c>
      <c r="N21" s="1346">
        <f>67480*6*10</f>
        <v>4048800</v>
      </c>
      <c r="O21" s="1359"/>
      <c r="P21" s="1360"/>
      <c r="Q21" s="1360"/>
      <c r="R21" s="1361"/>
      <c r="S21" s="1362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496"/>
      <c r="AN21" s="496"/>
      <c r="AO21" s="496"/>
      <c r="AP21" s="496"/>
      <c r="AQ21" s="496"/>
      <c r="AR21" s="496"/>
      <c r="AS21" s="496"/>
      <c r="AT21" s="496"/>
      <c r="AU21" s="496"/>
      <c r="AV21" s="496"/>
      <c r="AW21" s="496"/>
      <c r="AX21" s="496"/>
      <c r="AY21" s="496"/>
      <c r="AZ21" s="496"/>
      <c r="BA21" s="496"/>
      <c r="BB21" s="496"/>
      <c r="BC21" s="496"/>
      <c r="BD21" s="496"/>
      <c r="BE21" s="496"/>
      <c r="BF21" s="2782"/>
      <c r="BG21" s="496"/>
      <c r="BH21" s="496"/>
      <c r="BI21" s="496"/>
      <c r="BJ21" s="496"/>
      <c r="BK21" s="496"/>
      <c r="BL21" s="496"/>
      <c r="BM21" s="496"/>
      <c r="BN21" s="496"/>
      <c r="BO21" s="496"/>
      <c r="BP21" s="496"/>
      <c r="BQ21" s="496"/>
      <c r="BR21" s="496"/>
      <c r="BS21" s="496"/>
      <c r="BT21" s="496"/>
      <c r="BU21" s="496"/>
      <c r="BV21" s="496"/>
      <c r="BW21" s="496"/>
      <c r="BX21" s="496"/>
      <c r="BY21" s="496"/>
      <c r="BZ21" s="496"/>
      <c r="CA21" s="496"/>
      <c r="CB21" s="496"/>
      <c r="CC21" s="496"/>
      <c r="CD21" s="496"/>
    </row>
    <row r="22" spans="1:97" ht="21" customHeight="1">
      <c r="A22" s="1351"/>
      <c r="B22" s="1352"/>
      <c r="C22" s="304"/>
      <c r="D22" s="304"/>
      <c r="E22" s="304"/>
      <c r="F22" s="304"/>
      <c r="G22" s="1363"/>
      <c r="H22" s="1241"/>
      <c r="I22" s="1824"/>
      <c r="J22" s="1364"/>
      <c r="K22" s="308" t="s">
        <v>1533</v>
      </c>
      <c r="L22" s="483"/>
      <c r="M22" s="1365">
        <f>M23</f>
        <v>32615</v>
      </c>
      <c r="N22" s="1346"/>
      <c r="O22" s="1359"/>
      <c r="P22" s="1360"/>
      <c r="Q22" s="1360"/>
      <c r="R22" s="1361"/>
      <c r="S22" s="1362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496"/>
      <c r="AL22" s="496"/>
      <c r="AM22" s="496"/>
      <c r="AN22" s="496"/>
      <c r="AO22" s="496"/>
      <c r="AP22" s="496"/>
      <c r="AQ22" s="496"/>
      <c r="AR22" s="496"/>
      <c r="AS22" s="496"/>
      <c r="AT22" s="496"/>
      <c r="AU22" s="496"/>
      <c r="AV22" s="496"/>
      <c r="AW22" s="496"/>
      <c r="AX22" s="496"/>
      <c r="AY22" s="496"/>
      <c r="AZ22" s="496"/>
      <c r="BA22" s="496"/>
      <c r="BB22" s="496"/>
      <c r="BC22" s="496"/>
      <c r="BD22" s="496"/>
      <c r="BE22" s="496"/>
      <c r="BF22" s="2782"/>
      <c r="BG22" s="496"/>
      <c r="BH22" s="496"/>
      <c r="BI22" s="496"/>
      <c r="BJ22" s="496"/>
      <c r="BK22" s="496"/>
      <c r="BL22" s="496"/>
      <c r="BM22" s="496"/>
      <c r="BN22" s="496"/>
      <c r="BO22" s="496"/>
      <c r="BP22" s="496"/>
      <c r="BQ22" s="496"/>
      <c r="BR22" s="496"/>
      <c r="BS22" s="496"/>
      <c r="BT22" s="496"/>
      <c r="BU22" s="496"/>
      <c r="BV22" s="496"/>
      <c r="BW22" s="496"/>
      <c r="BX22" s="496"/>
      <c r="BY22" s="496"/>
      <c r="BZ22" s="496"/>
      <c r="CA22" s="496"/>
      <c r="CB22" s="496"/>
      <c r="CC22" s="496"/>
      <c r="CD22" s="496"/>
    </row>
    <row r="23" spans="1:97" ht="21" customHeight="1">
      <c r="A23" s="295"/>
      <c r="B23" s="1352"/>
      <c r="C23" s="319"/>
      <c r="D23" s="319"/>
      <c r="E23" s="319"/>
      <c r="F23" s="1368"/>
      <c r="G23" s="1363"/>
      <c r="H23" s="1241"/>
      <c r="I23" s="1824"/>
      <c r="J23" s="1364"/>
      <c r="K23" s="307" t="s">
        <v>2373</v>
      </c>
      <c r="L23" s="483" t="s">
        <v>292</v>
      </c>
      <c r="M23" s="1366">
        <v>32615</v>
      </c>
      <c r="N23" s="1346">
        <f>78720*4*2*52</f>
        <v>32747520</v>
      </c>
      <c r="O23" s="1359"/>
      <c r="P23" s="1360"/>
      <c r="Q23" s="1360"/>
      <c r="R23" s="1361"/>
      <c r="S23" s="1362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496"/>
      <c r="AI23" s="496"/>
      <c r="AJ23" s="496"/>
      <c r="AK23" s="496"/>
      <c r="AL23" s="496"/>
      <c r="AM23" s="496"/>
      <c r="AN23" s="496"/>
      <c r="AO23" s="496"/>
      <c r="AP23" s="496"/>
      <c r="AQ23" s="496"/>
      <c r="AR23" s="496"/>
      <c r="AS23" s="496"/>
      <c r="AT23" s="496"/>
      <c r="AU23" s="496"/>
      <c r="AV23" s="496"/>
      <c r="AW23" s="496"/>
      <c r="AX23" s="496"/>
      <c r="AY23" s="496"/>
      <c r="AZ23" s="496"/>
      <c r="BA23" s="496"/>
      <c r="BB23" s="496"/>
      <c r="BC23" s="496"/>
      <c r="BD23" s="496"/>
      <c r="BE23" s="496"/>
      <c r="BF23" s="2782"/>
      <c r="BG23" s="496"/>
      <c r="BH23" s="496"/>
      <c r="BI23" s="496"/>
      <c r="BJ23" s="496"/>
      <c r="BK23" s="496"/>
      <c r="BL23" s="496"/>
      <c r="BM23" s="496"/>
      <c r="BN23" s="496"/>
      <c r="BO23" s="496"/>
      <c r="BP23" s="496"/>
      <c r="BQ23" s="496"/>
      <c r="BR23" s="496"/>
      <c r="BS23" s="496"/>
      <c r="BT23" s="496"/>
      <c r="BU23" s="496"/>
      <c r="BV23" s="496"/>
      <c r="BW23" s="496"/>
      <c r="BX23" s="496"/>
      <c r="BY23" s="496"/>
      <c r="BZ23" s="496"/>
      <c r="CA23" s="496"/>
      <c r="CB23" s="496"/>
      <c r="CC23" s="496"/>
      <c r="CD23" s="496"/>
    </row>
    <row r="24" spans="1:97" s="2" customFormat="1" ht="21" customHeight="1">
      <c r="A24" s="64"/>
      <c r="B24" s="22"/>
      <c r="C24" s="832"/>
      <c r="D24" s="832"/>
      <c r="E24" s="56" t="s">
        <v>855</v>
      </c>
      <c r="F24" s="1027"/>
      <c r="G24" s="1028"/>
      <c r="H24" s="825">
        <f>H25+H89+H93+H95</f>
        <v>1015143</v>
      </c>
      <c r="I24" s="825">
        <f>I25+I89+I93+I95</f>
        <v>772962</v>
      </c>
      <c r="J24" s="826">
        <f t="shared" ref="J24" si="1">H24-I24</f>
        <v>242181</v>
      </c>
      <c r="K24" s="728"/>
      <c r="L24" s="827"/>
      <c r="M24" s="694"/>
      <c r="N24" s="1823"/>
      <c r="O24" s="3"/>
      <c r="P24" s="68"/>
      <c r="Q24" s="1023"/>
      <c r="R24" s="1023"/>
      <c r="S24" s="1023"/>
      <c r="T24" s="76"/>
      <c r="U24" s="1025"/>
      <c r="BF24" s="2779"/>
    </row>
    <row r="25" spans="1:97" s="1378" customFormat="1" ht="21" customHeight="1">
      <c r="A25" s="295"/>
      <c r="B25" s="1352"/>
      <c r="C25" s="319"/>
      <c r="D25" s="319"/>
      <c r="E25" s="319"/>
      <c r="F25" s="2973" t="s">
        <v>924</v>
      </c>
      <c r="G25" s="2974"/>
      <c r="H25" s="414">
        <f>H26+H38+H60+H75+H81+H87</f>
        <v>992443</v>
      </c>
      <c r="I25" s="414">
        <f>I26+I38+I60+I75+I81+I87</f>
        <v>651602</v>
      </c>
      <c r="J25" s="1369">
        <f>H25-I25</f>
        <v>340841</v>
      </c>
      <c r="K25" s="1370"/>
      <c r="L25" s="1371"/>
      <c r="M25" s="1372">
        <f>M26+M38+M60+M75+M81+M87</f>
        <v>992443</v>
      </c>
      <c r="N25" s="1373"/>
      <c r="O25" s="1374"/>
      <c r="P25" s="1375"/>
      <c r="Q25" s="1375"/>
      <c r="R25" s="1376"/>
      <c r="S25" s="1377"/>
      <c r="T25" s="1377"/>
      <c r="U25" s="1377"/>
      <c r="V25" s="493"/>
      <c r="W25" s="493"/>
      <c r="X25" s="493"/>
      <c r="Y25" s="493"/>
      <c r="Z25" s="493"/>
      <c r="AA25" s="493"/>
      <c r="AB25" s="494"/>
      <c r="AC25" s="494"/>
      <c r="AD25" s="494"/>
      <c r="AE25" s="494"/>
      <c r="AF25" s="494"/>
      <c r="AG25" s="494"/>
      <c r="AH25" s="494"/>
      <c r="AI25" s="494"/>
      <c r="AJ25" s="494"/>
      <c r="AK25" s="494"/>
      <c r="AL25" s="494"/>
      <c r="AM25" s="494"/>
      <c r="AN25" s="494"/>
      <c r="AO25" s="494"/>
      <c r="AP25" s="494"/>
      <c r="AQ25" s="494"/>
      <c r="AR25" s="494"/>
      <c r="AS25" s="494"/>
      <c r="AT25" s="494"/>
      <c r="AU25" s="494"/>
      <c r="AV25" s="494"/>
      <c r="AW25" s="494"/>
      <c r="AX25" s="494"/>
      <c r="AY25" s="494"/>
      <c r="AZ25" s="494"/>
      <c r="BA25" s="494"/>
      <c r="BB25" s="494"/>
      <c r="BC25" s="494"/>
      <c r="BD25" s="494"/>
      <c r="BE25" s="494"/>
      <c r="BF25" s="2778"/>
      <c r="BG25" s="494"/>
      <c r="BH25" s="494"/>
      <c r="BI25" s="494"/>
      <c r="BJ25" s="494"/>
      <c r="BK25" s="494"/>
      <c r="BL25" s="494"/>
      <c r="BM25" s="494"/>
      <c r="BN25" s="494"/>
      <c r="BO25" s="494"/>
      <c r="BP25" s="494"/>
      <c r="BQ25" s="494"/>
      <c r="BR25" s="494"/>
      <c r="BS25" s="494"/>
      <c r="BT25" s="494"/>
      <c r="BU25" s="494"/>
      <c r="BV25" s="494"/>
      <c r="BW25" s="494"/>
      <c r="BX25" s="494"/>
      <c r="BY25" s="494"/>
      <c r="BZ25" s="494"/>
      <c r="CA25" s="494"/>
      <c r="CB25" s="494"/>
      <c r="CC25" s="494"/>
      <c r="CD25" s="494"/>
      <c r="CE25" s="492"/>
      <c r="CF25" s="492"/>
      <c r="CG25" s="492"/>
      <c r="CH25" s="492"/>
      <c r="CI25" s="492"/>
      <c r="CJ25" s="492"/>
      <c r="CK25" s="492"/>
      <c r="CL25" s="492"/>
      <c r="CM25" s="492"/>
      <c r="CN25" s="492"/>
      <c r="CO25" s="492"/>
      <c r="CP25" s="492"/>
      <c r="CQ25" s="492"/>
      <c r="CR25" s="492"/>
      <c r="CS25" s="492"/>
    </row>
    <row r="26" spans="1:97" s="1378" customFormat="1" ht="22.5" customHeight="1">
      <c r="A26" s="295"/>
      <c r="B26" s="1352"/>
      <c r="C26" s="319"/>
      <c r="D26" s="319"/>
      <c r="E26" s="319"/>
      <c r="F26" s="1379"/>
      <c r="G26" s="1380" t="s">
        <v>320</v>
      </c>
      <c r="H26" s="315">
        <f>M26</f>
        <v>184250</v>
      </c>
      <c r="I26" s="315">
        <v>107062</v>
      </c>
      <c r="J26" s="311">
        <f>H26-I26</f>
        <v>77188</v>
      </c>
      <c r="K26" s="1381" t="s">
        <v>328</v>
      </c>
      <c r="L26" s="1382"/>
      <c r="M26" s="1383">
        <f>M27+M28+M29+M30+M31+M32+M33+M34+M35+M36+M37</f>
        <v>184250</v>
      </c>
      <c r="N26" s="1384"/>
      <c r="O26" s="300"/>
      <c r="R26" s="1376"/>
      <c r="S26" s="1377"/>
      <c r="T26" s="1377"/>
      <c r="U26" s="1377"/>
      <c r="V26" s="493"/>
      <c r="W26" s="493"/>
      <c r="X26" s="493"/>
      <c r="Y26" s="493"/>
      <c r="Z26" s="493"/>
      <c r="AA26" s="493"/>
      <c r="AB26" s="494"/>
      <c r="AC26" s="494"/>
      <c r="AD26" s="494"/>
      <c r="AE26" s="494"/>
      <c r="AF26" s="494"/>
      <c r="AG26" s="494"/>
      <c r="AH26" s="494"/>
      <c r="AI26" s="494"/>
      <c r="AJ26" s="494"/>
      <c r="AK26" s="494"/>
      <c r="AL26" s="494"/>
      <c r="AM26" s="494"/>
      <c r="AN26" s="494"/>
      <c r="AO26" s="494"/>
      <c r="AP26" s="494"/>
      <c r="AQ26" s="494"/>
      <c r="AR26" s="494"/>
      <c r="AS26" s="494"/>
      <c r="AT26" s="494"/>
      <c r="AU26" s="494"/>
      <c r="AV26" s="494"/>
      <c r="AW26" s="494"/>
      <c r="AX26" s="494"/>
      <c r="AY26" s="494"/>
      <c r="AZ26" s="494"/>
      <c r="BA26" s="494"/>
      <c r="BB26" s="494"/>
      <c r="BC26" s="494"/>
      <c r="BD26" s="494"/>
      <c r="BE26" s="494"/>
      <c r="BF26" s="2778"/>
      <c r="BG26" s="494"/>
      <c r="BH26" s="494"/>
      <c r="BI26" s="494"/>
      <c r="BJ26" s="494"/>
      <c r="BK26" s="494"/>
      <c r="BL26" s="494"/>
      <c r="BM26" s="494"/>
      <c r="BN26" s="494"/>
      <c r="BO26" s="494"/>
      <c r="BP26" s="494"/>
      <c r="BQ26" s="494"/>
      <c r="BR26" s="494"/>
      <c r="BS26" s="494"/>
      <c r="BT26" s="494"/>
      <c r="BU26" s="494"/>
      <c r="BV26" s="494"/>
      <c r="BW26" s="494"/>
      <c r="BX26" s="494"/>
      <c r="BY26" s="494"/>
      <c r="BZ26" s="494"/>
      <c r="CA26" s="494"/>
      <c r="CB26" s="494"/>
      <c r="CC26" s="494"/>
      <c r="CD26" s="494"/>
      <c r="CE26" s="492"/>
      <c r="CF26" s="492"/>
      <c r="CG26" s="492"/>
      <c r="CH26" s="492"/>
      <c r="CI26" s="492"/>
      <c r="CJ26" s="492"/>
      <c r="CK26" s="492"/>
      <c r="CL26" s="492"/>
      <c r="CM26" s="492"/>
      <c r="CN26" s="492"/>
      <c r="CO26" s="492"/>
      <c r="CP26" s="492"/>
      <c r="CQ26" s="492"/>
      <c r="CR26" s="492"/>
      <c r="CS26" s="492"/>
    </row>
    <row r="27" spans="1:97" s="1378" customFormat="1" ht="21" customHeight="1">
      <c r="A27" s="295"/>
      <c r="B27" s="1352"/>
      <c r="C27" s="319"/>
      <c r="D27" s="319"/>
      <c r="E27" s="319"/>
      <c r="F27" s="1385"/>
      <c r="G27" s="1390"/>
      <c r="H27" s="312"/>
      <c r="I27" s="312"/>
      <c r="J27" s="1386"/>
      <c r="K27" s="1387" t="s">
        <v>1534</v>
      </c>
      <c r="L27" s="1388" t="s">
        <v>292</v>
      </c>
      <c r="M27" s="1389">
        <v>12600</v>
      </c>
      <c r="N27" s="1384">
        <f>90000*4*35</f>
        <v>12600000</v>
      </c>
      <c r="O27" s="300"/>
      <c r="R27" s="1376"/>
      <c r="S27" s="1377"/>
      <c r="T27" s="1377"/>
      <c r="U27" s="1377"/>
      <c r="V27" s="493"/>
      <c r="W27" s="493"/>
      <c r="X27" s="493"/>
      <c r="Y27" s="493"/>
      <c r="Z27" s="493"/>
      <c r="AA27" s="493"/>
      <c r="AB27" s="494"/>
      <c r="AC27" s="494"/>
      <c r="AD27" s="494"/>
      <c r="AE27" s="494"/>
      <c r="AF27" s="494"/>
      <c r="AG27" s="494"/>
      <c r="AH27" s="494"/>
      <c r="AI27" s="494"/>
      <c r="AJ27" s="494"/>
      <c r="AK27" s="494"/>
      <c r="AL27" s="494"/>
      <c r="AM27" s="494"/>
      <c r="AN27" s="494"/>
      <c r="AO27" s="494"/>
      <c r="AP27" s="494"/>
      <c r="AQ27" s="494"/>
      <c r="AR27" s="494"/>
      <c r="AS27" s="494"/>
      <c r="AT27" s="494"/>
      <c r="AU27" s="494"/>
      <c r="AV27" s="494"/>
      <c r="AW27" s="494"/>
      <c r="AX27" s="494"/>
      <c r="AY27" s="494"/>
      <c r="AZ27" s="494"/>
      <c r="BA27" s="494"/>
      <c r="BB27" s="494"/>
      <c r="BC27" s="494"/>
      <c r="BD27" s="494"/>
      <c r="BE27" s="494"/>
      <c r="BF27" s="2778"/>
      <c r="BG27" s="494"/>
      <c r="BH27" s="494"/>
      <c r="BI27" s="494"/>
      <c r="BJ27" s="494"/>
      <c r="BK27" s="494"/>
      <c r="BL27" s="494"/>
      <c r="BM27" s="494"/>
      <c r="BN27" s="494"/>
      <c r="BO27" s="494"/>
      <c r="BP27" s="494"/>
      <c r="BQ27" s="494"/>
      <c r="BR27" s="494"/>
      <c r="BS27" s="494"/>
      <c r="BT27" s="494"/>
      <c r="BU27" s="494"/>
      <c r="BV27" s="494"/>
      <c r="BW27" s="494"/>
      <c r="BX27" s="494"/>
      <c r="BY27" s="494"/>
      <c r="BZ27" s="494"/>
      <c r="CA27" s="494"/>
      <c r="CB27" s="494"/>
      <c r="CC27" s="494"/>
      <c r="CD27" s="494"/>
      <c r="CE27" s="492"/>
      <c r="CF27" s="492"/>
      <c r="CG27" s="492"/>
      <c r="CH27" s="492"/>
      <c r="CI27" s="492"/>
      <c r="CJ27" s="492"/>
      <c r="CK27" s="492"/>
      <c r="CL27" s="492"/>
      <c r="CM27" s="492"/>
      <c r="CN27" s="492"/>
      <c r="CO27" s="492"/>
      <c r="CP27" s="492"/>
      <c r="CQ27" s="492"/>
      <c r="CR27" s="492"/>
      <c r="CS27" s="492"/>
    </row>
    <row r="28" spans="1:97" s="1378" customFormat="1" ht="21" customHeight="1">
      <c r="A28" s="295"/>
      <c r="B28" s="1352"/>
      <c r="C28" s="319"/>
      <c r="D28" s="319"/>
      <c r="E28" s="319"/>
      <c r="F28" s="1385"/>
      <c r="G28" s="1390"/>
      <c r="H28" s="312"/>
      <c r="I28" s="312"/>
      <c r="J28" s="1386"/>
      <c r="K28" s="1387" t="s">
        <v>1535</v>
      </c>
      <c r="L28" s="1388" t="s">
        <v>292</v>
      </c>
      <c r="M28" s="1389">
        <v>3000</v>
      </c>
      <c r="N28" s="1384">
        <f>30000*5*4*5</f>
        <v>3000000</v>
      </c>
      <c r="O28" s="300"/>
      <c r="R28" s="1376"/>
      <c r="S28" s="1377"/>
      <c r="T28" s="1377"/>
      <c r="U28" s="1377"/>
      <c r="V28" s="493"/>
      <c r="W28" s="493"/>
      <c r="X28" s="493"/>
      <c r="Y28" s="493"/>
      <c r="Z28" s="493"/>
      <c r="AA28" s="493"/>
      <c r="AB28" s="494"/>
      <c r="AC28" s="494"/>
      <c r="AD28" s="494"/>
      <c r="AE28" s="494"/>
      <c r="AF28" s="494"/>
      <c r="AG28" s="494"/>
      <c r="AH28" s="494"/>
      <c r="AI28" s="494"/>
      <c r="AJ28" s="494"/>
      <c r="AK28" s="494"/>
      <c r="AL28" s="494"/>
      <c r="AM28" s="494"/>
      <c r="AN28" s="494"/>
      <c r="AO28" s="494"/>
      <c r="AP28" s="494"/>
      <c r="AQ28" s="494"/>
      <c r="AR28" s="494"/>
      <c r="AS28" s="494"/>
      <c r="AT28" s="494"/>
      <c r="AU28" s="494"/>
      <c r="AV28" s="494"/>
      <c r="AW28" s="494"/>
      <c r="AX28" s="494"/>
      <c r="AY28" s="494"/>
      <c r="AZ28" s="494"/>
      <c r="BA28" s="494"/>
      <c r="BB28" s="494"/>
      <c r="BC28" s="494"/>
      <c r="BD28" s="494"/>
      <c r="BE28" s="494"/>
      <c r="BF28" s="2778"/>
      <c r="BG28" s="494"/>
      <c r="BH28" s="494"/>
      <c r="BI28" s="494"/>
      <c r="BJ28" s="494"/>
      <c r="BK28" s="494"/>
      <c r="BL28" s="494"/>
      <c r="BM28" s="494"/>
      <c r="BN28" s="494"/>
      <c r="BO28" s="494"/>
      <c r="BP28" s="494"/>
      <c r="BQ28" s="494"/>
      <c r="BR28" s="494"/>
      <c r="BS28" s="494"/>
      <c r="BT28" s="494"/>
      <c r="BU28" s="494"/>
      <c r="BV28" s="494"/>
      <c r="BW28" s="494"/>
      <c r="BX28" s="494"/>
      <c r="BY28" s="494"/>
      <c r="BZ28" s="494"/>
      <c r="CA28" s="494"/>
      <c r="CB28" s="494"/>
      <c r="CC28" s="494"/>
      <c r="CD28" s="494"/>
      <c r="CE28" s="492"/>
      <c r="CF28" s="492"/>
      <c r="CG28" s="492"/>
      <c r="CH28" s="492"/>
      <c r="CI28" s="492"/>
      <c r="CJ28" s="492"/>
      <c r="CK28" s="492"/>
      <c r="CL28" s="492"/>
      <c r="CM28" s="492"/>
      <c r="CN28" s="492"/>
      <c r="CO28" s="492"/>
      <c r="CP28" s="492"/>
      <c r="CQ28" s="492"/>
      <c r="CR28" s="492"/>
      <c r="CS28" s="492"/>
    </row>
    <row r="29" spans="1:97" s="1378" customFormat="1" ht="21" customHeight="1">
      <c r="A29" s="295"/>
      <c r="B29" s="1352"/>
      <c r="C29" s="319"/>
      <c r="D29" s="319"/>
      <c r="E29" s="319"/>
      <c r="F29" s="1385"/>
      <c r="G29" s="1390"/>
      <c r="H29" s="312"/>
      <c r="I29" s="312"/>
      <c r="J29" s="1386"/>
      <c r="K29" s="1387" t="s">
        <v>925</v>
      </c>
      <c r="L29" s="1388" t="s">
        <v>292</v>
      </c>
      <c r="M29" s="1389">
        <v>3150</v>
      </c>
      <c r="N29" s="1384">
        <f>450000*7</f>
        <v>3150000</v>
      </c>
      <c r="O29" s="300"/>
      <c r="R29" s="1376"/>
      <c r="S29" s="1377"/>
      <c r="T29" s="1377"/>
      <c r="U29" s="1377"/>
      <c r="V29" s="493"/>
      <c r="W29" s="493"/>
      <c r="X29" s="493"/>
      <c r="Y29" s="493"/>
      <c r="Z29" s="493"/>
      <c r="AA29" s="493"/>
      <c r="AB29" s="494"/>
      <c r="AC29" s="494"/>
      <c r="AD29" s="494"/>
      <c r="AE29" s="494"/>
      <c r="AF29" s="494"/>
      <c r="AG29" s="494"/>
      <c r="AH29" s="494"/>
      <c r="AI29" s="494"/>
      <c r="AJ29" s="494"/>
      <c r="AK29" s="494"/>
      <c r="AL29" s="494"/>
      <c r="AM29" s="494"/>
      <c r="AN29" s="494"/>
      <c r="AO29" s="494"/>
      <c r="AP29" s="494"/>
      <c r="AQ29" s="494"/>
      <c r="AR29" s="494"/>
      <c r="AS29" s="494"/>
      <c r="AT29" s="494"/>
      <c r="AU29" s="494"/>
      <c r="AV29" s="494"/>
      <c r="AW29" s="494"/>
      <c r="AX29" s="494"/>
      <c r="AY29" s="494"/>
      <c r="AZ29" s="494"/>
      <c r="BA29" s="494"/>
      <c r="BB29" s="494"/>
      <c r="BC29" s="494"/>
      <c r="BD29" s="494"/>
      <c r="BE29" s="494"/>
      <c r="BF29" s="2778"/>
      <c r="BG29" s="494"/>
      <c r="BH29" s="494"/>
      <c r="BI29" s="494"/>
      <c r="BJ29" s="494"/>
      <c r="BK29" s="494"/>
      <c r="BL29" s="494"/>
      <c r="BM29" s="494"/>
      <c r="BN29" s="494"/>
      <c r="BO29" s="494"/>
      <c r="BP29" s="494"/>
      <c r="BQ29" s="494"/>
      <c r="BR29" s="494"/>
      <c r="BS29" s="494"/>
      <c r="BT29" s="494"/>
      <c r="BU29" s="494"/>
      <c r="BV29" s="494"/>
      <c r="BW29" s="494"/>
      <c r="BX29" s="494"/>
      <c r="BY29" s="494"/>
      <c r="BZ29" s="494"/>
      <c r="CA29" s="494"/>
      <c r="CB29" s="494"/>
      <c r="CC29" s="494"/>
      <c r="CD29" s="494"/>
      <c r="CE29" s="492"/>
      <c r="CF29" s="492"/>
      <c r="CG29" s="492"/>
      <c r="CH29" s="492"/>
      <c r="CI29" s="492"/>
      <c r="CJ29" s="492"/>
      <c r="CK29" s="492"/>
      <c r="CL29" s="492"/>
      <c r="CM29" s="492"/>
      <c r="CN29" s="492"/>
      <c r="CO29" s="492"/>
      <c r="CP29" s="492"/>
      <c r="CQ29" s="492"/>
      <c r="CR29" s="492"/>
      <c r="CS29" s="492"/>
    </row>
    <row r="30" spans="1:97" s="1378" customFormat="1" ht="21" customHeight="1">
      <c r="A30" s="295"/>
      <c r="B30" s="1352"/>
      <c r="C30" s="319"/>
      <c r="D30" s="319"/>
      <c r="E30" s="319"/>
      <c r="F30" s="1385"/>
      <c r="G30" s="1390"/>
      <c r="H30" s="312"/>
      <c r="I30" s="312"/>
      <c r="J30" s="1386"/>
      <c r="K30" s="1387" t="s">
        <v>926</v>
      </c>
      <c r="L30" s="1388" t="s">
        <v>292</v>
      </c>
      <c r="M30" s="1389">
        <v>14400</v>
      </c>
      <c r="N30" s="1384">
        <f>300000*4*12</f>
        <v>14400000</v>
      </c>
      <c r="O30" s="300"/>
      <c r="R30" s="1376"/>
      <c r="S30" s="1377"/>
      <c r="T30" s="1377"/>
      <c r="U30" s="1377"/>
      <c r="V30" s="493"/>
      <c r="W30" s="493"/>
      <c r="X30" s="493"/>
      <c r="Y30" s="493"/>
      <c r="Z30" s="493"/>
      <c r="AA30" s="493"/>
      <c r="AB30" s="494"/>
      <c r="AC30" s="494"/>
      <c r="AD30" s="494"/>
      <c r="AE30" s="494"/>
      <c r="AF30" s="494"/>
      <c r="AG30" s="494"/>
      <c r="AH30" s="494"/>
      <c r="AI30" s="494"/>
      <c r="AJ30" s="494"/>
      <c r="AK30" s="494"/>
      <c r="AL30" s="494"/>
      <c r="AM30" s="494"/>
      <c r="AN30" s="494"/>
      <c r="AO30" s="494"/>
      <c r="AP30" s="494"/>
      <c r="AQ30" s="494"/>
      <c r="AR30" s="494"/>
      <c r="AS30" s="494"/>
      <c r="AT30" s="494"/>
      <c r="AU30" s="494"/>
      <c r="AV30" s="494"/>
      <c r="AW30" s="494"/>
      <c r="AX30" s="494"/>
      <c r="AY30" s="494"/>
      <c r="AZ30" s="494"/>
      <c r="BA30" s="494"/>
      <c r="BB30" s="494"/>
      <c r="BC30" s="494"/>
      <c r="BD30" s="494"/>
      <c r="BE30" s="494"/>
      <c r="BF30" s="2778"/>
      <c r="BG30" s="494"/>
      <c r="BH30" s="494"/>
      <c r="BI30" s="494"/>
      <c r="BJ30" s="494"/>
      <c r="BK30" s="494"/>
      <c r="BL30" s="494"/>
      <c r="BM30" s="494"/>
      <c r="BN30" s="494"/>
      <c r="BO30" s="494"/>
      <c r="BP30" s="494"/>
      <c r="BQ30" s="494"/>
      <c r="BR30" s="494"/>
      <c r="BS30" s="494"/>
      <c r="BT30" s="494"/>
      <c r="BU30" s="494"/>
      <c r="BV30" s="494"/>
      <c r="BW30" s="494"/>
      <c r="BX30" s="494"/>
      <c r="BY30" s="494"/>
      <c r="BZ30" s="494"/>
      <c r="CA30" s="494"/>
      <c r="CB30" s="494"/>
      <c r="CC30" s="494"/>
      <c r="CD30" s="494"/>
      <c r="CE30" s="492"/>
      <c r="CF30" s="492"/>
      <c r="CG30" s="492"/>
      <c r="CH30" s="492"/>
      <c r="CI30" s="492"/>
      <c r="CJ30" s="492"/>
      <c r="CK30" s="492"/>
      <c r="CL30" s="492"/>
      <c r="CM30" s="492"/>
      <c r="CN30" s="492"/>
      <c r="CO30" s="492"/>
      <c r="CP30" s="492"/>
      <c r="CQ30" s="492"/>
      <c r="CR30" s="492"/>
      <c r="CS30" s="492"/>
    </row>
    <row r="31" spans="1:97" s="1378" customFormat="1" ht="21" customHeight="1">
      <c r="A31" s="295"/>
      <c r="B31" s="1352"/>
      <c r="C31" s="319"/>
      <c r="D31" s="319"/>
      <c r="E31" s="319"/>
      <c r="F31" s="1385"/>
      <c r="G31" s="1390"/>
      <c r="H31" s="312"/>
      <c r="I31" s="312"/>
      <c r="J31" s="1386"/>
      <c r="K31" s="1387" t="s">
        <v>927</v>
      </c>
      <c r="L31" s="1388" t="s">
        <v>292</v>
      </c>
      <c r="M31" s="1389">
        <v>17500</v>
      </c>
      <c r="N31" s="1384">
        <f>5000*50*2*35</f>
        <v>17500000</v>
      </c>
      <c r="O31" s="300"/>
      <c r="R31" s="1376"/>
      <c r="S31" s="1377"/>
      <c r="T31" s="1377"/>
      <c r="U31" s="1377"/>
      <c r="V31" s="493"/>
      <c r="W31" s="493"/>
      <c r="X31" s="493"/>
      <c r="Y31" s="493"/>
      <c r="Z31" s="493"/>
      <c r="AA31" s="493"/>
      <c r="AB31" s="494"/>
      <c r="AC31" s="494"/>
      <c r="AD31" s="494"/>
      <c r="AE31" s="494"/>
      <c r="AF31" s="494"/>
      <c r="AG31" s="494"/>
      <c r="AH31" s="494"/>
      <c r="AI31" s="494"/>
      <c r="AJ31" s="494"/>
      <c r="AK31" s="494"/>
      <c r="AL31" s="494"/>
      <c r="AM31" s="494"/>
      <c r="AN31" s="494"/>
      <c r="AO31" s="494"/>
      <c r="AP31" s="494"/>
      <c r="AQ31" s="494"/>
      <c r="AR31" s="494"/>
      <c r="AS31" s="494"/>
      <c r="AT31" s="494"/>
      <c r="AU31" s="494"/>
      <c r="AV31" s="494"/>
      <c r="AW31" s="494"/>
      <c r="AX31" s="494"/>
      <c r="AY31" s="494"/>
      <c r="AZ31" s="494"/>
      <c r="BA31" s="494"/>
      <c r="BB31" s="494"/>
      <c r="BC31" s="494"/>
      <c r="BD31" s="494"/>
      <c r="BE31" s="494"/>
      <c r="BF31" s="2778"/>
      <c r="BG31" s="494"/>
      <c r="BH31" s="494"/>
      <c r="BI31" s="494"/>
      <c r="BJ31" s="494"/>
      <c r="BK31" s="494"/>
      <c r="BL31" s="494"/>
      <c r="BM31" s="494"/>
      <c r="BN31" s="494"/>
      <c r="BO31" s="494"/>
      <c r="BP31" s="494"/>
      <c r="BQ31" s="494"/>
      <c r="BR31" s="494"/>
      <c r="BS31" s="494"/>
      <c r="BT31" s="494"/>
      <c r="BU31" s="494"/>
      <c r="BV31" s="494"/>
      <c r="BW31" s="494"/>
      <c r="BX31" s="494"/>
      <c r="BY31" s="494"/>
      <c r="BZ31" s="494"/>
      <c r="CA31" s="494"/>
      <c r="CB31" s="494"/>
      <c r="CC31" s="494"/>
      <c r="CD31" s="494"/>
      <c r="CE31" s="492"/>
      <c r="CF31" s="492"/>
      <c r="CG31" s="492"/>
      <c r="CH31" s="492"/>
      <c r="CI31" s="492"/>
      <c r="CJ31" s="492"/>
      <c r="CK31" s="492"/>
      <c r="CL31" s="492"/>
      <c r="CM31" s="492"/>
      <c r="CN31" s="492"/>
      <c r="CO31" s="492"/>
      <c r="CP31" s="492"/>
      <c r="CQ31" s="492"/>
      <c r="CR31" s="492"/>
      <c r="CS31" s="492"/>
    </row>
    <row r="32" spans="1:97" s="1378" customFormat="1" ht="21" customHeight="1">
      <c r="A32" s="295"/>
      <c r="B32" s="1352"/>
      <c r="C32" s="319"/>
      <c r="D32" s="319"/>
      <c r="E32" s="319"/>
      <c r="F32" s="1385"/>
      <c r="G32" s="1390"/>
      <c r="H32" s="312"/>
      <c r="I32" s="312"/>
      <c r="J32" s="1386"/>
      <c r="K32" s="1387" t="s">
        <v>928</v>
      </c>
      <c r="L32" s="1388" t="s">
        <v>292</v>
      </c>
      <c r="M32" s="1389">
        <v>28800</v>
      </c>
      <c r="N32" s="1384">
        <f>200000*12*12</f>
        <v>28800000</v>
      </c>
      <c r="O32" s="300"/>
      <c r="R32" s="1376"/>
      <c r="S32" s="1377"/>
      <c r="T32" s="1377"/>
      <c r="U32" s="1377"/>
      <c r="V32" s="493"/>
      <c r="W32" s="493"/>
      <c r="X32" s="493"/>
      <c r="Y32" s="493"/>
      <c r="Z32" s="493"/>
      <c r="AA32" s="493"/>
      <c r="AB32" s="494"/>
      <c r="AC32" s="494"/>
      <c r="AD32" s="494"/>
      <c r="AE32" s="494"/>
      <c r="AF32" s="494"/>
      <c r="AG32" s="494"/>
      <c r="AH32" s="494"/>
      <c r="AI32" s="494"/>
      <c r="AJ32" s="494"/>
      <c r="AK32" s="494"/>
      <c r="AL32" s="494"/>
      <c r="AM32" s="494"/>
      <c r="AN32" s="494"/>
      <c r="AO32" s="494"/>
      <c r="AP32" s="494"/>
      <c r="AQ32" s="494"/>
      <c r="AR32" s="494"/>
      <c r="AS32" s="494"/>
      <c r="AT32" s="494"/>
      <c r="AU32" s="494"/>
      <c r="AV32" s="494"/>
      <c r="AW32" s="494"/>
      <c r="AX32" s="494"/>
      <c r="AY32" s="494"/>
      <c r="AZ32" s="494"/>
      <c r="BA32" s="494"/>
      <c r="BB32" s="494"/>
      <c r="BC32" s="494"/>
      <c r="BD32" s="494"/>
      <c r="BE32" s="494"/>
      <c r="BF32" s="2778"/>
      <c r="BG32" s="494"/>
      <c r="BH32" s="494"/>
      <c r="BI32" s="494"/>
      <c r="BJ32" s="494"/>
      <c r="BK32" s="494"/>
      <c r="BL32" s="494"/>
      <c r="BM32" s="494"/>
      <c r="BN32" s="494"/>
      <c r="BO32" s="494"/>
      <c r="BP32" s="494"/>
      <c r="BQ32" s="494"/>
      <c r="BR32" s="494"/>
      <c r="BS32" s="494"/>
      <c r="BT32" s="494"/>
      <c r="BU32" s="494"/>
      <c r="BV32" s="494"/>
      <c r="BW32" s="494"/>
      <c r="BX32" s="494"/>
      <c r="BY32" s="494"/>
      <c r="BZ32" s="494"/>
      <c r="CA32" s="494"/>
      <c r="CB32" s="494"/>
      <c r="CC32" s="494"/>
      <c r="CD32" s="494"/>
      <c r="CE32" s="492"/>
      <c r="CF32" s="492"/>
      <c r="CG32" s="492"/>
      <c r="CH32" s="492"/>
      <c r="CI32" s="492"/>
      <c r="CJ32" s="492"/>
      <c r="CK32" s="492"/>
      <c r="CL32" s="492"/>
      <c r="CM32" s="492"/>
      <c r="CN32" s="492"/>
      <c r="CO32" s="492"/>
      <c r="CP32" s="492"/>
      <c r="CQ32" s="492"/>
      <c r="CR32" s="492"/>
      <c r="CS32" s="492"/>
    </row>
    <row r="33" spans="1:97" s="1378" customFormat="1" ht="21" customHeight="1">
      <c r="A33" s="295"/>
      <c r="B33" s="1352"/>
      <c r="C33" s="319"/>
      <c r="D33" s="319"/>
      <c r="E33" s="319"/>
      <c r="F33" s="1385"/>
      <c r="G33" s="1390"/>
      <c r="H33" s="312"/>
      <c r="I33" s="312"/>
      <c r="J33" s="1386"/>
      <c r="K33" s="1387" t="s">
        <v>1536</v>
      </c>
      <c r="L33" s="1388" t="s">
        <v>292</v>
      </c>
      <c r="M33" s="1389">
        <v>15120</v>
      </c>
      <c r="N33" s="1384">
        <f>1800*35*20*12</f>
        <v>15120000</v>
      </c>
      <c r="O33" s="300"/>
      <c r="R33" s="1376"/>
      <c r="S33" s="1377"/>
      <c r="T33" s="1377"/>
      <c r="U33" s="1377"/>
      <c r="V33" s="493"/>
      <c r="W33" s="493"/>
      <c r="X33" s="493"/>
      <c r="Y33" s="493"/>
      <c r="Z33" s="493"/>
      <c r="AA33" s="493"/>
      <c r="AB33" s="494"/>
      <c r="AC33" s="494"/>
      <c r="AD33" s="494"/>
      <c r="AE33" s="494"/>
      <c r="AF33" s="494"/>
      <c r="AG33" s="494"/>
      <c r="AH33" s="494"/>
      <c r="AI33" s="494"/>
      <c r="AJ33" s="494"/>
      <c r="AK33" s="494"/>
      <c r="AL33" s="494"/>
      <c r="AM33" s="494"/>
      <c r="AN33" s="494"/>
      <c r="AO33" s="494"/>
      <c r="AP33" s="494"/>
      <c r="AQ33" s="494"/>
      <c r="AR33" s="494"/>
      <c r="AS33" s="494"/>
      <c r="AT33" s="494"/>
      <c r="AU33" s="494"/>
      <c r="AV33" s="494"/>
      <c r="AW33" s="494"/>
      <c r="AX33" s="494"/>
      <c r="AY33" s="494"/>
      <c r="AZ33" s="494"/>
      <c r="BA33" s="494"/>
      <c r="BB33" s="494"/>
      <c r="BC33" s="494"/>
      <c r="BD33" s="494"/>
      <c r="BE33" s="494"/>
      <c r="BF33" s="2778"/>
      <c r="BG33" s="494"/>
      <c r="BH33" s="494"/>
      <c r="BI33" s="494"/>
      <c r="BJ33" s="494"/>
      <c r="BK33" s="494"/>
      <c r="BL33" s="494"/>
      <c r="BM33" s="494"/>
      <c r="BN33" s="494"/>
      <c r="BO33" s="494"/>
      <c r="BP33" s="494"/>
      <c r="BQ33" s="494"/>
      <c r="BR33" s="494"/>
      <c r="BS33" s="494"/>
      <c r="BT33" s="494"/>
      <c r="BU33" s="494"/>
      <c r="BV33" s="494"/>
      <c r="BW33" s="494"/>
      <c r="BX33" s="494"/>
      <c r="BY33" s="494"/>
      <c r="BZ33" s="494"/>
      <c r="CA33" s="494"/>
      <c r="CB33" s="494"/>
      <c r="CC33" s="494"/>
      <c r="CD33" s="494"/>
      <c r="CE33" s="492"/>
      <c r="CF33" s="492"/>
      <c r="CG33" s="492"/>
      <c r="CH33" s="492"/>
      <c r="CI33" s="492"/>
      <c r="CJ33" s="492"/>
      <c r="CK33" s="492"/>
      <c r="CL33" s="492"/>
      <c r="CM33" s="492"/>
      <c r="CN33" s="492"/>
      <c r="CO33" s="492"/>
      <c r="CP33" s="492"/>
      <c r="CQ33" s="492"/>
      <c r="CR33" s="492"/>
      <c r="CS33" s="492"/>
    </row>
    <row r="34" spans="1:97" s="1378" customFormat="1" ht="21" customHeight="1">
      <c r="A34" s="295"/>
      <c r="B34" s="1352"/>
      <c r="C34" s="319"/>
      <c r="D34" s="319"/>
      <c r="E34" s="319"/>
      <c r="F34" s="1385"/>
      <c r="G34" s="1390"/>
      <c r="H34" s="312"/>
      <c r="I34" s="312"/>
      <c r="J34" s="1386"/>
      <c r="K34" s="313" t="s">
        <v>1537</v>
      </c>
      <c r="L34" s="1388" t="s">
        <v>292</v>
      </c>
      <c r="M34" s="1389">
        <v>14000</v>
      </c>
      <c r="N34" s="1384">
        <f>200000*35*2</f>
        <v>14000000</v>
      </c>
      <c r="O34" s="300"/>
      <c r="R34" s="1376"/>
      <c r="S34" s="1377"/>
      <c r="T34" s="1377"/>
      <c r="U34" s="1377"/>
      <c r="V34" s="493"/>
      <c r="W34" s="493"/>
      <c r="X34" s="493"/>
      <c r="Y34" s="493"/>
      <c r="Z34" s="493"/>
      <c r="AA34" s="493"/>
      <c r="AB34" s="494"/>
      <c r="AC34" s="494"/>
      <c r="AD34" s="494"/>
      <c r="AE34" s="494"/>
      <c r="AF34" s="494"/>
      <c r="AG34" s="494"/>
      <c r="AH34" s="494"/>
      <c r="AI34" s="494"/>
      <c r="AJ34" s="494"/>
      <c r="AK34" s="494"/>
      <c r="AL34" s="494"/>
      <c r="AM34" s="494"/>
      <c r="AN34" s="494"/>
      <c r="AO34" s="494"/>
      <c r="AP34" s="494"/>
      <c r="AQ34" s="494"/>
      <c r="AR34" s="494"/>
      <c r="AS34" s="494"/>
      <c r="AT34" s="494"/>
      <c r="AU34" s="494"/>
      <c r="AV34" s="494"/>
      <c r="AW34" s="494"/>
      <c r="AX34" s="494"/>
      <c r="AY34" s="494"/>
      <c r="AZ34" s="494"/>
      <c r="BA34" s="494"/>
      <c r="BB34" s="494"/>
      <c r="BC34" s="494"/>
      <c r="BD34" s="494"/>
      <c r="BE34" s="494"/>
      <c r="BF34" s="2778"/>
      <c r="BG34" s="494"/>
      <c r="BH34" s="494"/>
      <c r="BI34" s="494"/>
      <c r="BJ34" s="494"/>
      <c r="BK34" s="494"/>
      <c r="BL34" s="494"/>
      <c r="BM34" s="494"/>
      <c r="BN34" s="494"/>
      <c r="BO34" s="494"/>
      <c r="BP34" s="494"/>
      <c r="BQ34" s="494"/>
      <c r="BR34" s="494"/>
      <c r="BS34" s="494"/>
      <c r="BT34" s="494"/>
      <c r="BU34" s="494"/>
      <c r="BV34" s="494"/>
      <c r="BW34" s="494"/>
      <c r="BX34" s="494"/>
      <c r="BY34" s="494"/>
      <c r="BZ34" s="494"/>
      <c r="CA34" s="494"/>
      <c r="CB34" s="494"/>
      <c r="CC34" s="494"/>
      <c r="CD34" s="494"/>
      <c r="CE34" s="492"/>
      <c r="CF34" s="492"/>
      <c r="CG34" s="492"/>
      <c r="CH34" s="492"/>
      <c r="CI34" s="492"/>
      <c r="CJ34" s="492"/>
      <c r="CK34" s="492"/>
      <c r="CL34" s="492"/>
      <c r="CM34" s="492"/>
      <c r="CN34" s="492"/>
      <c r="CO34" s="492"/>
      <c r="CP34" s="492"/>
      <c r="CQ34" s="492"/>
      <c r="CR34" s="492"/>
      <c r="CS34" s="492"/>
    </row>
    <row r="35" spans="1:97" s="1378" customFormat="1" ht="21" customHeight="1">
      <c r="A35" s="295"/>
      <c r="B35" s="1352"/>
      <c r="C35" s="319"/>
      <c r="D35" s="319"/>
      <c r="E35" s="319"/>
      <c r="F35" s="1385"/>
      <c r="G35" s="1390"/>
      <c r="H35" s="312"/>
      <c r="I35" s="312"/>
      <c r="J35" s="1386"/>
      <c r="K35" s="313" t="s">
        <v>1538</v>
      </c>
      <c r="L35" s="1388" t="s">
        <v>292</v>
      </c>
      <c r="M35" s="1389">
        <v>2640</v>
      </c>
      <c r="N35" s="1384">
        <f>11000*5*4*12</f>
        <v>2640000</v>
      </c>
      <c r="O35" s="300"/>
      <c r="R35" s="1376"/>
      <c r="S35" s="1377"/>
      <c r="T35" s="1377"/>
      <c r="U35" s="1377"/>
      <c r="V35" s="493"/>
      <c r="W35" s="493"/>
      <c r="X35" s="493"/>
      <c r="Y35" s="493"/>
      <c r="Z35" s="493"/>
      <c r="AA35" s="493"/>
      <c r="AB35" s="494"/>
      <c r="AC35" s="494"/>
      <c r="AD35" s="494"/>
      <c r="AE35" s="494"/>
      <c r="AF35" s="494"/>
      <c r="AG35" s="494"/>
      <c r="AH35" s="494"/>
      <c r="AI35" s="494"/>
      <c r="AJ35" s="494"/>
      <c r="AK35" s="494"/>
      <c r="AL35" s="494"/>
      <c r="AM35" s="494"/>
      <c r="AN35" s="494"/>
      <c r="AO35" s="494"/>
      <c r="AP35" s="494"/>
      <c r="AQ35" s="494"/>
      <c r="AR35" s="494"/>
      <c r="AS35" s="494"/>
      <c r="AT35" s="494"/>
      <c r="AU35" s="494"/>
      <c r="AV35" s="494"/>
      <c r="AW35" s="494"/>
      <c r="AX35" s="494"/>
      <c r="AY35" s="494"/>
      <c r="AZ35" s="494"/>
      <c r="BA35" s="494"/>
      <c r="BB35" s="494"/>
      <c r="BC35" s="494"/>
      <c r="BD35" s="494"/>
      <c r="BE35" s="494"/>
      <c r="BF35" s="2778"/>
      <c r="BG35" s="494"/>
      <c r="BH35" s="494"/>
      <c r="BI35" s="494"/>
      <c r="BJ35" s="494"/>
      <c r="BK35" s="494"/>
      <c r="BL35" s="494"/>
      <c r="BM35" s="494"/>
      <c r="BN35" s="494"/>
      <c r="BO35" s="494"/>
      <c r="BP35" s="494"/>
      <c r="BQ35" s="494"/>
      <c r="BR35" s="494"/>
      <c r="BS35" s="494"/>
      <c r="BT35" s="494"/>
      <c r="BU35" s="494"/>
      <c r="BV35" s="494"/>
      <c r="BW35" s="494"/>
      <c r="BX35" s="494"/>
      <c r="BY35" s="494"/>
      <c r="BZ35" s="494"/>
      <c r="CA35" s="494"/>
      <c r="CB35" s="494"/>
      <c r="CC35" s="494"/>
      <c r="CD35" s="494"/>
      <c r="CE35" s="492"/>
      <c r="CF35" s="492"/>
      <c r="CG35" s="492"/>
      <c r="CH35" s="492"/>
      <c r="CI35" s="492"/>
      <c r="CJ35" s="492"/>
      <c r="CK35" s="492"/>
      <c r="CL35" s="492"/>
      <c r="CM35" s="492"/>
      <c r="CN35" s="492"/>
      <c r="CO35" s="492"/>
      <c r="CP35" s="492"/>
      <c r="CQ35" s="492"/>
      <c r="CR35" s="492"/>
      <c r="CS35" s="492"/>
    </row>
    <row r="36" spans="1:97" s="1378" customFormat="1" ht="21" customHeight="1">
      <c r="A36" s="295"/>
      <c r="B36" s="1352"/>
      <c r="C36" s="319"/>
      <c r="D36" s="319"/>
      <c r="E36" s="319"/>
      <c r="F36" s="1385"/>
      <c r="G36" s="1390"/>
      <c r="H36" s="312"/>
      <c r="I36" s="312"/>
      <c r="J36" s="1386"/>
      <c r="K36" s="2759" t="s">
        <v>1539</v>
      </c>
      <c r="L36" s="1398" t="s">
        <v>292</v>
      </c>
      <c r="M36" s="1389">
        <v>72000</v>
      </c>
      <c r="N36" s="1384">
        <f>800000*30*3</f>
        <v>72000000</v>
      </c>
      <c r="O36" s="300"/>
      <c r="R36" s="1376"/>
      <c r="S36" s="1377"/>
      <c r="T36" s="1377"/>
      <c r="U36" s="1377"/>
      <c r="V36" s="493"/>
      <c r="W36" s="493"/>
      <c r="X36" s="493"/>
      <c r="Y36" s="493"/>
      <c r="Z36" s="493"/>
      <c r="AA36" s="493"/>
      <c r="AB36" s="494"/>
      <c r="AC36" s="494"/>
      <c r="AD36" s="494"/>
      <c r="AE36" s="494"/>
      <c r="AF36" s="494"/>
      <c r="AG36" s="494"/>
      <c r="AH36" s="494"/>
      <c r="AI36" s="494"/>
      <c r="AJ36" s="494"/>
      <c r="AK36" s="494"/>
      <c r="AL36" s="494"/>
      <c r="AM36" s="494"/>
      <c r="AN36" s="494"/>
      <c r="AO36" s="494"/>
      <c r="AP36" s="494"/>
      <c r="AQ36" s="494"/>
      <c r="AR36" s="494"/>
      <c r="AS36" s="494"/>
      <c r="AT36" s="494"/>
      <c r="AU36" s="494"/>
      <c r="AV36" s="494"/>
      <c r="AW36" s="494"/>
      <c r="AX36" s="494"/>
      <c r="AY36" s="494"/>
      <c r="AZ36" s="494"/>
      <c r="BA36" s="494"/>
      <c r="BB36" s="494"/>
      <c r="BC36" s="494"/>
      <c r="BD36" s="494"/>
      <c r="BE36" s="494"/>
      <c r="BF36" s="2778"/>
      <c r="BG36" s="494"/>
      <c r="BH36" s="494"/>
      <c r="BI36" s="494"/>
      <c r="BJ36" s="494"/>
      <c r="BK36" s="494"/>
      <c r="BL36" s="494"/>
      <c r="BM36" s="494"/>
      <c r="BN36" s="494"/>
      <c r="BO36" s="494"/>
      <c r="BP36" s="494"/>
      <c r="BQ36" s="494"/>
      <c r="BR36" s="494"/>
      <c r="BS36" s="494"/>
      <c r="BT36" s="494"/>
      <c r="BU36" s="494"/>
      <c r="BV36" s="494"/>
      <c r="BW36" s="494"/>
      <c r="BX36" s="494"/>
      <c r="BY36" s="494"/>
      <c r="BZ36" s="494"/>
      <c r="CA36" s="494"/>
      <c r="CB36" s="494"/>
      <c r="CC36" s="494"/>
      <c r="CD36" s="494"/>
      <c r="CE36" s="492"/>
      <c r="CF36" s="492"/>
      <c r="CG36" s="492"/>
      <c r="CH36" s="492"/>
      <c r="CI36" s="492"/>
      <c r="CJ36" s="492"/>
      <c r="CK36" s="492"/>
      <c r="CL36" s="492"/>
      <c r="CM36" s="492"/>
      <c r="CN36" s="492"/>
      <c r="CO36" s="492"/>
      <c r="CP36" s="492"/>
      <c r="CQ36" s="492"/>
      <c r="CR36" s="492"/>
      <c r="CS36" s="492"/>
    </row>
    <row r="37" spans="1:97" s="1378" customFormat="1" ht="21" customHeight="1">
      <c r="A37" s="295"/>
      <c r="B37" s="1352"/>
      <c r="C37" s="319"/>
      <c r="D37" s="319"/>
      <c r="E37" s="319"/>
      <c r="F37" s="1385"/>
      <c r="G37" s="1390"/>
      <c r="H37" s="414"/>
      <c r="I37" s="414"/>
      <c r="J37" s="1386"/>
      <c r="K37" s="313" t="s">
        <v>1540</v>
      </c>
      <c r="L37" s="1398" t="s">
        <v>292</v>
      </c>
      <c r="M37" s="1389">
        <v>1040</v>
      </c>
      <c r="N37" s="1384">
        <f>130000*8</f>
        <v>1040000</v>
      </c>
      <c r="O37" s="300"/>
      <c r="R37" s="1376"/>
      <c r="S37" s="1377"/>
      <c r="T37" s="1377"/>
      <c r="U37" s="1377"/>
      <c r="V37" s="493"/>
      <c r="W37" s="493"/>
      <c r="X37" s="493"/>
      <c r="Y37" s="493"/>
      <c r="Z37" s="493"/>
      <c r="AA37" s="493"/>
      <c r="AB37" s="494"/>
      <c r="AC37" s="494"/>
      <c r="AD37" s="494"/>
      <c r="AE37" s="494"/>
      <c r="AF37" s="494"/>
      <c r="AG37" s="494"/>
      <c r="AH37" s="494"/>
      <c r="AI37" s="494"/>
      <c r="AJ37" s="494"/>
      <c r="AK37" s="494"/>
      <c r="AL37" s="494"/>
      <c r="AM37" s="494"/>
      <c r="AN37" s="494"/>
      <c r="AO37" s="494"/>
      <c r="AP37" s="494"/>
      <c r="AQ37" s="494"/>
      <c r="AR37" s="494"/>
      <c r="AS37" s="494"/>
      <c r="AT37" s="494"/>
      <c r="AU37" s="494"/>
      <c r="AV37" s="494"/>
      <c r="AW37" s="494"/>
      <c r="AX37" s="494"/>
      <c r="AY37" s="494"/>
      <c r="AZ37" s="494"/>
      <c r="BA37" s="494"/>
      <c r="BB37" s="494"/>
      <c r="BC37" s="494"/>
      <c r="BD37" s="494"/>
      <c r="BE37" s="494"/>
      <c r="BF37" s="2778"/>
      <c r="BG37" s="494"/>
      <c r="BH37" s="494"/>
      <c r="BI37" s="494"/>
      <c r="BJ37" s="494"/>
      <c r="BK37" s="494"/>
      <c r="BL37" s="494"/>
      <c r="BM37" s="494"/>
      <c r="BN37" s="494"/>
      <c r="BO37" s="494"/>
      <c r="BP37" s="494"/>
      <c r="BQ37" s="494"/>
      <c r="BR37" s="494"/>
      <c r="BS37" s="494"/>
      <c r="BT37" s="494"/>
      <c r="BU37" s="494"/>
      <c r="BV37" s="494"/>
      <c r="BW37" s="494"/>
      <c r="BX37" s="494"/>
      <c r="BY37" s="494"/>
      <c r="BZ37" s="494"/>
      <c r="CA37" s="494"/>
      <c r="CB37" s="494"/>
      <c r="CC37" s="494"/>
      <c r="CD37" s="494"/>
      <c r="CE37" s="492"/>
      <c r="CF37" s="492"/>
      <c r="CG37" s="492"/>
      <c r="CH37" s="492"/>
      <c r="CI37" s="492"/>
      <c r="CJ37" s="492"/>
      <c r="CK37" s="492"/>
      <c r="CL37" s="492"/>
      <c r="CM37" s="492"/>
      <c r="CN37" s="492"/>
      <c r="CO37" s="492"/>
      <c r="CP37" s="492"/>
      <c r="CQ37" s="492"/>
      <c r="CR37" s="492"/>
      <c r="CS37" s="492"/>
    </row>
    <row r="38" spans="1:97" ht="23.25" customHeight="1">
      <c r="A38" s="1710"/>
      <c r="B38" s="482"/>
      <c r="C38" s="319"/>
      <c r="D38" s="319"/>
      <c r="E38" s="319"/>
      <c r="F38" s="1385"/>
      <c r="G38" s="1380" t="s">
        <v>321</v>
      </c>
      <c r="H38" s="315">
        <f>M38</f>
        <v>315689</v>
      </c>
      <c r="I38" s="315">
        <v>170510</v>
      </c>
      <c r="J38" s="311">
        <f>H38-I38</f>
        <v>145179</v>
      </c>
      <c r="K38" s="484" t="s">
        <v>330</v>
      </c>
      <c r="L38" s="1382"/>
      <c r="M38" s="1383">
        <f>M39+M41+M46+M47+M50+M52+M54+M55+M56+M57+M58+M59</f>
        <v>315689</v>
      </c>
      <c r="N38" s="1384"/>
      <c r="O38" s="316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2"/>
      <c r="AO38" s="492"/>
      <c r="AP38" s="492"/>
      <c r="AQ38" s="492"/>
      <c r="AR38" s="492"/>
      <c r="AS38" s="492"/>
      <c r="AT38" s="492"/>
      <c r="AU38" s="492"/>
      <c r="AV38" s="492"/>
      <c r="AW38" s="492"/>
      <c r="AX38" s="492"/>
      <c r="AY38" s="492"/>
      <c r="AZ38" s="492"/>
      <c r="BA38" s="492"/>
      <c r="BB38" s="492"/>
      <c r="BC38" s="492"/>
      <c r="BD38" s="492"/>
      <c r="BE38" s="492"/>
      <c r="BF38" s="2783"/>
    </row>
    <row r="39" spans="1:97" ht="23.25" customHeight="1">
      <c r="A39" s="1710"/>
      <c r="B39" s="482"/>
      <c r="C39" s="319"/>
      <c r="D39" s="319"/>
      <c r="E39" s="319"/>
      <c r="F39" s="1385"/>
      <c r="G39" s="1390"/>
      <c r="H39" s="312"/>
      <c r="I39" s="312"/>
      <c r="J39" s="1386"/>
      <c r="K39" s="1391" t="s">
        <v>929</v>
      </c>
      <c r="L39" s="1388"/>
      <c r="M39" s="1389">
        <f>M40</f>
        <v>38880</v>
      </c>
      <c r="N39" s="1384"/>
      <c r="O39" s="1392"/>
      <c r="P39" s="492"/>
      <c r="Q39" s="492"/>
      <c r="R39" s="492"/>
      <c r="S39" s="492"/>
      <c r="T39" s="492"/>
      <c r="U39" s="492"/>
      <c r="V39" s="492"/>
      <c r="W39" s="492"/>
      <c r="X39" s="492"/>
      <c r="Y39" s="492"/>
      <c r="Z39" s="492"/>
      <c r="AA39" s="492"/>
      <c r="AB39" s="492"/>
      <c r="AC39" s="492"/>
      <c r="AD39" s="492"/>
      <c r="AE39" s="492"/>
      <c r="AF39" s="492"/>
      <c r="AG39" s="492"/>
      <c r="AH39" s="492"/>
      <c r="AI39" s="492"/>
      <c r="AJ39" s="492"/>
      <c r="AK39" s="492"/>
      <c r="AL39" s="492"/>
      <c r="AM39" s="492"/>
      <c r="AN39" s="492"/>
      <c r="AO39" s="492"/>
      <c r="AP39" s="492"/>
      <c r="AQ39" s="492"/>
      <c r="AR39" s="492"/>
      <c r="AS39" s="492"/>
      <c r="AT39" s="492"/>
      <c r="AU39" s="492"/>
      <c r="AV39" s="492"/>
      <c r="AW39" s="492"/>
      <c r="AX39" s="492"/>
      <c r="AY39" s="492"/>
      <c r="AZ39" s="492"/>
      <c r="BA39" s="492"/>
      <c r="BB39" s="492"/>
      <c r="BC39" s="492"/>
      <c r="BD39" s="492"/>
      <c r="BE39" s="492"/>
      <c r="BF39" s="2783"/>
    </row>
    <row r="40" spans="1:97" ht="24">
      <c r="A40" s="1710"/>
      <c r="B40" s="482"/>
      <c r="C40" s="319"/>
      <c r="D40" s="319"/>
      <c r="E40" s="319"/>
      <c r="F40" s="1385"/>
      <c r="G40" s="1390"/>
      <c r="H40" s="312"/>
      <c r="I40" s="312"/>
      <c r="J40" s="1386"/>
      <c r="K40" s="1393" t="s">
        <v>1541</v>
      </c>
      <c r="L40" s="1388" t="s">
        <v>6</v>
      </c>
      <c r="M40" s="317">
        <v>38880</v>
      </c>
      <c r="N40" s="1384">
        <f>360000*9*12</f>
        <v>38880000</v>
      </c>
      <c r="O40" s="1394"/>
      <c r="P40" s="492"/>
      <c r="Q40" s="492"/>
      <c r="R40" s="492"/>
      <c r="S40" s="492"/>
      <c r="T40" s="492"/>
      <c r="U40" s="492"/>
      <c r="V40" s="492"/>
      <c r="W40" s="492"/>
      <c r="X40" s="492"/>
      <c r="Y40" s="492"/>
      <c r="Z40" s="492"/>
      <c r="AA40" s="492"/>
      <c r="AB40" s="492"/>
      <c r="AC40" s="492"/>
      <c r="AD40" s="492"/>
      <c r="AE40" s="492"/>
      <c r="AF40" s="492"/>
      <c r="AG40" s="492"/>
      <c r="AH40" s="492"/>
      <c r="AI40" s="492"/>
      <c r="AJ40" s="492"/>
      <c r="AK40" s="492"/>
      <c r="AL40" s="492"/>
      <c r="AM40" s="492"/>
      <c r="AN40" s="492"/>
      <c r="AO40" s="492"/>
      <c r="AP40" s="492"/>
      <c r="AQ40" s="492"/>
      <c r="AR40" s="492"/>
      <c r="AS40" s="492"/>
      <c r="AT40" s="492"/>
      <c r="AU40" s="492"/>
      <c r="AV40" s="492"/>
      <c r="AW40" s="492"/>
      <c r="AX40" s="492"/>
      <c r="AY40" s="492"/>
      <c r="AZ40" s="492"/>
      <c r="BA40" s="492"/>
      <c r="BB40" s="492"/>
      <c r="BC40" s="492"/>
      <c r="BD40" s="492"/>
      <c r="BE40" s="492"/>
      <c r="BF40" s="2783"/>
    </row>
    <row r="41" spans="1:97" ht="23.25" customHeight="1">
      <c r="A41" s="1710"/>
      <c r="B41" s="482"/>
      <c r="C41" s="319"/>
      <c r="D41" s="319"/>
      <c r="E41" s="319"/>
      <c r="F41" s="1385"/>
      <c r="G41" s="1390"/>
      <c r="H41" s="312"/>
      <c r="I41" s="312"/>
      <c r="J41" s="1386"/>
      <c r="K41" s="1391" t="s">
        <v>930</v>
      </c>
      <c r="L41" s="1388"/>
      <c r="M41" s="1389">
        <f>M42+M43+M44+M45</f>
        <v>12840</v>
      </c>
      <c r="N41" s="1384"/>
      <c r="O41" s="316"/>
      <c r="P41" s="492"/>
      <c r="Q41" s="492"/>
      <c r="R41" s="492"/>
      <c r="S41" s="492"/>
      <c r="T41" s="492"/>
      <c r="U41" s="492"/>
      <c r="V41" s="492"/>
      <c r="W41" s="492"/>
      <c r="X41" s="492"/>
      <c r="Y41" s="492"/>
      <c r="Z41" s="492"/>
      <c r="AA41" s="492"/>
      <c r="AB41" s="492"/>
      <c r="AC41" s="492"/>
      <c r="AD41" s="492"/>
      <c r="AE41" s="492"/>
      <c r="AF41" s="492"/>
      <c r="AG41" s="492"/>
      <c r="AH41" s="492"/>
      <c r="AI41" s="492"/>
      <c r="AJ41" s="492"/>
      <c r="AK41" s="492"/>
      <c r="AL41" s="492"/>
      <c r="AM41" s="492"/>
      <c r="AN41" s="492"/>
      <c r="AO41" s="492"/>
      <c r="AP41" s="492"/>
      <c r="AQ41" s="492"/>
      <c r="AR41" s="492"/>
      <c r="AS41" s="492"/>
      <c r="AT41" s="492"/>
      <c r="AU41" s="492"/>
      <c r="AV41" s="492"/>
      <c r="AW41" s="492"/>
      <c r="AX41" s="492"/>
      <c r="AY41" s="492"/>
      <c r="AZ41" s="492"/>
      <c r="BA41" s="492"/>
      <c r="BB41" s="492"/>
      <c r="BC41" s="492"/>
      <c r="BD41" s="492"/>
      <c r="BE41" s="492"/>
      <c r="BF41" s="2783"/>
    </row>
    <row r="42" spans="1:97" ht="23.25" customHeight="1">
      <c r="A42" s="1710"/>
      <c r="B42" s="482"/>
      <c r="C42" s="319"/>
      <c r="D42" s="319"/>
      <c r="E42" s="319"/>
      <c r="F42" s="1390"/>
      <c r="G42" s="1390"/>
      <c r="H42" s="312"/>
      <c r="I42" s="312"/>
      <c r="J42" s="1386"/>
      <c r="K42" s="1391" t="s">
        <v>1542</v>
      </c>
      <c r="L42" s="1388" t="s">
        <v>6</v>
      </c>
      <c r="M42" s="317">
        <v>6000</v>
      </c>
      <c r="N42" s="1384">
        <f>500000*12</f>
        <v>6000000</v>
      </c>
      <c r="O42" s="316"/>
      <c r="P42" s="492"/>
      <c r="Q42" s="492"/>
      <c r="R42" s="492"/>
      <c r="S42" s="492"/>
      <c r="T42" s="492"/>
      <c r="U42" s="492"/>
      <c r="V42" s="492"/>
      <c r="W42" s="492"/>
      <c r="X42" s="492"/>
      <c r="Y42" s="492"/>
      <c r="Z42" s="492"/>
      <c r="AA42" s="492"/>
      <c r="AB42" s="492"/>
      <c r="AC42" s="492"/>
      <c r="AD42" s="492"/>
      <c r="AE42" s="492"/>
      <c r="AF42" s="492"/>
      <c r="AG42" s="492"/>
      <c r="AH42" s="492"/>
      <c r="AI42" s="492"/>
      <c r="AJ42" s="492"/>
      <c r="AK42" s="492"/>
      <c r="AL42" s="492"/>
      <c r="AM42" s="492"/>
      <c r="AN42" s="492"/>
      <c r="AO42" s="492"/>
      <c r="AP42" s="492"/>
      <c r="AQ42" s="492"/>
      <c r="AR42" s="492"/>
      <c r="AS42" s="492"/>
      <c r="AT42" s="492"/>
      <c r="AU42" s="492"/>
      <c r="AV42" s="492"/>
      <c r="AW42" s="492"/>
      <c r="AX42" s="492"/>
      <c r="AY42" s="492"/>
      <c r="AZ42" s="492"/>
      <c r="BA42" s="492"/>
      <c r="BB42" s="492"/>
      <c r="BC42" s="492"/>
      <c r="BD42" s="492"/>
      <c r="BE42" s="492"/>
      <c r="BF42" s="2783"/>
    </row>
    <row r="43" spans="1:97" ht="23.25" customHeight="1">
      <c r="A43" s="1710"/>
      <c r="B43" s="482"/>
      <c r="C43" s="319"/>
      <c r="D43" s="319"/>
      <c r="E43" s="319"/>
      <c r="F43" s="1390"/>
      <c r="G43" s="1390"/>
      <c r="H43" s="312"/>
      <c r="I43" s="312"/>
      <c r="J43" s="1386"/>
      <c r="K43" s="1391" t="s">
        <v>1543</v>
      </c>
      <c r="L43" s="1388" t="s">
        <v>6</v>
      </c>
      <c r="M43" s="317">
        <v>2280</v>
      </c>
      <c r="N43" s="1384">
        <f>190000*12</f>
        <v>2280000</v>
      </c>
      <c r="O43" s="316"/>
      <c r="P43" s="492"/>
      <c r="Q43" s="492"/>
      <c r="R43" s="492"/>
      <c r="S43" s="492"/>
      <c r="T43" s="492"/>
      <c r="U43" s="492"/>
      <c r="V43" s="492"/>
      <c r="W43" s="492"/>
      <c r="X43" s="492"/>
      <c r="Y43" s="492"/>
      <c r="Z43" s="492"/>
      <c r="AA43" s="492"/>
      <c r="AB43" s="492"/>
      <c r="AC43" s="492"/>
      <c r="AD43" s="492"/>
      <c r="AE43" s="492"/>
      <c r="AF43" s="492"/>
      <c r="AG43" s="492"/>
      <c r="AH43" s="492"/>
      <c r="AI43" s="492"/>
      <c r="AJ43" s="492"/>
      <c r="AK43" s="492"/>
      <c r="AL43" s="492"/>
      <c r="AM43" s="492"/>
      <c r="AN43" s="492"/>
      <c r="AO43" s="492"/>
      <c r="AP43" s="492"/>
      <c r="AQ43" s="492"/>
      <c r="AR43" s="492"/>
      <c r="AS43" s="492"/>
      <c r="AT43" s="492"/>
      <c r="AU43" s="492"/>
      <c r="AV43" s="492"/>
      <c r="AW43" s="492"/>
      <c r="AX43" s="492"/>
      <c r="AY43" s="492"/>
      <c r="AZ43" s="492"/>
      <c r="BA43" s="492"/>
      <c r="BB43" s="492"/>
      <c r="BC43" s="492"/>
      <c r="BD43" s="492"/>
      <c r="BE43" s="492"/>
      <c r="BF43" s="2783"/>
    </row>
    <row r="44" spans="1:97" ht="23.25" customHeight="1">
      <c r="A44" s="1710"/>
      <c r="B44" s="482"/>
      <c r="C44" s="319"/>
      <c r="D44" s="319"/>
      <c r="E44" s="319"/>
      <c r="F44" s="1385"/>
      <c r="G44" s="1390"/>
      <c r="H44" s="312"/>
      <c r="I44" s="312"/>
      <c r="J44" s="1386"/>
      <c r="K44" s="1391" t="s">
        <v>1544</v>
      </c>
      <c r="L44" s="1388" t="s">
        <v>292</v>
      </c>
      <c r="M44" s="317">
        <v>2280</v>
      </c>
      <c r="N44" s="1384">
        <f>190000*12</f>
        <v>2280000</v>
      </c>
      <c r="O44" s="316"/>
      <c r="P44" s="492"/>
      <c r="Q44" s="492"/>
      <c r="R44" s="492"/>
      <c r="S44" s="492"/>
      <c r="T44" s="492"/>
      <c r="U44" s="492"/>
      <c r="V44" s="492"/>
      <c r="W44" s="492"/>
      <c r="X44" s="492"/>
      <c r="Y44" s="492"/>
      <c r="Z44" s="492"/>
      <c r="AA44" s="492"/>
      <c r="AB44" s="492"/>
      <c r="AC44" s="492"/>
      <c r="AD44" s="492"/>
      <c r="AE44" s="492"/>
      <c r="AF44" s="492"/>
      <c r="AG44" s="492"/>
      <c r="AH44" s="492"/>
      <c r="AI44" s="492"/>
      <c r="AJ44" s="492"/>
      <c r="AK44" s="492"/>
      <c r="AL44" s="492"/>
      <c r="AM44" s="492"/>
      <c r="AN44" s="492"/>
      <c r="AO44" s="492"/>
      <c r="AP44" s="492"/>
      <c r="AQ44" s="492"/>
      <c r="AR44" s="492"/>
      <c r="AS44" s="492"/>
      <c r="AT44" s="492"/>
      <c r="AU44" s="492"/>
      <c r="AV44" s="492"/>
      <c r="AW44" s="492"/>
      <c r="AX44" s="492"/>
      <c r="AY44" s="492"/>
      <c r="AZ44" s="492"/>
      <c r="BA44" s="492"/>
      <c r="BB44" s="492"/>
      <c r="BC44" s="492"/>
      <c r="BD44" s="492"/>
      <c r="BE44" s="492"/>
      <c r="BF44" s="2783"/>
    </row>
    <row r="45" spans="1:97" ht="23.25" customHeight="1">
      <c r="A45" s="1710"/>
      <c r="B45" s="482"/>
      <c r="C45" s="319"/>
      <c r="D45" s="319"/>
      <c r="E45" s="319"/>
      <c r="F45" s="1385"/>
      <c r="G45" s="1390"/>
      <c r="H45" s="312"/>
      <c r="I45" s="312"/>
      <c r="J45" s="1386"/>
      <c r="K45" s="1391" t="s">
        <v>1545</v>
      </c>
      <c r="L45" s="1388" t="s">
        <v>292</v>
      </c>
      <c r="M45" s="317">
        <v>2280</v>
      </c>
      <c r="N45" s="1384">
        <f>190000*12</f>
        <v>2280000</v>
      </c>
      <c r="O45" s="316"/>
      <c r="P45" s="492"/>
      <c r="Q45" s="492"/>
      <c r="R45" s="492"/>
      <c r="S45" s="492"/>
      <c r="T45" s="492"/>
      <c r="U45" s="492"/>
      <c r="V45" s="492"/>
      <c r="W45" s="492"/>
      <c r="X45" s="492"/>
      <c r="Y45" s="492"/>
      <c r="Z45" s="492"/>
      <c r="AA45" s="492"/>
      <c r="AB45" s="492"/>
      <c r="AC45" s="492"/>
      <c r="AD45" s="492"/>
      <c r="AE45" s="492"/>
      <c r="AF45" s="492"/>
      <c r="AG45" s="492"/>
      <c r="AH45" s="492"/>
      <c r="AI45" s="492"/>
      <c r="AJ45" s="492"/>
      <c r="AK45" s="492"/>
      <c r="AL45" s="492"/>
      <c r="AM45" s="492"/>
      <c r="AN45" s="492"/>
      <c r="AO45" s="492"/>
      <c r="AP45" s="492"/>
      <c r="AQ45" s="492"/>
      <c r="AR45" s="492"/>
      <c r="AS45" s="492"/>
      <c r="AT45" s="492"/>
      <c r="AU45" s="492"/>
      <c r="AV45" s="492"/>
      <c r="AW45" s="492"/>
      <c r="AX45" s="492"/>
      <c r="AY45" s="492"/>
      <c r="AZ45" s="492"/>
      <c r="BA45" s="492"/>
      <c r="BB45" s="492"/>
      <c r="BC45" s="492"/>
      <c r="BD45" s="492"/>
      <c r="BE45" s="492"/>
      <c r="BF45" s="2783"/>
    </row>
    <row r="46" spans="1:97" ht="23.25" customHeight="1">
      <c r="A46" s="1710"/>
      <c r="B46" s="482"/>
      <c r="C46" s="319"/>
      <c r="D46" s="319"/>
      <c r="E46" s="319"/>
      <c r="F46" s="1385"/>
      <c r="G46" s="1390"/>
      <c r="H46" s="312"/>
      <c r="I46" s="312"/>
      <c r="J46" s="1386"/>
      <c r="K46" s="1391" t="s">
        <v>1546</v>
      </c>
      <c r="L46" s="1398" t="s">
        <v>6</v>
      </c>
      <c r="M46" s="1389">
        <v>4440</v>
      </c>
      <c r="N46" s="1384">
        <f>370000*12</f>
        <v>4440000</v>
      </c>
      <c r="O46" s="316"/>
      <c r="P46" s="492"/>
      <c r="Q46" s="492"/>
      <c r="R46" s="492"/>
      <c r="S46" s="492"/>
      <c r="T46" s="492"/>
      <c r="U46" s="492"/>
      <c r="V46" s="492"/>
      <c r="W46" s="492"/>
      <c r="X46" s="492"/>
      <c r="Y46" s="492"/>
      <c r="Z46" s="492"/>
      <c r="AA46" s="492"/>
      <c r="AB46" s="492"/>
      <c r="AC46" s="492"/>
      <c r="AD46" s="492"/>
      <c r="AE46" s="492"/>
      <c r="AF46" s="492"/>
      <c r="AG46" s="492"/>
      <c r="AH46" s="492"/>
      <c r="AI46" s="492"/>
      <c r="AJ46" s="492"/>
      <c r="AK46" s="492"/>
      <c r="AL46" s="492"/>
      <c r="AM46" s="492"/>
      <c r="AN46" s="492"/>
      <c r="AO46" s="492"/>
      <c r="AP46" s="492"/>
      <c r="AQ46" s="492"/>
      <c r="AR46" s="492"/>
      <c r="AS46" s="492"/>
      <c r="AT46" s="492"/>
      <c r="AU46" s="492"/>
      <c r="AV46" s="492"/>
      <c r="AW46" s="492"/>
      <c r="AX46" s="492"/>
      <c r="AY46" s="492"/>
      <c r="AZ46" s="492"/>
      <c r="BA46" s="492"/>
      <c r="BB46" s="492"/>
      <c r="BC46" s="492"/>
      <c r="BD46" s="492"/>
      <c r="BE46" s="492"/>
      <c r="BF46" s="2783"/>
    </row>
    <row r="47" spans="1:97" ht="23.25" customHeight="1">
      <c r="A47" s="1710"/>
      <c r="B47" s="482"/>
      <c r="C47" s="319"/>
      <c r="D47" s="319"/>
      <c r="E47" s="319"/>
      <c r="F47" s="1385"/>
      <c r="G47" s="1390"/>
      <c r="H47" s="312"/>
      <c r="I47" s="312"/>
      <c r="J47" s="1386"/>
      <c r="K47" s="1391" t="s">
        <v>931</v>
      </c>
      <c r="L47" s="1388"/>
      <c r="M47" s="1389">
        <f>M48+M49</f>
        <v>39000</v>
      </c>
      <c r="N47" s="1384"/>
      <c r="O47" s="316"/>
      <c r="P47" s="492"/>
      <c r="Q47" s="492"/>
      <c r="R47" s="492"/>
      <c r="S47" s="492"/>
      <c r="T47" s="492"/>
      <c r="U47" s="492"/>
      <c r="V47" s="492"/>
      <c r="W47" s="492"/>
      <c r="X47" s="492"/>
      <c r="Y47" s="492"/>
      <c r="Z47" s="492"/>
      <c r="AA47" s="492"/>
      <c r="AB47" s="492"/>
      <c r="AC47" s="492"/>
      <c r="AD47" s="492"/>
      <c r="AE47" s="492"/>
      <c r="AF47" s="492"/>
      <c r="AG47" s="492"/>
      <c r="AH47" s="492"/>
      <c r="AI47" s="492"/>
      <c r="AJ47" s="492"/>
      <c r="AK47" s="492"/>
      <c r="AL47" s="492"/>
      <c r="AM47" s="492"/>
      <c r="AN47" s="492"/>
      <c r="AO47" s="492"/>
      <c r="AP47" s="492"/>
      <c r="AQ47" s="492"/>
      <c r="AR47" s="492"/>
      <c r="AS47" s="492"/>
      <c r="AT47" s="492"/>
      <c r="AU47" s="492"/>
      <c r="AV47" s="492"/>
      <c r="AW47" s="492"/>
      <c r="AX47" s="492"/>
      <c r="AY47" s="492"/>
      <c r="AZ47" s="492"/>
      <c r="BA47" s="492"/>
      <c r="BB47" s="492"/>
      <c r="BC47" s="492"/>
      <c r="BD47" s="492"/>
      <c r="BE47" s="492"/>
      <c r="BF47" s="2783"/>
    </row>
    <row r="48" spans="1:97" ht="23.25" customHeight="1">
      <c r="A48" s="1710"/>
      <c r="B48" s="482"/>
      <c r="C48" s="319"/>
      <c r="D48" s="319"/>
      <c r="E48" s="319"/>
      <c r="F48" s="1385"/>
      <c r="G48" s="1390"/>
      <c r="H48" s="312"/>
      <c r="I48" s="312"/>
      <c r="J48" s="1386"/>
      <c r="K48" s="1391" t="s">
        <v>1547</v>
      </c>
      <c r="L48" s="1388" t="s">
        <v>6</v>
      </c>
      <c r="M48" s="317">
        <v>21600</v>
      </c>
      <c r="N48" s="1384">
        <f>900000*2*12</f>
        <v>21600000</v>
      </c>
      <c r="O48" s="316"/>
      <c r="P48" s="492"/>
      <c r="Q48" s="492"/>
      <c r="R48" s="492"/>
      <c r="S48" s="492"/>
      <c r="T48" s="492"/>
      <c r="U48" s="492"/>
      <c r="V48" s="492"/>
      <c r="W48" s="492"/>
      <c r="X48" s="492"/>
      <c r="Y48" s="492"/>
      <c r="Z48" s="492"/>
      <c r="AA48" s="492"/>
      <c r="AB48" s="492"/>
      <c r="AC48" s="492"/>
      <c r="AD48" s="492"/>
      <c r="AE48" s="492"/>
      <c r="AF48" s="492"/>
      <c r="AG48" s="492"/>
      <c r="AH48" s="492"/>
      <c r="AI48" s="492"/>
      <c r="AJ48" s="492"/>
      <c r="AK48" s="492"/>
      <c r="AL48" s="492"/>
      <c r="AM48" s="492"/>
      <c r="AN48" s="492"/>
      <c r="AO48" s="492"/>
      <c r="AP48" s="492"/>
      <c r="AQ48" s="492"/>
      <c r="AR48" s="492"/>
      <c r="AS48" s="492"/>
      <c r="AT48" s="492"/>
      <c r="AU48" s="492"/>
      <c r="AV48" s="492"/>
      <c r="AW48" s="492"/>
      <c r="AX48" s="492"/>
      <c r="AY48" s="492"/>
      <c r="AZ48" s="492"/>
      <c r="BA48" s="492"/>
      <c r="BB48" s="492"/>
      <c r="BC48" s="492"/>
      <c r="BD48" s="492"/>
      <c r="BE48" s="492"/>
      <c r="BF48" s="2783"/>
    </row>
    <row r="49" spans="1:58" ht="23.25" customHeight="1">
      <c r="A49" s="1710"/>
      <c r="B49" s="482"/>
      <c r="C49" s="319"/>
      <c r="D49" s="319"/>
      <c r="E49" s="319"/>
      <c r="F49" s="1385"/>
      <c r="G49" s="1390"/>
      <c r="H49" s="312"/>
      <c r="I49" s="312"/>
      <c r="J49" s="1386"/>
      <c r="K49" s="1391" t="s">
        <v>1548</v>
      </c>
      <c r="L49" s="1388" t="s">
        <v>6</v>
      </c>
      <c r="M49" s="317">
        <v>17400</v>
      </c>
      <c r="N49" s="1384">
        <f>290000*5*12</f>
        <v>17400000</v>
      </c>
      <c r="O49" s="316"/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H49" s="492"/>
      <c r="AI49" s="492"/>
      <c r="AJ49" s="492"/>
      <c r="AK49" s="492"/>
      <c r="AL49" s="492"/>
      <c r="AM49" s="492"/>
      <c r="AN49" s="492"/>
      <c r="AO49" s="492"/>
      <c r="AP49" s="492"/>
      <c r="AQ49" s="492"/>
      <c r="AR49" s="492"/>
      <c r="AS49" s="492"/>
      <c r="AT49" s="492"/>
      <c r="AU49" s="492"/>
      <c r="AV49" s="492"/>
      <c r="AW49" s="492"/>
      <c r="AX49" s="492"/>
      <c r="AY49" s="492"/>
      <c r="AZ49" s="492"/>
      <c r="BA49" s="492"/>
      <c r="BB49" s="492"/>
      <c r="BC49" s="492"/>
      <c r="BD49" s="492"/>
      <c r="BE49" s="492"/>
      <c r="BF49" s="2783"/>
    </row>
    <row r="50" spans="1:58" ht="23.25" customHeight="1">
      <c r="A50" s="1710"/>
      <c r="B50" s="482"/>
      <c r="C50" s="319"/>
      <c r="D50" s="319"/>
      <c r="E50" s="319"/>
      <c r="F50" s="1385"/>
      <c r="G50" s="1390"/>
      <c r="H50" s="312"/>
      <c r="I50" s="312"/>
      <c r="J50" s="1386"/>
      <c r="K50" s="1391" t="s">
        <v>1549</v>
      </c>
      <c r="L50" s="1388"/>
      <c r="M50" s="1389">
        <f>M51</f>
        <v>12000</v>
      </c>
      <c r="N50" s="1384"/>
      <c r="O50" s="316"/>
      <c r="P50" s="492"/>
      <c r="Q50" s="492"/>
      <c r="R50" s="492"/>
      <c r="S50" s="492"/>
      <c r="T50" s="492"/>
      <c r="U50" s="492"/>
      <c r="V50" s="492"/>
      <c r="W50" s="492"/>
      <c r="X50" s="492"/>
      <c r="Y50" s="492"/>
      <c r="Z50" s="492"/>
      <c r="AA50" s="492"/>
      <c r="AB50" s="492"/>
      <c r="AC50" s="492"/>
      <c r="AD50" s="492"/>
      <c r="AE50" s="492"/>
      <c r="AF50" s="492"/>
      <c r="AG50" s="492"/>
      <c r="AH50" s="492"/>
      <c r="AI50" s="492"/>
      <c r="AJ50" s="492"/>
      <c r="AK50" s="492"/>
      <c r="AL50" s="492"/>
      <c r="AM50" s="492"/>
      <c r="AN50" s="492"/>
      <c r="AO50" s="492"/>
      <c r="AP50" s="492"/>
      <c r="AQ50" s="492"/>
      <c r="AR50" s="492"/>
      <c r="AS50" s="492"/>
      <c r="AT50" s="492"/>
      <c r="AU50" s="492"/>
      <c r="AV50" s="492"/>
      <c r="AW50" s="492"/>
      <c r="AX50" s="492"/>
      <c r="AY50" s="492"/>
      <c r="AZ50" s="492"/>
      <c r="BA50" s="492"/>
      <c r="BB50" s="492"/>
      <c r="BC50" s="492"/>
      <c r="BD50" s="492"/>
      <c r="BE50" s="492"/>
      <c r="BF50" s="2783"/>
    </row>
    <row r="51" spans="1:58" ht="23.25" customHeight="1">
      <c r="A51" s="1710"/>
      <c r="B51" s="482"/>
      <c r="C51" s="319"/>
      <c r="D51" s="319"/>
      <c r="E51" s="319"/>
      <c r="F51" s="1385"/>
      <c r="G51" s="1390"/>
      <c r="H51" s="312"/>
      <c r="I51" s="312"/>
      <c r="J51" s="1386"/>
      <c r="K51" s="1391" t="s">
        <v>1550</v>
      </c>
      <c r="L51" s="1388" t="s">
        <v>6</v>
      </c>
      <c r="M51" s="317">
        <v>12000</v>
      </c>
      <c r="N51" s="1384">
        <f>6000000*2</f>
        <v>12000000</v>
      </c>
      <c r="O51" s="316"/>
      <c r="P51" s="492"/>
      <c r="Q51" s="492"/>
      <c r="R51" s="492"/>
      <c r="S51" s="492"/>
      <c r="T51" s="492"/>
      <c r="U51" s="492"/>
      <c r="V51" s="492"/>
      <c r="W51" s="492"/>
      <c r="X51" s="492"/>
      <c r="Y51" s="492"/>
      <c r="Z51" s="492"/>
      <c r="AA51" s="492"/>
      <c r="AB51" s="492"/>
      <c r="AC51" s="492"/>
      <c r="AD51" s="492"/>
      <c r="AE51" s="492"/>
      <c r="AF51" s="492"/>
      <c r="AG51" s="492"/>
      <c r="AH51" s="492"/>
      <c r="AI51" s="492"/>
      <c r="AJ51" s="492"/>
      <c r="AK51" s="492"/>
      <c r="AL51" s="492"/>
      <c r="AM51" s="492"/>
      <c r="AN51" s="492"/>
      <c r="AO51" s="492"/>
      <c r="AP51" s="492"/>
      <c r="AQ51" s="492"/>
      <c r="AR51" s="492"/>
      <c r="AS51" s="492"/>
      <c r="AT51" s="492"/>
      <c r="AU51" s="492"/>
      <c r="AV51" s="492"/>
      <c r="AW51" s="492"/>
      <c r="AX51" s="492"/>
      <c r="AY51" s="492"/>
      <c r="AZ51" s="492"/>
      <c r="BA51" s="492"/>
      <c r="BB51" s="492"/>
      <c r="BC51" s="492"/>
      <c r="BD51" s="492"/>
      <c r="BE51" s="492"/>
      <c r="BF51" s="2783"/>
    </row>
    <row r="52" spans="1:58" ht="23.25" customHeight="1">
      <c r="A52" s="1710"/>
      <c r="B52" s="482"/>
      <c r="C52" s="319"/>
      <c r="D52" s="319"/>
      <c r="E52" s="319"/>
      <c r="F52" s="1385"/>
      <c r="G52" s="1390"/>
      <c r="H52" s="312"/>
      <c r="I52" s="312"/>
      <c r="J52" s="1386"/>
      <c r="K52" s="1619" t="s">
        <v>1551</v>
      </c>
      <c r="L52" s="1521"/>
      <c r="M52" s="1825">
        <f>M53</f>
        <v>115689</v>
      </c>
      <c r="N52" s="1384"/>
      <c r="O52" s="316"/>
      <c r="P52" s="492"/>
      <c r="Q52" s="492"/>
      <c r="R52" s="492"/>
      <c r="S52" s="492"/>
      <c r="T52" s="492"/>
      <c r="U52" s="492"/>
      <c r="V52" s="492"/>
      <c r="W52" s="492"/>
      <c r="X52" s="492"/>
      <c r="Y52" s="492"/>
      <c r="Z52" s="492"/>
      <c r="AA52" s="492"/>
      <c r="AB52" s="492"/>
      <c r="AC52" s="492"/>
      <c r="AD52" s="492"/>
      <c r="AE52" s="492"/>
      <c r="AF52" s="492"/>
      <c r="AG52" s="492"/>
      <c r="AH52" s="492"/>
      <c r="AI52" s="492"/>
      <c r="AJ52" s="492"/>
      <c r="AK52" s="492"/>
      <c r="AL52" s="492"/>
      <c r="AM52" s="492"/>
      <c r="AN52" s="492"/>
      <c r="AO52" s="492"/>
      <c r="AP52" s="492"/>
      <c r="AQ52" s="492"/>
      <c r="AR52" s="492"/>
      <c r="AS52" s="492"/>
      <c r="AT52" s="492"/>
      <c r="AU52" s="492"/>
      <c r="AV52" s="492"/>
      <c r="AW52" s="492"/>
      <c r="AX52" s="492"/>
      <c r="AY52" s="492"/>
      <c r="AZ52" s="492"/>
      <c r="BA52" s="492"/>
      <c r="BB52" s="492"/>
      <c r="BC52" s="492"/>
      <c r="BD52" s="492"/>
      <c r="BE52" s="492"/>
      <c r="BF52" s="2783"/>
    </row>
    <row r="53" spans="1:58" ht="23.25" customHeight="1">
      <c r="A53" s="1710"/>
      <c r="B53" s="482"/>
      <c r="C53" s="319"/>
      <c r="D53" s="319"/>
      <c r="E53" s="319"/>
      <c r="F53" s="1385"/>
      <c r="G53" s="1390"/>
      <c r="H53" s="312"/>
      <c r="I53" s="312"/>
      <c r="J53" s="1386"/>
      <c r="K53" s="1619" t="s">
        <v>1552</v>
      </c>
      <c r="L53" s="1521" t="s">
        <v>292</v>
      </c>
      <c r="M53" s="1826">
        <v>115689</v>
      </c>
      <c r="N53" s="1384">
        <f>90100*107*12</f>
        <v>115688400</v>
      </c>
      <c r="O53" s="316"/>
      <c r="P53" s="492"/>
      <c r="Q53" s="492"/>
      <c r="R53" s="492"/>
      <c r="S53" s="492"/>
      <c r="T53" s="492"/>
      <c r="U53" s="492"/>
      <c r="V53" s="492"/>
      <c r="W53" s="492"/>
      <c r="X53" s="492"/>
      <c r="Y53" s="492"/>
      <c r="Z53" s="492"/>
      <c r="AA53" s="492"/>
      <c r="AB53" s="492"/>
      <c r="AC53" s="492"/>
      <c r="AD53" s="492"/>
      <c r="AE53" s="492"/>
      <c r="AF53" s="492"/>
      <c r="AG53" s="492"/>
      <c r="AH53" s="492"/>
      <c r="AI53" s="492"/>
      <c r="AJ53" s="492"/>
      <c r="AK53" s="492"/>
      <c r="AL53" s="492"/>
      <c r="AM53" s="492"/>
      <c r="AN53" s="492"/>
      <c r="AO53" s="492"/>
      <c r="AP53" s="492"/>
      <c r="AQ53" s="492"/>
      <c r="AR53" s="492"/>
      <c r="AS53" s="492"/>
      <c r="AT53" s="492"/>
      <c r="AU53" s="492"/>
      <c r="AV53" s="492"/>
      <c r="AW53" s="492"/>
      <c r="AX53" s="492"/>
      <c r="AY53" s="492"/>
      <c r="AZ53" s="492"/>
      <c r="BA53" s="492"/>
      <c r="BB53" s="492"/>
      <c r="BC53" s="492"/>
      <c r="BD53" s="492"/>
      <c r="BE53" s="492"/>
      <c r="BF53" s="2783"/>
    </row>
    <row r="54" spans="1:58" ht="23.25" customHeight="1">
      <c r="A54" s="1710"/>
      <c r="B54" s="482"/>
      <c r="C54" s="319"/>
      <c r="D54" s="319"/>
      <c r="E54" s="319"/>
      <c r="F54" s="1385"/>
      <c r="G54" s="1390"/>
      <c r="H54" s="312"/>
      <c r="I54" s="312"/>
      <c r="J54" s="1386"/>
      <c r="K54" s="1399" t="s">
        <v>1553</v>
      </c>
      <c r="L54" s="1400" t="s">
        <v>6</v>
      </c>
      <c r="M54" s="1389">
        <v>15000</v>
      </c>
      <c r="N54" s="1384"/>
      <c r="O54" s="316"/>
      <c r="P54" s="492"/>
      <c r="Q54" s="492"/>
      <c r="R54" s="492"/>
      <c r="S54" s="492"/>
      <c r="T54" s="492"/>
      <c r="U54" s="492"/>
      <c r="V54" s="492"/>
      <c r="W54" s="492"/>
      <c r="X54" s="492"/>
      <c r="Y54" s="492"/>
      <c r="Z54" s="492"/>
      <c r="AA54" s="492"/>
      <c r="AB54" s="492"/>
      <c r="AC54" s="492"/>
      <c r="AD54" s="492"/>
      <c r="AE54" s="492"/>
      <c r="AF54" s="492"/>
      <c r="AG54" s="492"/>
      <c r="AH54" s="492"/>
      <c r="AI54" s="492"/>
      <c r="AJ54" s="492"/>
      <c r="AK54" s="492"/>
      <c r="AL54" s="492"/>
      <c r="AM54" s="492"/>
      <c r="AN54" s="492"/>
      <c r="AO54" s="492"/>
      <c r="AP54" s="492"/>
      <c r="AQ54" s="492"/>
      <c r="AR54" s="492"/>
      <c r="AS54" s="492"/>
      <c r="AT54" s="492"/>
      <c r="AU54" s="492"/>
      <c r="AV54" s="492"/>
      <c r="AW54" s="492"/>
      <c r="AX54" s="492"/>
      <c r="AY54" s="492"/>
      <c r="AZ54" s="492"/>
      <c r="BA54" s="492"/>
      <c r="BB54" s="492"/>
      <c r="BC54" s="492"/>
      <c r="BD54" s="492"/>
      <c r="BE54" s="492"/>
      <c r="BF54" s="2783"/>
    </row>
    <row r="55" spans="1:58" ht="23.25" customHeight="1">
      <c r="A55" s="1710"/>
      <c r="B55" s="482"/>
      <c r="C55" s="319"/>
      <c r="D55" s="319"/>
      <c r="E55" s="319"/>
      <c r="F55" s="1385"/>
      <c r="G55" s="1390"/>
      <c r="H55" s="312"/>
      <c r="I55" s="312"/>
      <c r="J55" s="1386"/>
      <c r="K55" s="1391" t="s">
        <v>1554</v>
      </c>
      <c r="L55" s="1398" t="s">
        <v>6</v>
      </c>
      <c r="M55" s="1389">
        <v>72000</v>
      </c>
      <c r="N55" s="1384">
        <f>6000000*12</f>
        <v>72000000</v>
      </c>
      <c r="O55" s="316"/>
      <c r="P55" s="492"/>
      <c r="Q55" s="492"/>
      <c r="R55" s="492"/>
      <c r="S55" s="492"/>
      <c r="T55" s="492"/>
      <c r="U55" s="492"/>
      <c r="V55" s="492"/>
      <c r="W55" s="492"/>
      <c r="X55" s="492"/>
      <c r="Y55" s="492"/>
      <c r="Z55" s="492"/>
      <c r="AA55" s="492"/>
      <c r="AB55" s="492"/>
      <c r="AC55" s="492"/>
      <c r="AD55" s="492"/>
      <c r="AE55" s="492"/>
      <c r="AF55" s="492"/>
      <c r="AG55" s="492"/>
      <c r="AH55" s="492"/>
      <c r="AI55" s="492"/>
      <c r="AJ55" s="492"/>
      <c r="AK55" s="492"/>
      <c r="AL55" s="492"/>
      <c r="AM55" s="492"/>
      <c r="AN55" s="492"/>
      <c r="AO55" s="492"/>
      <c r="AP55" s="492"/>
      <c r="AQ55" s="492"/>
      <c r="AR55" s="492"/>
      <c r="AS55" s="492"/>
      <c r="AT55" s="492"/>
      <c r="AU55" s="492"/>
      <c r="AV55" s="492"/>
      <c r="AW55" s="492"/>
      <c r="AX55" s="492"/>
      <c r="AY55" s="492"/>
      <c r="AZ55" s="492"/>
      <c r="BA55" s="492"/>
      <c r="BB55" s="492"/>
      <c r="BC55" s="492"/>
      <c r="BD55" s="492"/>
      <c r="BE55" s="492"/>
      <c r="BF55" s="2783"/>
    </row>
    <row r="56" spans="1:58" ht="23.25" customHeight="1">
      <c r="A56" s="1710"/>
      <c r="B56" s="482"/>
      <c r="C56" s="319"/>
      <c r="D56" s="319"/>
      <c r="E56" s="319"/>
      <c r="F56" s="1385"/>
      <c r="G56" s="1390"/>
      <c r="H56" s="312"/>
      <c r="I56" s="312"/>
      <c r="J56" s="1386"/>
      <c r="K56" s="1619" t="s">
        <v>1555</v>
      </c>
      <c r="L56" s="1827" t="s">
        <v>6</v>
      </c>
      <c r="M56" s="1825">
        <v>1080</v>
      </c>
      <c r="N56" s="1384">
        <f>90000*12</f>
        <v>1080000</v>
      </c>
      <c r="O56" s="316"/>
      <c r="P56" s="492"/>
      <c r="Q56" s="492"/>
      <c r="R56" s="492"/>
      <c r="S56" s="492"/>
      <c r="T56" s="492"/>
      <c r="U56" s="492"/>
      <c r="V56" s="492"/>
      <c r="W56" s="492"/>
      <c r="X56" s="492"/>
      <c r="Y56" s="492"/>
      <c r="Z56" s="492"/>
      <c r="AA56" s="492"/>
      <c r="AB56" s="492"/>
      <c r="AC56" s="492"/>
      <c r="AD56" s="492"/>
      <c r="AE56" s="492"/>
      <c r="AF56" s="492"/>
      <c r="AG56" s="492"/>
      <c r="AH56" s="492"/>
      <c r="AI56" s="492"/>
      <c r="AJ56" s="492"/>
      <c r="AK56" s="492"/>
      <c r="AL56" s="492"/>
      <c r="AM56" s="492"/>
      <c r="AN56" s="492"/>
      <c r="AO56" s="492"/>
      <c r="AP56" s="492"/>
      <c r="AQ56" s="492"/>
      <c r="AR56" s="492"/>
      <c r="AS56" s="492"/>
      <c r="AT56" s="492"/>
      <c r="AU56" s="492"/>
      <c r="AV56" s="492"/>
      <c r="AW56" s="492"/>
      <c r="AX56" s="492"/>
      <c r="AY56" s="492"/>
      <c r="AZ56" s="492"/>
      <c r="BA56" s="492"/>
      <c r="BB56" s="492"/>
      <c r="BC56" s="492"/>
      <c r="BD56" s="492"/>
      <c r="BE56" s="492"/>
      <c r="BF56" s="2783"/>
    </row>
    <row r="57" spans="1:58" ht="23.25" customHeight="1">
      <c r="A57" s="1710"/>
      <c r="B57" s="482"/>
      <c r="C57" s="319"/>
      <c r="D57" s="319"/>
      <c r="E57" s="319"/>
      <c r="F57" s="1385"/>
      <c r="G57" s="1390"/>
      <c r="H57" s="312"/>
      <c r="I57" s="312"/>
      <c r="J57" s="1386"/>
      <c r="K57" s="1619" t="s">
        <v>1556</v>
      </c>
      <c r="L57" s="1827" t="s">
        <v>6</v>
      </c>
      <c r="M57" s="1825">
        <v>2880</v>
      </c>
      <c r="N57" s="1384">
        <f>60000*4*12</f>
        <v>2880000</v>
      </c>
      <c r="O57" s="316"/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2"/>
      <c r="AK57" s="492"/>
      <c r="AL57" s="492"/>
      <c r="AM57" s="492"/>
      <c r="AN57" s="492"/>
      <c r="AO57" s="492"/>
      <c r="AP57" s="492"/>
      <c r="AQ57" s="492"/>
      <c r="AR57" s="492"/>
      <c r="AS57" s="492"/>
      <c r="AT57" s="492"/>
      <c r="AU57" s="492"/>
      <c r="AV57" s="492"/>
      <c r="AW57" s="492"/>
      <c r="AX57" s="492"/>
      <c r="AY57" s="492"/>
      <c r="AZ57" s="492"/>
      <c r="BA57" s="492"/>
      <c r="BB57" s="492"/>
      <c r="BC57" s="492"/>
      <c r="BD57" s="492"/>
      <c r="BE57" s="492"/>
      <c r="BF57" s="2783"/>
    </row>
    <row r="58" spans="1:58" ht="23.25" customHeight="1">
      <c r="A58" s="1710"/>
      <c r="B58" s="482"/>
      <c r="C58" s="319"/>
      <c r="D58" s="319"/>
      <c r="E58" s="319"/>
      <c r="F58" s="1385"/>
      <c r="G58" s="1390"/>
      <c r="H58" s="312"/>
      <c r="I58" s="312"/>
      <c r="J58" s="1386"/>
      <c r="K58" s="1477" t="s">
        <v>1557</v>
      </c>
      <c r="L58" s="1827" t="s">
        <v>6</v>
      </c>
      <c r="M58" s="1828">
        <v>1080</v>
      </c>
      <c r="N58" s="1384">
        <f>90000*3*4</f>
        <v>1080000</v>
      </c>
      <c r="O58" s="316"/>
      <c r="P58" s="492"/>
      <c r="Q58" s="492"/>
      <c r="R58" s="492"/>
      <c r="S58" s="492"/>
      <c r="T58" s="492"/>
      <c r="U58" s="492"/>
      <c r="V58" s="492"/>
      <c r="W58" s="492"/>
      <c r="X58" s="492"/>
      <c r="Y58" s="492"/>
      <c r="Z58" s="492"/>
      <c r="AA58" s="492"/>
      <c r="AB58" s="492"/>
      <c r="AC58" s="492"/>
      <c r="AD58" s="492"/>
      <c r="AE58" s="492"/>
      <c r="AF58" s="492"/>
      <c r="AG58" s="492"/>
      <c r="AH58" s="492"/>
      <c r="AI58" s="492"/>
      <c r="AJ58" s="492"/>
      <c r="AK58" s="492"/>
      <c r="AL58" s="492"/>
      <c r="AM58" s="492"/>
      <c r="AN58" s="492"/>
      <c r="AO58" s="492"/>
      <c r="AP58" s="492"/>
      <c r="AQ58" s="492"/>
      <c r="AR58" s="492"/>
      <c r="AS58" s="492"/>
      <c r="AT58" s="492"/>
      <c r="AU58" s="492"/>
      <c r="AV58" s="492"/>
      <c r="AW58" s="492"/>
      <c r="AX58" s="492"/>
      <c r="AY58" s="492"/>
      <c r="AZ58" s="492"/>
      <c r="BA58" s="492"/>
      <c r="BB58" s="492"/>
      <c r="BC58" s="492"/>
      <c r="BD58" s="492"/>
      <c r="BE58" s="492"/>
      <c r="BF58" s="2783"/>
    </row>
    <row r="59" spans="1:58" ht="23.25" customHeight="1">
      <c r="A59" s="1710"/>
      <c r="B59" s="482"/>
      <c r="C59" s="319"/>
      <c r="D59" s="319"/>
      <c r="E59" s="319"/>
      <c r="F59" s="1385"/>
      <c r="G59" s="1390"/>
      <c r="H59" s="312"/>
      <c r="I59" s="312"/>
      <c r="J59" s="1386"/>
      <c r="K59" s="1829" t="s">
        <v>1558</v>
      </c>
      <c r="L59" s="1827" t="s">
        <v>6</v>
      </c>
      <c r="M59" s="1828">
        <v>800</v>
      </c>
      <c r="N59" s="1384">
        <f>200000*4</f>
        <v>800000</v>
      </c>
      <c r="O59" s="316"/>
      <c r="P59" s="492"/>
      <c r="Q59" s="492"/>
      <c r="R59" s="492"/>
      <c r="S59" s="492"/>
      <c r="T59" s="492"/>
      <c r="U59" s="492"/>
      <c r="V59" s="492"/>
      <c r="W59" s="492"/>
      <c r="X59" s="492"/>
      <c r="Y59" s="492"/>
      <c r="Z59" s="492"/>
      <c r="AA59" s="492"/>
      <c r="AB59" s="492"/>
      <c r="AC59" s="492"/>
      <c r="AD59" s="492"/>
      <c r="AE59" s="492"/>
      <c r="AF59" s="492"/>
      <c r="AG59" s="492"/>
      <c r="AH59" s="492"/>
      <c r="AI59" s="492"/>
      <c r="AJ59" s="492"/>
      <c r="AK59" s="492"/>
      <c r="AL59" s="492"/>
      <c r="AM59" s="492"/>
      <c r="AN59" s="492"/>
      <c r="AO59" s="492"/>
      <c r="AP59" s="492"/>
      <c r="AQ59" s="492"/>
      <c r="AR59" s="492"/>
      <c r="AS59" s="492"/>
      <c r="AT59" s="492"/>
      <c r="AU59" s="492"/>
      <c r="AV59" s="492"/>
      <c r="AW59" s="492"/>
      <c r="AX59" s="492"/>
      <c r="AY59" s="492"/>
      <c r="AZ59" s="492"/>
      <c r="BA59" s="492"/>
      <c r="BB59" s="492"/>
      <c r="BC59" s="492"/>
      <c r="BD59" s="492"/>
      <c r="BE59" s="492"/>
      <c r="BF59" s="2783"/>
    </row>
    <row r="60" spans="1:58" ht="23.25" customHeight="1">
      <c r="A60" s="1710"/>
      <c r="B60" s="482"/>
      <c r="C60" s="319"/>
      <c r="D60" s="319"/>
      <c r="E60" s="319"/>
      <c r="F60" s="1385"/>
      <c r="G60" s="1380" t="s">
        <v>322</v>
      </c>
      <c r="H60" s="315">
        <f>M60</f>
        <v>52204</v>
      </c>
      <c r="I60" s="315">
        <v>45593</v>
      </c>
      <c r="J60" s="311">
        <f>H60-I60</f>
        <v>6611</v>
      </c>
      <c r="K60" s="1407" t="s">
        <v>331</v>
      </c>
      <c r="L60" s="1382"/>
      <c r="M60" s="1383">
        <f>M61+M65+M69+M72+M73+M74</f>
        <v>52204</v>
      </c>
      <c r="N60" s="1384"/>
      <c r="O60" s="316"/>
      <c r="P60" s="492"/>
      <c r="Q60" s="492"/>
      <c r="R60" s="492"/>
      <c r="S60" s="492"/>
      <c r="T60" s="492"/>
      <c r="U60" s="492"/>
      <c r="V60" s="492"/>
      <c r="W60" s="492"/>
      <c r="X60" s="492"/>
      <c r="Y60" s="492"/>
      <c r="Z60" s="492"/>
      <c r="AA60" s="492"/>
      <c r="AB60" s="492"/>
      <c r="AC60" s="492"/>
      <c r="AD60" s="492"/>
      <c r="AE60" s="492"/>
      <c r="AF60" s="492"/>
      <c r="AG60" s="492"/>
      <c r="AH60" s="492"/>
      <c r="AI60" s="492"/>
      <c r="AJ60" s="492"/>
      <c r="AK60" s="492"/>
      <c r="AL60" s="492"/>
      <c r="AM60" s="492"/>
      <c r="AN60" s="492"/>
      <c r="AO60" s="492"/>
      <c r="AP60" s="492"/>
      <c r="AQ60" s="492"/>
      <c r="AR60" s="492"/>
      <c r="AS60" s="492"/>
      <c r="AT60" s="492"/>
      <c r="AU60" s="492"/>
      <c r="AV60" s="492"/>
      <c r="AW60" s="492"/>
      <c r="AX60" s="492"/>
      <c r="AY60" s="492"/>
      <c r="AZ60" s="492"/>
      <c r="BA60" s="492"/>
      <c r="BB60" s="492"/>
      <c r="BC60" s="492"/>
      <c r="BD60" s="492"/>
      <c r="BE60" s="492"/>
      <c r="BF60" s="2783"/>
    </row>
    <row r="61" spans="1:58" ht="23.25" customHeight="1">
      <c r="A61" s="1710"/>
      <c r="B61" s="482"/>
      <c r="C61" s="319"/>
      <c r="D61" s="319"/>
      <c r="E61" s="319"/>
      <c r="F61" s="1385"/>
      <c r="G61" s="1403"/>
      <c r="H61" s="312"/>
      <c r="I61" s="312"/>
      <c r="J61" s="1386"/>
      <c r="K61" s="1391" t="s">
        <v>1559</v>
      </c>
      <c r="L61" s="1827"/>
      <c r="M61" s="1828">
        <f>M62+M63+M64</f>
        <v>36000</v>
      </c>
      <c r="N61" s="1384"/>
      <c r="O61" s="316"/>
      <c r="P61" s="492"/>
      <c r="Q61" s="492"/>
      <c r="R61" s="492"/>
      <c r="S61" s="492"/>
      <c r="T61" s="492"/>
      <c r="U61" s="492"/>
      <c r="V61" s="492"/>
      <c r="W61" s="492"/>
      <c r="X61" s="492"/>
      <c r="Y61" s="492"/>
      <c r="Z61" s="492"/>
      <c r="AA61" s="492"/>
      <c r="AB61" s="492"/>
      <c r="AC61" s="492"/>
      <c r="AD61" s="492"/>
      <c r="AE61" s="492"/>
      <c r="AF61" s="492"/>
      <c r="AG61" s="492"/>
      <c r="AH61" s="492"/>
      <c r="AI61" s="492"/>
      <c r="AJ61" s="492"/>
      <c r="AK61" s="492"/>
      <c r="AL61" s="492"/>
      <c r="AM61" s="492"/>
      <c r="AN61" s="492"/>
      <c r="AO61" s="492"/>
      <c r="AP61" s="492"/>
      <c r="AQ61" s="492"/>
      <c r="AR61" s="492"/>
      <c r="AS61" s="492"/>
      <c r="AT61" s="492"/>
      <c r="AU61" s="492"/>
      <c r="AV61" s="492"/>
      <c r="AW61" s="492"/>
      <c r="AX61" s="492"/>
      <c r="AY61" s="492"/>
      <c r="AZ61" s="492"/>
      <c r="BA61" s="492"/>
      <c r="BB61" s="492"/>
      <c r="BC61" s="492"/>
      <c r="BD61" s="492"/>
      <c r="BE61" s="492"/>
      <c r="BF61" s="2783"/>
    </row>
    <row r="62" spans="1:58" ht="23.25" customHeight="1">
      <c r="A62" s="1710"/>
      <c r="B62" s="482"/>
      <c r="C62" s="319"/>
      <c r="D62" s="319"/>
      <c r="E62" s="319"/>
      <c r="F62" s="1390"/>
      <c r="G62" s="1403"/>
      <c r="H62" s="312"/>
      <c r="I62" s="312"/>
      <c r="J62" s="1386"/>
      <c r="K62" s="1391" t="s">
        <v>1560</v>
      </c>
      <c r="L62" s="340" t="s">
        <v>292</v>
      </c>
      <c r="M62" s="322">
        <v>12000</v>
      </c>
      <c r="N62" s="1384">
        <f>1000000*1*12</f>
        <v>12000000</v>
      </c>
      <c r="O62" s="316"/>
      <c r="P62" s="492"/>
      <c r="Q62" s="492"/>
      <c r="R62" s="492"/>
      <c r="S62" s="492"/>
      <c r="T62" s="492"/>
      <c r="U62" s="492"/>
      <c r="V62" s="492"/>
      <c r="W62" s="492"/>
      <c r="X62" s="492"/>
      <c r="Y62" s="492"/>
      <c r="Z62" s="492"/>
      <c r="AA62" s="492"/>
      <c r="AB62" s="492"/>
      <c r="AC62" s="492"/>
      <c r="AD62" s="492"/>
      <c r="AE62" s="492"/>
      <c r="AF62" s="492"/>
      <c r="AG62" s="492"/>
      <c r="AH62" s="492"/>
      <c r="AI62" s="492"/>
      <c r="AJ62" s="492"/>
      <c r="AK62" s="492"/>
      <c r="AL62" s="492"/>
      <c r="AM62" s="492"/>
      <c r="AN62" s="492"/>
      <c r="AO62" s="492"/>
      <c r="AP62" s="492"/>
      <c r="AQ62" s="492"/>
      <c r="AR62" s="492"/>
      <c r="AS62" s="492"/>
      <c r="AT62" s="492"/>
      <c r="AU62" s="492"/>
      <c r="AV62" s="492"/>
      <c r="AW62" s="492"/>
      <c r="AX62" s="492"/>
      <c r="AY62" s="492"/>
      <c r="AZ62" s="492"/>
      <c r="BA62" s="492"/>
      <c r="BB62" s="492"/>
      <c r="BC62" s="492"/>
      <c r="BD62" s="492"/>
      <c r="BE62" s="492"/>
      <c r="BF62" s="2783"/>
    </row>
    <row r="63" spans="1:58" ht="21.75" customHeight="1">
      <c r="A63" s="1710"/>
      <c r="B63" s="482"/>
      <c r="C63" s="319"/>
      <c r="D63" s="319"/>
      <c r="E63" s="319"/>
      <c r="F63" s="1390"/>
      <c r="G63" s="1390"/>
      <c r="H63" s="312"/>
      <c r="I63" s="312"/>
      <c r="J63" s="1386"/>
      <c r="K63" s="1391" t="s">
        <v>1561</v>
      </c>
      <c r="L63" s="340" t="s">
        <v>6</v>
      </c>
      <c r="M63" s="322">
        <v>12000</v>
      </c>
      <c r="N63" s="1384">
        <f>1000000*1*12</f>
        <v>12000000</v>
      </c>
      <c r="O63" s="316"/>
      <c r="P63" s="492"/>
      <c r="Q63" s="492"/>
      <c r="R63" s="492"/>
      <c r="S63" s="492"/>
      <c r="T63" s="492"/>
      <c r="U63" s="492"/>
      <c r="V63" s="492"/>
      <c r="W63" s="492"/>
      <c r="X63" s="492"/>
      <c r="Y63" s="492"/>
      <c r="Z63" s="492"/>
      <c r="AA63" s="492"/>
      <c r="AB63" s="492"/>
      <c r="AC63" s="492"/>
      <c r="AD63" s="492"/>
      <c r="AE63" s="492"/>
      <c r="AF63" s="492"/>
      <c r="AG63" s="492"/>
      <c r="AH63" s="492"/>
      <c r="AI63" s="492"/>
      <c r="AJ63" s="492"/>
      <c r="AK63" s="492"/>
      <c r="AL63" s="492"/>
      <c r="AM63" s="492"/>
      <c r="AN63" s="492"/>
      <c r="AO63" s="492"/>
      <c r="AP63" s="492"/>
      <c r="AQ63" s="492"/>
      <c r="AR63" s="492"/>
      <c r="AS63" s="492"/>
      <c r="AT63" s="492"/>
      <c r="AU63" s="492"/>
      <c r="AV63" s="492"/>
      <c r="AW63" s="492"/>
      <c r="AX63" s="492"/>
      <c r="AY63" s="492"/>
      <c r="AZ63" s="492"/>
      <c r="BA63" s="492"/>
      <c r="BB63" s="492"/>
      <c r="BC63" s="492"/>
      <c r="BD63" s="492"/>
      <c r="BE63" s="492"/>
      <c r="BF63" s="2783"/>
    </row>
    <row r="64" spans="1:58" ht="21.75" customHeight="1">
      <c r="A64" s="1710"/>
      <c r="B64" s="482"/>
      <c r="C64" s="319"/>
      <c r="D64" s="319"/>
      <c r="E64" s="319"/>
      <c r="F64" s="1390"/>
      <c r="G64" s="1390"/>
      <c r="H64" s="312"/>
      <c r="I64" s="312"/>
      <c r="J64" s="1386"/>
      <c r="K64" s="1391" t="s">
        <v>1562</v>
      </c>
      <c r="L64" s="340" t="s">
        <v>292</v>
      </c>
      <c r="M64" s="322">
        <v>12000</v>
      </c>
      <c r="N64" s="1384">
        <f>1000000*1*12</f>
        <v>12000000</v>
      </c>
      <c r="O64" s="316"/>
      <c r="P64" s="492"/>
      <c r="Q64" s="492"/>
      <c r="R64" s="492"/>
      <c r="S64" s="492"/>
      <c r="T64" s="492"/>
      <c r="U64" s="492"/>
      <c r="V64" s="492"/>
      <c r="W64" s="492"/>
      <c r="X64" s="492"/>
      <c r="Y64" s="492"/>
      <c r="Z64" s="492"/>
      <c r="AA64" s="492"/>
      <c r="AB64" s="492"/>
      <c r="AC64" s="492"/>
      <c r="AD64" s="492"/>
      <c r="AE64" s="492"/>
      <c r="AF64" s="492"/>
      <c r="AG64" s="492"/>
      <c r="AH64" s="492"/>
      <c r="AI64" s="492"/>
      <c r="AJ64" s="492"/>
      <c r="AK64" s="492"/>
      <c r="AL64" s="492"/>
      <c r="AM64" s="492"/>
      <c r="AN64" s="492"/>
      <c r="AO64" s="492"/>
      <c r="AP64" s="492"/>
      <c r="AQ64" s="492"/>
      <c r="AR64" s="492"/>
      <c r="AS64" s="492"/>
      <c r="AT64" s="492"/>
      <c r="AU64" s="492"/>
      <c r="AV64" s="492"/>
      <c r="AW64" s="492"/>
      <c r="AX64" s="492"/>
      <c r="AY64" s="492"/>
      <c r="AZ64" s="492"/>
      <c r="BA64" s="492"/>
      <c r="BB64" s="492"/>
      <c r="BC64" s="492"/>
      <c r="BD64" s="492"/>
      <c r="BE64" s="492"/>
      <c r="BF64" s="2783"/>
    </row>
    <row r="65" spans="1:58" ht="21.75" customHeight="1">
      <c r="A65" s="1710"/>
      <c r="B65" s="482"/>
      <c r="C65" s="319"/>
      <c r="D65" s="319"/>
      <c r="E65" s="319"/>
      <c r="F65" s="1385"/>
      <c r="G65" s="1390"/>
      <c r="H65" s="312"/>
      <c r="I65" s="312"/>
      <c r="J65" s="1386"/>
      <c r="K65" s="1391" t="s">
        <v>1563</v>
      </c>
      <c r="L65" s="340"/>
      <c r="M65" s="1828">
        <f>M66+M67+M68</f>
        <v>6520</v>
      </c>
      <c r="N65" s="1384"/>
      <c r="O65" s="1394"/>
      <c r="P65" s="492"/>
      <c r="Q65" s="1404"/>
      <c r="R65" s="492"/>
      <c r="S65" s="492"/>
      <c r="T65" s="492"/>
      <c r="U65" s="492"/>
      <c r="V65" s="492"/>
      <c r="W65" s="492"/>
      <c r="X65" s="492"/>
      <c r="Y65" s="492"/>
      <c r="Z65" s="492"/>
      <c r="AA65" s="492"/>
      <c r="AB65" s="492"/>
      <c r="AC65" s="492"/>
      <c r="AD65" s="492"/>
      <c r="AE65" s="492"/>
      <c r="AF65" s="492"/>
      <c r="AG65" s="492"/>
      <c r="AH65" s="492"/>
      <c r="AI65" s="492"/>
      <c r="AJ65" s="492"/>
      <c r="AK65" s="492"/>
      <c r="AL65" s="492"/>
      <c r="AM65" s="492"/>
      <c r="AN65" s="492"/>
      <c r="AO65" s="492"/>
      <c r="AP65" s="492"/>
      <c r="AQ65" s="492"/>
      <c r="AR65" s="492"/>
      <c r="AS65" s="492"/>
      <c r="AT65" s="492"/>
      <c r="AU65" s="492"/>
      <c r="AV65" s="492"/>
      <c r="AW65" s="492"/>
      <c r="AX65" s="492"/>
      <c r="AY65" s="492"/>
      <c r="AZ65" s="492"/>
      <c r="BA65" s="492"/>
      <c r="BB65" s="492"/>
      <c r="BC65" s="492"/>
      <c r="BD65" s="492"/>
      <c r="BE65" s="492"/>
      <c r="BF65" s="2783"/>
    </row>
    <row r="66" spans="1:58" ht="21.75" customHeight="1">
      <c r="A66" s="1710"/>
      <c r="B66" s="482"/>
      <c r="C66" s="319"/>
      <c r="D66" s="319"/>
      <c r="E66" s="319"/>
      <c r="F66" s="1385"/>
      <c r="G66" s="1390"/>
      <c r="H66" s="312"/>
      <c r="I66" s="312"/>
      <c r="J66" s="1386"/>
      <c r="K66" s="1391" t="s">
        <v>1564</v>
      </c>
      <c r="L66" s="340" t="s">
        <v>292</v>
      </c>
      <c r="M66" s="322">
        <v>2800</v>
      </c>
      <c r="N66" s="1384">
        <f>700000*1*4</f>
        <v>2800000</v>
      </c>
      <c r="O66" s="1394"/>
      <c r="P66" s="492"/>
      <c r="Q66" s="1404"/>
      <c r="R66" s="492"/>
      <c r="S66" s="492"/>
      <c r="T66" s="492"/>
      <c r="U66" s="492"/>
      <c r="V66" s="492"/>
      <c r="W66" s="492"/>
      <c r="X66" s="492"/>
      <c r="Y66" s="492"/>
      <c r="Z66" s="492"/>
      <c r="AA66" s="492"/>
      <c r="AB66" s="492"/>
      <c r="AC66" s="492"/>
      <c r="AD66" s="492"/>
      <c r="AE66" s="492"/>
      <c r="AF66" s="492"/>
      <c r="AG66" s="492"/>
      <c r="AH66" s="492"/>
      <c r="AI66" s="492"/>
      <c r="AJ66" s="492"/>
      <c r="AK66" s="492"/>
      <c r="AL66" s="492"/>
      <c r="AM66" s="492"/>
      <c r="AN66" s="492"/>
      <c r="AO66" s="492"/>
      <c r="AP66" s="492"/>
      <c r="AQ66" s="492"/>
      <c r="AR66" s="492"/>
      <c r="AS66" s="492"/>
      <c r="AT66" s="492"/>
      <c r="AU66" s="492"/>
      <c r="AV66" s="492"/>
      <c r="AW66" s="492"/>
      <c r="AX66" s="492"/>
      <c r="AY66" s="492"/>
      <c r="AZ66" s="492"/>
      <c r="BA66" s="492"/>
      <c r="BB66" s="492"/>
      <c r="BC66" s="492"/>
      <c r="BD66" s="492"/>
      <c r="BE66" s="492"/>
      <c r="BF66" s="2783"/>
    </row>
    <row r="67" spans="1:58" ht="21.75" customHeight="1">
      <c r="A67" s="1710"/>
      <c r="B67" s="482"/>
      <c r="C67" s="319"/>
      <c r="D67" s="319"/>
      <c r="E67" s="319"/>
      <c r="F67" s="1385"/>
      <c r="G67" s="1390"/>
      <c r="H67" s="312"/>
      <c r="I67" s="312"/>
      <c r="J67" s="1386"/>
      <c r="K67" s="1391" t="s">
        <v>1565</v>
      </c>
      <c r="L67" s="340" t="s">
        <v>292</v>
      </c>
      <c r="M67" s="322">
        <v>720</v>
      </c>
      <c r="N67" s="1384">
        <f>30000*2*12</f>
        <v>720000</v>
      </c>
      <c r="O67" s="316"/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2"/>
      <c r="AK67" s="492"/>
      <c r="AL67" s="492"/>
      <c r="AM67" s="492"/>
      <c r="AN67" s="492"/>
      <c r="AO67" s="492"/>
      <c r="AP67" s="492"/>
      <c r="AQ67" s="492"/>
      <c r="AR67" s="492"/>
      <c r="AS67" s="492"/>
      <c r="AT67" s="492"/>
      <c r="AU67" s="492"/>
      <c r="AV67" s="492"/>
      <c r="AW67" s="492"/>
      <c r="AX67" s="492"/>
      <c r="AY67" s="492"/>
      <c r="AZ67" s="492"/>
      <c r="BA67" s="492"/>
      <c r="BB67" s="492"/>
      <c r="BC67" s="492"/>
      <c r="BD67" s="492"/>
      <c r="BE67" s="492"/>
      <c r="BF67" s="2783"/>
    </row>
    <row r="68" spans="1:58" ht="21.75" customHeight="1">
      <c r="A68" s="1710"/>
      <c r="B68" s="482"/>
      <c r="C68" s="319"/>
      <c r="D68" s="319"/>
      <c r="E68" s="319"/>
      <c r="F68" s="1385"/>
      <c r="G68" s="1390"/>
      <c r="H68" s="312"/>
      <c r="I68" s="312"/>
      <c r="J68" s="1386"/>
      <c r="K68" s="1391" t="s">
        <v>1566</v>
      </c>
      <c r="L68" s="340" t="s">
        <v>292</v>
      </c>
      <c r="M68" s="322">
        <v>3000</v>
      </c>
      <c r="N68" s="1384">
        <f>50000*5*12</f>
        <v>3000000</v>
      </c>
      <c r="O68" s="316"/>
      <c r="P68" s="492"/>
      <c r="Q68" s="492"/>
      <c r="R68" s="492"/>
      <c r="S68" s="492"/>
      <c r="T68" s="492"/>
      <c r="U68" s="492"/>
      <c r="V68" s="492"/>
      <c r="W68" s="492"/>
      <c r="X68" s="492"/>
      <c r="Y68" s="492"/>
      <c r="Z68" s="492"/>
      <c r="AA68" s="492"/>
      <c r="AB68" s="492"/>
      <c r="AC68" s="492"/>
      <c r="AD68" s="492"/>
      <c r="AE68" s="492"/>
      <c r="AF68" s="492"/>
      <c r="AG68" s="492"/>
      <c r="AH68" s="492"/>
      <c r="AI68" s="492"/>
      <c r="AJ68" s="492"/>
      <c r="AK68" s="492"/>
      <c r="AL68" s="492"/>
      <c r="AM68" s="492"/>
      <c r="AN68" s="492"/>
      <c r="AO68" s="492"/>
      <c r="AP68" s="492"/>
      <c r="AQ68" s="492"/>
      <c r="AR68" s="492"/>
      <c r="AS68" s="492"/>
      <c r="AT68" s="492"/>
      <c r="AU68" s="492"/>
      <c r="AV68" s="492"/>
      <c r="AW68" s="492"/>
      <c r="AX68" s="492"/>
      <c r="AY68" s="492"/>
      <c r="AZ68" s="492"/>
      <c r="BA68" s="492"/>
      <c r="BB68" s="492"/>
      <c r="BC68" s="492"/>
      <c r="BD68" s="492"/>
      <c r="BE68" s="492"/>
      <c r="BF68" s="2783"/>
    </row>
    <row r="69" spans="1:58" ht="23.25" customHeight="1">
      <c r="A69" s="1710"/>
      <c r="B69" s="482"/>
      <c r="C69" s="319"/>
      <c r="D69" s="319"/>
      <c r="E69" s="319"/>
      <c r="F69" s="1385"/>
      <c r="G69" s="1390"/>
      <c r="H69" s="312"/>
      <c r="I69" s="312"/>
      <c r="J69" s="1386"/>
      <c r="K69" s="1391" t="s">
        <v>1567</v>
      </c>
      <c r="L69" s="340"/>
      <c r="M69" s="1828">
        <f>M70+M71</f>
        <v>2004</v>
      </c>
      <c r="N69" s="1384"/>
      <c r="O69" s="1394"/>
      <c r="P69" s="492"/>
      <c r="Q69" s="492"/>
      <c r="R69" s="492"/>
      <c r="S69" s="492"/>
      <c r="T69" s="492"/>
      <c r="U69" s="492"/>
      <c r="V69" s="492"/>
      <c r="W69" s="492"/>
      <c r="X69" s="492"/>
      <c r="Y69" s="492"/>
      <c r="Z69" s="492"/>
      <c r="AA69" s="492"/>
      <c r="AB69" s="492"/>
      <c r="AC69" s="492"/>
      <c r="AD69" s="492"/>
      <c r="AE69" s="492"/>
      <c r="AF69" s="492"/>
      <c r="AG69" s="492"/>
      <c r="AH69" s="492"/>
      <c r="AI69" s="492"/>
      <c r="AJ69" s="492"/>
      <c r="AK69" s="492"/>
      <c r="AL69" s="492"/>
      <c r="AM69" s="492"/>
      <c r="AN69" s="492"/>
      <c r="AO69" s="492"/>
      <c r="AP69" s="492"/>
      <c r="AQ69" s="492"/>
      <c r="AR69" s="492"/>
      <c r="AS69" s="492"/>
      <c r="AT69" s="492"/>
      <c r="AU69" s="492"/>
      <c r="AV69" s="492"/>
      <c r="AW69" s="492"/>
      <c r="AX69" s="492"/>
      <c r="AY69" s="492"/>
      <c r="AZ69" s="492"/>
      <c r="BA69" s="492"/>
      <c r="BB69" s="492"/>
      <c r="BC69" s="492"/>
      <c r="BD69" s="492"/>
      <c r="BE69" s="492"/>
      <c r="BF69" s="2783"/>
    </row>
    <row r="70" spans="1:58" ht="23.25" customHeight="1">
      <c r="A70" s="1710"/>
      <c r="B70" s="482"/>
      <c r="C70" s="319"/>
      <c r="D70" s="319"/>
      <c r="E70" s="319"/>
      <c r="F70" s="1385"/>
      <c r="G70" s="1390"/>
      <c r="H70" s="1397"/>
      <c r="I70" s="1397"/>
      <c r="J70" s="1386"/>
      <c r="K70" s="1393" t="s">
        <v>1568</v>
      </c>
      <c r="L70" s="340" t="s">
        <v>292</v>
      </c>
      <c r="M70" s="322">
        <v>1920</v>
      </c>
      <c r="N70" s="1384">
        <f>20000*8*12</f>
        <v>1920000</v>
      </c>
      <c r="O70" s="316"/>
      <c r="P70" s="492"/>
      <c r="Q70" s="492"/>
      <c r="R70" s="492"/>
      <c r="S70" s="492"/>
      <c r="T70" s="492"/>
      <c r="U70" s="492"/>
      <c r="V70" s="492"/>
      <c r="W70" s="492"/>
      <c r="X70" s="492"/>
      <c r="Y70" s="492"/>
      <c r="Z70" s="492"/>
      <c r="AA70" s="492"/>
      <c r="AB70" s="492"/>
      <c r="AC70" s="492"/>
      <c r="AD70" s="492"/>
      <c r="AE70" s="492"/>
      <c r="AF70" s="492"/>
      <c r="AG70" s="492"/>
      <c r="AH70" s="492"/>
      <c r="AI70" s="492"/>
      <c r="AJ70" s="492"/>
      <c r="AK70" s="492"/>
      <c r="AL70" s="492"/>
      <c r="AM70" s="492"/>
      <c r="AN70" s="492"/>
      <c r="AO70" s="492"/>
      <c r="AP70" s="492"/>
      <c r="AQ70" s="492"/>
      <c r="AR70" s="492"/>
      <c r="AS70" s="492"/>
      <c r="AT70" s="492"/>
      <c r="AU70" s="492"/>
      <c r="AV70" s="492"/>
      <c r="AW70" s="492"/>
      <c r="AX70" s="492"/>
      <c r="AY70" s="492"/>
      <c r="AZ70" s="492"/>
      <c r="BA70" s="492"/>
      <c r="BB70" s="492"/>
      <c r="BC70" s="492"/>
      <c r="BD70" s="492"/>
      <c r="BE70" s="492"/>
      <c r="BF70" s="2783"/>
    </row>
    <row r="71" spans="1:58" ht="23.25" customHeight="1">
      <c r="A71" s="1710"/>
      <c r="B71" s="482"/>
      <c r="C71" s="319"/>
      <c r="D71" s="319"/>
      <c r="E71" s="319"/>
      <c r="F71" s="1385"/>
      <c r="G71" s="1390"/>
      <c r="H71" s="312"/>
      <c r="I71" s="312"/>
      <c r="J71" s="1386"/>
      <c r="K71" s="1391" t="s">
        <v>1569</v>
      </c>
      <c r="L71" s="340" t="s">
        <v>292</v>
      </c>
      <c r="M71" s="322">
        <v>84</v>
      </c>
      <c r="N71" s="1384">
        <f>7000*12</f>
        <v>84000</v>
      </c>
      <c r="O71" s="316"/>
      <c r="P71" s="492"/>
      <c r="Q71" s="492"/>
      <c r="R71" s="492"/>
      <c r="S71" s="492"/>
      <c r="T71" s="492"/>
      <c r="U71" s="492"/>
      <c r="V71" s="492"/>
      <c r="W71" s="492"/>
      <c r="X71" s="492"/>
      <c r="Y71" s="492"/>
      <c r="Z71" s="492"/>
      <c r="AA71" s="492"/>
      <c r="AB71" s="492"/>
      <c r="AC71" s="492"/>
      <c r="AD71" s="492"/>
      <c r="AE71" s="492"/>
      <c r="AF71" s="492"/>
      <c r="AG71" s="492"/>
      <c r="AH71" s="492"/>
      <c r="AI71" s="492"/>
      <c r="AJ71" s="492"/>
      <c r="AK71" s="492"/>
      <c r="AL71" s="492"/>
      <c r="AM71" s="492"/>
      <c r="AN71" s="492"/>
      <c r="AO71" s="492"/>
      <c r="AP71" s="492"/>
      <c r="AQ71" s="492"/>
      <c r="AR71" s="492"/>
      <c r="AS71" s="492"/>
      <c r="AT71" s="492"/>
      <c r="AU71" s="492"/>
      <c r="AV71" s="492"/>
      <c r="AW71" s="492"/>
      <c r="AX71" s="492"/>
      <c r="AY71" s="492"/>
      <c r="AZ71" s="492"/>
      <c r="BA71" s="492"/>
      <c r="BB71" s="492"/>
      <c r="BC71" s="492"/>
      <c r="BD71" s="492"/>
      <c r="BE71" s="492"/>
      <c r="BF71" s="2783"/>
    </row>
    <row r="72" spans="1:58" ht="21.75" customHeight="1">
      <c r="A72" s="1710"/>
      <c r="B72" s="482"/>
      <c r="C72" s="319"/>
      <c r="D72" s="319"/>
      <c r="E72" s="319"/>
      <c r="F72" s="1385"/>
      <c r="G72" s="1390"/>
      <c r="H72" s="312"/>
      <c r="I72" s="312"/>
      <c r="J72" s="1386"/>
      <c r="K72" s="1391" t="s">
        <v>1570</v>
      </c>
      <c r="L72" s="1827" t="s">
        <v>292</v>
      </c>
      <c r="M72" s="1828">
        <v>2520</v>
      </c>
      <c r="N72" s="1384">
        <f>30000*7*12</f>
        <v>2520000</v>
      </c>
      <c r="O72" s="316"/>
      <c r="P72" s="492"/>
      <c r="Q72" s="492"/>
      <c r="R72" s="492"/>
      <c r="S72" s="492"/>
      <c r="T72" s="492"/>
      <c r="U72" s="492"/>
      <c r="V72" s="492"/>
      <c r="W72" s="492"/>
      <c r="X72" s="492"/>
      <c r="Y72" s="492"/>
      <c r="Z72" s="492"/>
      <c r="AA72" s="492"/>
      <c r="AB72" s="492"/>
      <c r="AC72" s="492"/>
      <c r="AD72" s="492"/>
      <c r="AE72" s="492"/>
      <c r="AF72" s="492"/>
      <c r="AG72" s="492"/>
      <c r="AH72" s="492"/>
      <c r="AI72" s="492"/>
      <c r="AJ72" s="492"/>
      <c r="AK72" s="492"/>
      <c r="AL72" s="492"/>
      <c r="AM72" s="492"/>
      <c r="AN72" s="492"/>
      <c r="AO72" s="492"/>
      <c r="AP72" s="492"/>
      <c r="AQ72" s="492"/>
      <c r="AR72" s="492"/>
      <c r="AS72" s="492"/>
      <c r="AT72" s="492"/>
      <c r="AU72" s="492"/>
      <c r="AV72" s="492"/>
      <c r="AW72" s="492"/>
      <c r="AX72" s="492"/>
      <c r="AY72" s="492"/>
      <c r="AZ72" s="492"/>
      <c r="BA72" s="492"/>
      <c r="BB72" s="492"/>
      <c r="BC72" s="492"/>
      <c r="BD72" s="492"/>
      <c r="BE72" s="492"/>
      <c r="BF72" s="2783"/>
    </row>
    <row r="73" spans="1:58" ht="21.75" customHeight="1">
      <c r="A73" s="1710"/>
      <c r="B73" s="482"/>
      <c r="C73" s="319"/>
      <c r="D73" s="319"/>
      <c r="E73" s="319"/>
      <c r="F73" s="1385"/>
      <c r="G73" s="1390"/>
      <c r="H73" s="312"/>
      <c r="I73" s="312"/>
      <c r="J73" s="1386"/>
      <c r="K73" s="1391" t="s">
        <v>1571</v>
      </c>
      <c r="L73" s="1827" t="s">
        <v>292</v>
      </c>
      <c r="M73" s="1828">
        <v>2160</v>
      </c>
      <c r="N73" s="1384">
        <f>30000*6*12</f>
        <v>2160000</v>
      </c>
      <c r="O73" s="316"/>
      <c r="P73" s="492"/>
      <c r="Q73" s="492"/>
      <c r="R73" s="492"/>
      <c r="S73" s="492"/>
      <c r="T73" s="492"/>
      <c r="U73" s="492"/>
      <c r="V73" s="492"/>
      <c r="W73" s="492"/>
      <c r="X73" s="492"/>
      <c r="Y73" s="492"/>
      <c r="Z73" s="492"/>
      <c r="AA73" s="492"/>
      <c r="AB73" s="492"/>
      <c r="AC73" s="492"/>
      <c r="AD73" s="492"/>
      <c r="AE73" s="492"/>
      <c r="AF73" s="492"/>
      <c r="AG73" s="492"/>
      <c r="AH73" s="492"/>
      <c r="AI73" s="492"/>
      <c r="AJ73" s="492"/>
      <c r="AK73" s="492"/>
      <c r="AL73" s="492"/>
      <c r="AM73" s="492"/>
      <c r="AN73" s="492"/>
      <c r="AO73" s="492"/>
      <c r="AP73" s="492"/>
      <c r="AQ73" s="492"/>
      <c r="AR73" s="492"/>
      <c r="AS73" s="492"/>
      <c r="AT73" s="492"/>
      <c r="AU73" s="492"/>
      <c r="AV73" s="492"/>
      <c r="AW73" s="492"/>
      <c r="AX73" s="492"/>
      <c r="AY73" s="492"/>
      <c r="AZ73" s="492"/>
      <c r="BA73" s="492"/>
      <c r="BB73" s="492"/>
      <c r="BC73" s="492"/>
      <c r="BD73" s="492"/>
      <c r="BE73" s="492"/>
      <c r="BF73" s="2783"/>
    </row>
    <row r="74" spans="1:58" ht="24">
      <c r="A74" s="1710"/>
      <c r="B74" s="482"/>
      <c r="C74" s="319"/>
      <c r="D74" s="319"/>
      <c r="E74" s="319"/>
      <c r="F74" s="1385"/>
      <c r="G74" s="1390"/>
      <c r="H74" s="312"/>
      <c r="I74" s="312"/>
      <c r="J74" s="1386"/>
      <c r="K74" s="1393" t="s">
        <v>1572</v>
      </c>
      <c r="L74" s="1830" t="s">
        <v>292</v>
      </c>
      <c r="M74" s="941">
        <v>3000</v>
      </c>
      <c r="N74" s="1384">
        <f>1500000*2</f>
        <v>3000000</v>
      </c>
      <c r="O74" s="316"/>
      <c r="P74" s="492"/>
      <c r="Q74" s="492"/>
      <c r="R74" s="492"/>
      <c r="S74" s="492"/>
      <c r="T74" s="492"/>
      <c r="U74" s="492"/>
      <c r="V74" s="492"/>
      <c r="W74" s="492"/>
      <c r="X74" s="492"/>
      <c r="Y74" s="492"/>
      <c r="Z74" s="492"/>
      <c r="AA74" s="492"/>
      <c r="AB74" s="492"/>
      <c r="AC74" s="492"/>
      <c r="AD74" s="492"/>
      <c r="AE74" s="492"/>
      <c r="AF74" s="492"/>
      <c r="AG74" s="492"/>
      <c r="AH74" s="492"/>
      <c r="AI74" s="492"/>
      <c r="AJ74" s="492"/>
      <c r="AK74" s="492"/>
      <c r="AL74" s="492"/>
      <c r="AM74" s="492"/>
      <c r="AN74" s="492"/>
      <c r="AO74" s="492"/>
      <c r="AP74" s="492"/>
      <c r="AQ74" s="492"/>
      <c r="AR74" s="492"/>
      <c r="AS74" s="492"/>
      <c r="AT74" s="492"/>
      <c r="AU74" s="492"/>
      <c r="AV74" s="492"/>
      <c r="AW74" s="492"/>
      <c r="AX74" s="492"/>
      <c r="AY74" s="492"/>
      <c r="AZ74" s="492"/>
      <c r="BA74" s="492"/>
      <c r="BB74" s="492"/>
      <c r="BC74" s="492"/>
      <c r="BD74" s="492"/>
      <c r="BE74" s="492"/>
      <c r="BF74" s="2783"/>
    </row>
    <row r="75" spans="1:58" ht="23.25" customHeight="1">
      <c r="A75" s="1710"/>
      <c r="B75" s="482"/>
      <c r="C75" s="319"/>
      <c r="D75" s="319"/>
      <c r="E75" s="319"/>
      <c r="F75" s="1390"/>
      <c r="G75" s="1380" t="s">
        <v>323</v>
      </c>
      <c r="H75" s="315">
        <f>M75</f>
        <v>39500</v>
      </c>
      <c r="I75" s="315">
        <v>28350</v>
      </c>
      <c r="J75" s="311">
        <f>H75-I75</f>
        <v>11150</v>
      </c>
      <c r="K75" s="1381" t="s">
        <v>332</v>
      </c>
      <c r="L75" s="1382"/>
      <c r="M75" s="1383">
        <f>M76+M79+M80</f>
        <v>39500</v>
      </c>
      <c r="N75" s="1384"/>
      <c r="O75" s="316"/>
      <c r="P75" s="492"/>
      <c r="Q75" s="492"/>
      <c r="R75" s="492"/>
      <c r="S75" s="492"/>
      <c r="T75" s="492"/>
      <c r="U75" s="492"/>
      <c r="V75" s="492"/>
      <c r="W75" s="492"/>
      <c r="X75" s="492"/>
      <c r="Y75" s="492"/>
      <c r="Z75" s="492"/>
      <c r="AA75" s="492"/>
      <c r="AB75" s="492"/>
      <c r="AC75" s="492"/>
      <c r="AD75" s="492"/>
      <c r="AE75" s="492"/>
      <c r="AF75" s="492"/>
      <c r="AG75" s="492"/>
      <c r="AH75" s="492"/>
      <c r="AI75" s="492"/>
      <c r="AJ75" s="492"/>
      <c r="AK75" s="492"/>
      <c r="AL75" s="492"/>
      <c r="AM75" s="492"/>
      <c r="AN75" s="492"/>
      <c r="AO75" s="492"/>
      <c r="AP75" s="492"/>
      <c r="AQ75" s="492"/>
      <c r="AR75" s="492"/>
      <c r="AS75" s="492"/>
      <c r="AT75" s="492"/>
      <c r="AU75" s="492"/>
      <c r="AV75" s="492"/>
      <c r="AW75" s="492"/>
      <c r="AX75" s="492"/>
      <c r="AY75" s="492"/>
      <c r="AZ75" s="492"/>
      <c r="BA75" s="492"/>
      <c r="BB75" s="492"/>
      <c r="BC75" s="492"/>
      <c r="BD75" s="492"/>
      <c r="BE75" s="492"/>
      <c r="BF75" s="2783"/>
    </row>
    <row r="76" spans="1:58" ht="22.5" customHeight="1">
      <c r="A76" s="1710"/>
      <c r="B76" s="482"/>
      <c r="C76" s="319"/>
      <c r="D76" s="319"/>
      <c r="E76" s="319"/>
      <c r="F76" s="1385"/>
      <c r="G76" s="1390"/>
      <c r="H76" s="312"/>
      <c r="I76" s="312"/>
      <c r="J76" s="1386"/>
      <c r="K76" s="1391" t="s">
        <v>932</v>
      </c>
      <c r="L76" s="1398"/>
      <c r="M76" s="1389">
        <f>M77+M78</f>
        <v>33000</v>
      </c>
      <c r="N76" s="1384">
        <f>N77+N78</f>
        <v>33000000</v>
      </c>
      <c r="O76" s="316"/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  <c r="AL76" s="492"/>
      <c r="AM76" s="492"/>
      <c r="AN76" s="492"/>
      <c r="AO76" s="492"/>
      <c r="AP76" s="492"/>
      <c r="AQ76" s="492"/>
      <c r="AR76" s="492"/>
      <c r="AS76" s="492"/>
      <c r="AT76" s="492"/>
      <c r="AU76" s="492"/>
      <c r="AV76" s="492"/>
      <c r="AW76" s="492"/>
      <c r="AX76" s="492"/>
      <c r="AY76" s="492"/>
      <c r="AZ76" s="492"/>
      <c r="BA76" s="492"/>
      <c r="BB76" s="492"/>
      <c r="BC76" s="492"/>
      <c r="BD76" s="492"/>
      <c r="BE76" s="492"/>
      <c r="BF76" s="2783"/>
    </row>
    <row r="77" spans="1:58" ht="22.5" customHeight="1">
      <c r="A77" s="1710"/>
      <c r="B77" s="482"/>
      <c r="C77" s="319"/>
      <c r="D77" s="319"/>
      <c r="E77" s="319"/>
      <c r="F77" s="1385"/>
      <c r="G77" s="1390"/>
      <c r="H77" s="312"/>
      <c r="I77" s="312"/>
      <c r="J77" s="1386"/>
      <c r="K77" s="1391" t="s">
        <v>1573</v>
      </c>
      <c r="L77" s="1388" t="s">
        <v>292</v>
      </c>
      <c r="M77" s="317">
        <v>16500</v>
      </c>
      <c r="N77" s="1384">
        <f>150000*55*2</f>
        <v>16500000</v>
      </c>
      <c r="O77" s="316"/>
      <c r="P77" s="492"/>
      <c r="Q77" s="492"/>
      <c r="R77" s="492"/>
      <c r="S77" s="492"/>
      <c r="T77" s="492"/>
      <c r="U77" s="492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H77" s="492"/>
      <c r="AI77" s="492"/>
      <c r="AJ77" s="492"/>
      <c r="AK77" s="492"/>
      <c r="AL77" s="492"/>
      <c r="AM77" s="492"/>
      <c r="AN77" s="492"/>
      <c r="AO77" s="492"/>
      <c r="AP77" s="492"/>
      <c r="AQ77" s="492"/>
      <c r="AR77" s="492"/>
      <c r="AS77" s="492"/>
      <c r="AT77" s="492"/>
      <c r="AU77" s="492"/>
      <c r="AV77" s="492"/>
      <c r="AW77" s="492"/>
      <c r="AX77" s="492"/>
      <c r="AY77" s="492"/>
      <c r="AZ77" s="492"/>
      <c r="BA77" s="492"/>
      <c r="BB77" s="492"/>
      <c r="BC77" s="492"/>
      <c r="BD77" s="492"/>
      <c r="BE77" s="492"/>
      <c r="BF77" s="2783"/>
    </row>
    <row r="78" spans="1:58" ht="22.5" customHeight="1">
      <c r="A78" s="1710"/>
      <c r="B78" s="482"/>
      <c r="C78" s="319"/>
      <c r="D78" s="319"/>
      <c r="E78" s="319"/>
      <c r="F78" s="1385"/>
      <c r="G78" s="1390"/>
      <c r="H78" s="312"/>
      <c r="I78" s="312"/>
      <c r="J78" s="1386"/>
      <c r="K78" s="1391" t="s">
        <v>1574</v>
      </c>
      <c r="L78" s="1388" t="s">
        <v>292</v>
      </c>
      <c r="M78" s="317">
        <v>16500</v>
      </c>
      <c r="N78" s="1384">
        <f>300000*55</f>
        <v>16500000</v>
      </c>
      <c r="O78" s="316"/>
      <c r="P78" s="492"/>
      <c r="Q78" s="492"/>
      <c r="R78" s="492"/>
      <c r="S78" s="492"/>
      <c r="T78" s="492"/>
      <c r="U78" s="492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J78" s="492"/>
      <c r="AK78" s="492"/>
      <c r="AL78" s="492"/>
      <c r="AM78" s="492"/>
      <c r="AN78" s="492"/>
      <c r="AO78" s="492"/>
      <c r="AP78" s="492"/>
      <c r="AQ78" s="492"/>
      <c r="AR78" s="492"/>
      <c r="AS78" s="492"/>
      <c r="AT78" s="492"/>
      <c r="AU78" s="492"/>
      <c r="AV78" s="492"/>
      <c r="AW78" s="492"/>
      <c r="AX78" s="492"/>
      <c r="AY78" s="492"/>
      <c r="AZ78" s="492"/>
      <c r="BA78" s="492"/>
      <c r="BB78" s="492"/>
      <c r="BC78" s="492"/>
      <c r="BD78" s="492"/>
      <c r="BE78" s="492"/>
      <c r="BF78" s="2783"/>
    </row>
    <row r="79" spans="1:58" ht="22.5" customHeight="1">
      <c r="A79" s="1710"/>
      <c r="B79" s="482"/>
      <c r="C79" s="319"/>
      <c r="D79" s="319"/>
      <c r="E79" s="319"/>
      <c r="F79" s="1385"/>
      <c r="G79" s="1390"/>
      <c r="H79" s="312"/>
      <c r="I79" s="312"/>
      <c r="J79" s="1386"/>
      <c r="K79" s="1391" t="s">
        <v>1575</v>
      </c>
      <c r="L79" s="1398" t="s">
        <v>292</v>
      </c>
      <c r="M79" s="1389">
        <v>1100</v>
      </c>
      <c r="N79" s="1384">
        <f>20000*55</f>
        <v>1100000</v>
      </c>
      <c r="O79" s="316"/>
      <c r="P79" s="492"/>
      <c r="Q79" s="492"/>
      <c r="R79" s="492"/>
      <c r="S79" s="492"/>
      <c r="T79" s="492"/>
      <c r="U79" s="492"/>
      <c r="V79" s="492"/>
      <c r="W79" s="492"/>
      <c r="X79" s="492"/>
      <c r="Y79" s="492"/>
      <c r="Z79" s="492"/>
      <c r="AA79" s="492"/>
      <c r="AB79" s="492"/>
      <c r="AC79" s="492"/>
      <c r="AD79" s="492"/>
      <c r="AE79" s="492"/>
      <c r="AF79" s="492"/>
      <c r="AG79" s="492"/>
      <c r="AH79" s="492"/>
      <c r="AI79" s="492"/>
      <c r="AJ79" s="492"/>
      <c r="AK79" s="492"/>
      <c r="AL79" s="492"/>
      <c r="AM79" s="492"/>
      <c r="AN79" s="492"/>
      <c r="AO79" s="492"/>
      <c r="AP79" s="492"/>
      <c r="AQ79" s="492"/>
      <c r="AR79" s="492"/>
      <c r="AS79" s="492"/>
      <c r="AT79" s="492"/>
      <c r="AU79" s="492"/>
      <c r="AV79" s="492"/>
      <c r="AW79" s="492"/>
      <c r="AX79" s="492"/>
      <c r="AY79" s="492"/>
      <c r="AZ79" s="492"/>
      <c r="BA79" s="492"/>
      <c r="BB79" s="492"/>
      <c r="BC79" s="492"/>
      <c r="BD79" s="492"/>
      <c r="BE79" s="492"/>
      <c r="BF79" s="2783"/>
    </row>
    <row r="80" spans="1:58" ht="22.5" customHeight="1">
      <c r="A80" s="1710"/>
      <c r="B80" s="482"/>
      <c r="C80" s="319"/>
      <c r="D80" s="319"/>
      <c r="E80" s="319"/>
      <c r="F80" s="1385"/>
      <c r="G80" s="1390"/>
      <c r="H80" s="414"/>
      <c r="I80" s="414"/>
      <c r="J80" s="1386"/>
      <c r="K80" s="1391" t="s">
        <v>1576</v>
      </c>
      <c r="L80" s="1398" t="s">
        <v>292</v>
      </c>
      <c r="M80" s="1389">
        <v>5400</v>
      </c>
      <c r="N80" s="1384">
        <f>9000*5*10*12</f>
        <v>5400000</v>
      </c>
      <c r="O80" s="316"/>
      <c r="P80" s="492"/>
      <c r="Q80" s="492"/>
      <c r="R80" s="492"/>
      <c r="S80" s="492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2"/>
      <c r="AO80" s="492"/>
      <c r="AP80" s="492"/>
      <c r="AQ80" s="492"/>
      <c r="AR80" s="492"/>
      <c r="AS80" s="492"/>
      <c r="AT80" s="492"/>
      <c r="AU80" s="492"/>
      <c r="AV80" s="492"/>
      <c r="AW80" s="492"/>
      <c r="AX80" s="492"/>
      <c r="AY80" s="492"/>
      <c r="AZ80" s="492"/>
      <c r="BA80" s="492"/>
      <c r="BB80" s="492"/>
      <c r="BC80" s="492"/>
      <c r="BD80" s="492"/>
      <c r="BE80" s="492"/>
      <c r="BF80" s="2783"/>
    </row>
    <row r="81" spans="1:58" ht="23.25" customHeight="1">
      <c r="A81" s="1710"/>
      <c r="B81" s="482"/>
      <c r="C81" s="319"/>
      <c r="D81" s="319"/>
      <c r="E81" s="319"/>
      <c r="F81" s="1385"/>
      <c r="G81" s="1380" t="s">
        <v>324</v>
      </c>
      <c r="H81" s="315">
        <f>M81</f>
        <v>397200</v>
      </c>
      <c r="I81" s="315">
        <v>294792</v>
      </c>
      <c r="J81" s="311">
        <f>H81-I81</f>
        <v>102408</v>
      </c>
      <c r="K81" s="1407" t="s">
        <v>334</v>
      </c>
      <c r="L81" s="1382"/>
      <c r="M81" s="1383">
        <f>M82+M83+M86+M85+M84</f>
        <v>397200</v>
      </c>
      <c r="N81" s="1384"/>
      <c r="O81" s="316"/>
      <c r="P81" s="492"/>
      <c r="Q81" s="492"/>
      <c r="R81" s="492"/>
      <c r="S81" s="492"/>
      <c r="T81" s="492"/>
      <c r="U81" s="492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2"/>
      <c r="AO81" s="492"/>
      <c r="AP81" s="492"/>
      <c r="AQ81" s="492"/>
      <c r="AR81" s="492"/>
      <c r="AS81" s="492"/>
      <c r="AT81" s="492"/>
      <c r="AU81" s="492"/>
      <c r="AV81" s="492"/>
      <c r="AW81" s="492"/>
      <c r="AX81" s="492"/>
      <c r="AY81" s="492"/>
      <c r="AZ81" s="492"/>
      <c r="BA81" s="492"/>
      <c r="BB81" s="492"/>
      <c r="BC81" s="492"/>
      <c r="BD81" s="492"/>
      <c r="BE81" s="492"/>
      <c r="BF81" s="2783"/>
    </row>
    <row r="82" spans="1:58" ht="21.75" customHeight="1">
      <c r="A82" s="1710"/>
      <c r="B82" s="482"/>
      <c r="C82" s="319"/>
      <c r="D82" s="319"/>
      <c r="E82" s="319"/>
      <c r="F82" s="1385"/>
      <c r="G82" s="1390"/>
      <c r="H82" s="312"/>
      <c r="I82" s="312"/>
      <c r="J82" s="1386"/>
      <c r="K82" s="1391" t="s">
        <v>1577</v>
      </c>
      <c r="L82" s="1398" t="s">
        <v>6</v>
      </c>
      <c r="M82" s="1389">
        <v>252000</v>
      </c>
      <c r="N82" s="1384">
        <f>600000*35*12</f>
        <v>252000000</v>
      </c>
      <c r="O82" s="1392"/>
      <c r="P82" s="1408"/>
      <c r="Q82" s="492"/>
      <c r="R82" s="492"/>
      <c r="S82" s="492"/>
      <c r="T82" s="492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  <c r="AL82" s="492"/>
      <c r="AM82" s="492"/>
      <c r="AN82" s="492"/>
      <c r="AO82" s="492"/>
      <c r="AP82" s="492"/>
      <c r="AQ82" s="492"/>
      <c r="AR82" s="492"/>
      <c r="AS82" s="492"/>
      <c r="AT82" s="492"/>
      <c r="AU82" s="492"/>
      <c r="AV82" s="492"/>
      <c r="AW82" s="492"/>
      <c r="AX82" s="492"/>
      <c r="AY82" s="492"/>
      <c r="AZ82" s="492"/>
      <c r="BA82" s="492"/>
      <c r="BB82" s="492"/>
      <c r="BC82" s="492"/>
      <c r="BD82" s="492"/>
      <c r="BE82" s="492"/>
      <c r="BF82" s="2783"/>
    </row>
    <row r="83" spans="1:58" ht="21.75" customHeight="1">
      <c r="A83" s="1710"/>
      <c r="B83" s="482"/>
      <c r="C83" s="319"/>
      <c r="D83" s="319"/>
      <c r="E83" s="319"/>
      <c r="F83" s="1385"/>
      <c r="G83" s="1390"/>
      <c r="H83" s="312"/>
      <c r="I83" s="312"/>
      <c r="J83" s="1386"/>
      <c r="K83" s="1391" t="s">
        <v>1578</v>
      </c>
      <c r="L83" s="1398" t="s">
        <v>6</v>
      </c>
      <c r="M83" s="1389">
        <v>72000</v>
      </c>
      <c r="N83" s="1384">
        <f>300000*20*12</f>
        <v>72000000</v>
      </c>
      <c r="O83" s="1392"/>
      <c r="P83" s="492"/>
      <c r="Q83" s="492"/>
      <c r="R83" s="492"/>
      <c r="S83" s="492"/>
      <c r="T83" s="492"/>
      <c r="U83" s="492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H83" s="492"/>
      <c r="AI83" s="492"/>
      <c r="AJ83" s="492"/>
      <c r="AK83" s="492"/>
      <c r="AL83" s="492"/>
      <c r="AM83" s="492"/>
      <c r="AN83" s="492"/>
      <c r="AO83" s="492"/>
      <c r="AP83" s="492"/>
      <c r="AQ83" s="492"/>
      <c r="AR83" s="492"/>
      <c r="AS83" s="492"/>
      <c r="AT83" s="492"/>
      <c r="AU83" s="492"/>
      <c r="AV83" s="492"/>
      <c r="AW83" s="492"/>
      <c r="AX83" s="492"/>
      <c r="AY83" s="492"/>
      <c r="AZ83" s="492"/>
      <c r="BA83" s="492"/>
      <c r="BB83" s="492"/>
      <c r="BC83" s="492"/>
      <c r="BD83" s="492"/>
      <c r="BE83" s="492"/>
      <c r="BF83" s="2783"/>
    </row>
    <row r="84" spans="1:58" ht="21.75" customHeight="1">
      <c r="A84" s="1710"/>
      <c r="B84" s="482"/>
      <c r="C84" s="319"/>
      <c r="D84" s="319"/>
      <c r="E84" s="319"/>
      <c r="F84" s="1385"/>
      <c r="G84" s="1390"/>
      <c r="H84" s="312"/>
      <c r="I84" s="312"/>
      <c r="J84" s="1386"/>
      <c r="K84" s="1391" t="s">
        <v>1579</v>
      </c>
      <c r="L84" s="1398" t="s">
        <v>292</v>
      </c>
      <c r="M84" s="1389">
        <v>1200</v>
      </c>
      <c r="N84" s="1384">
        <f>100000*12</f>
        <v>1200000</v>
      </c>
      <c r="O84" s="1392"/>
      <c r="P84" s="492"/>
      <c r="Q84" s="492"/>
      <c r="R84" s="492"/>
      <c r="S84" s="492"/>
      <c r="T84" s="492"/>
      <c r="U84" s="492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J84" s="492"/>
      <c r="AK84" s="492"/>
      <c r="AL84" s="492"/>
      <c r="AM84" s="492"/>
      <c r="AN84" s="492"/>
      <c r="AO84" s="492"/>
      <c r="AP84" s="492"/>
      <c r="AQ84" s="492"/>
      <c r="AR84" s="492"/>
      <c r="AS84" s="492"/>
      <c r="AT84" s="492"/>
      <c r="AU84" s="492"/>
      <c r="AV84" s="492"/>
      <c r="AW84" s="492"/>
      <c r="AX84" s="492"/>
      <c r="AY84" s="492"/>
      <c r="AZ84" s="492"/>
      <c r="BA84" s="492"/>
      <c r="BB84" s="492"/>
      <c r="BC84" s="492"/>
      <c r="BD84" s="492"/>
      <c r="BE84" s="492"/>
      <c r="BF84" s="2783"/>
    </row>
    <row r="85" spans="1:58" ht="21.75" customHeight="1">
      <c r="A85" s="1710"/>
      <c r="B85" s="482"/>
      <c r="C85" s="319"/>
      <c r="D85" s="319"/>
      <c r="E85" s="319"/>
      <c r="F85" s="1385"/>
      <c r="G85" s="1390"/>
      <c r="H85" s="312"/>
      <c r="I85" s="312"/>
      <c r="J85" s="1386"/>
      <c r="K85" s="1391" t="s">
        <v>1580</v>
      </c>
      <c r="L85" s="1398" t="s">
        <v>6</v>
      </c>
      <c r="M85" s="1389">
        <v>36000</v>
      </c>
      <c r="N85" s="1384">
        <f>200000*15*12</f>
        <v>36000000</v>
      </c>
      <c r="O85" s="1392"/>
      <c r="P85" s="492"/>
      <c r="Q85" s="492"/>
      <c r="R85" s="492"/>
      <c r="S85" s="492"/>
      <c r="T85" s="492"/>
      <c r="U85" s="492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H85" s="492"/>
      <c r="AI85" s="492"/>
      <c r="AJ85" s="492"/>
      <c r="AK85" s="492"/>
      <c r="AL85" s="492"/>
      <c r="AM85" s="492"/>
      <c r="AN85" s="492"/>
      <c r="AO85" s="492"/>
      <c r="AP85" s="492"/>
      <c r="AQ85" s="492"/>
      <c r="AR85" s="492"/>
      <c r="AS85" s="492"/>
      <c r="AT85" s="492"/>
      <c r="AU85" s="492"/>
      <c r="AV85" s="492"/>
      <c r="AW85" s="492"/>
      <c r="AX85" s="492"/>
      <c r="AY85" s="492"/>
      <c r="AZ85" s="492"/>
      <c r="BA85" s="492"/>
      <c r="BB85" s="492"/>
      <c r="BC85" s="492"/>
      <c r="BD85" s="492"/>
      <c r="BE85" s="492"/>
      <c r="BF85" s="2783"/>
    </row>
    <row r="86" spans="1:58" ht="24">
      <c r="A86" s="1710"/>
      <c r="B86" s="482"/>
      <c r="C86" s="319"/>
      <c r="D86" s="319"/>
      <c r="E86" s="319"/>
      <c r="F86" s="1385"/>
      <c r="G86" s="1390"/>
      <c r="H86" s="1713"/>
      <c r="I86" s="1713"/>
      <c r="J86" s="1386"/>
      <c r="K86" s="1393" t="s">
        <v>1581</v>
      </c>
      <c r="L86" s="1398" t="s">
        <v>6</v>
      </c>
      <c r="M86" s="1389">
        <v>36000</v>
      </c>
      <c r="N86" s="1384">
        <f>1000000*3*12</f>
        <v>36000000</v>
      </c>
      <c r="O86" s="1392"/>
      <c r="P86" s="492"/>
      <c r="Q86" s="492"/>
      <c r="R86" s="492"/>
      <c r="S86" s="492"/>
      <c r="T86" s="492"/>
      <c r="U86" s="492"/>
      <c r="V86" s="492"/>
      <c r="W86" s="492"/>
      <c r="X86" s="492"/>
      <c r="Y86" s="492"/>
      <c r="Z86" s="492"/>
      <c r="AA86" s="492"/>
      <c r="AB86" s="492"/>
      <c r="AC86" s="492"/>
      <c r="AD86" s="492"/>
      <c r="AE86" s="492"/>
      <c r="AF86" s="492"/>
      <c r="AG86" s="492"/>
      <c r="AH86" s="492"/>
      <c r="AI86" s="492"/>
      <c r="AJ86" s="492"/>
      <c r="AK86" s="492"/>
      <c r="AL86" s="492"/>
      <c r="AM86" s="492"/>
      <c r="AN86" s="492"/>
      <c r="AO86" s="492"/>
      <c r="AP86" s="492"/>
      <c r="AQ86" s="492"/>
      <c r="AR86" s="492"/>
      <c r="AS86" s="492"/>
      <c r="AT86" s="492"/>
      <c r="AU86" s="492"/>
      <c r="AV86" s="492"/>
      <c r="AW86" s="492"/>
      <c r="AX86" s="492"/>
      <c r="AY86" s="492"/>
      <c r="AZ86" s="492"/>
      <c r="BA86" s="492"/>
      <c r="BB86" s="492"/>
      <c r="BC86" s="492"/>
      <c r="BD86" s="492"/>
      <c r="BE86" s="492"/>
      <c r="BF86" s="2783"/>
    </row>
    <row r="87" spans="1:58" ht="23.25" customHeight="1">
      <c r="A87" s="1710"/>
      <c r="B87" s="482"/>
      <c r="C87" s="319"/>
      <c r="D87" s="319"/>
      <c r="E87" s="319"/>
      <c r="F87" s="1385"/>
      <c r="G87" s="1380" t="s">
        <v>933</v>
      </c>
      <c r="H87" s="315">
        <f>M87</f>
        <v>3600</v>
      </c>
      <c r="I87" s="315">
        <v>5295</v>
      </c>
      <c r="J87" s="311">
        <f>H87-I87</f>
        <v>-1695</v>
      </c>
      <c r="K87" s="484" t="s">
        <v>962</v>
      </c>
      <c r="L87" s="1382"/>
      <c r="M87" s="1383">
        <f>M88</f>
        <v>3600</v>
      </c>
      <c r="N87" s="1384"/>
      <c r="O87" s="316"/>
      <c r="P87" s="492"/>
      <c r="Q87" s="492"/>
      <c r="R87" s="492"/>
      <c r="S87" s="492"/>
      <c r="T87" s="492"/>
      <c r="U87" s="492"/>
      <c r="V87" s="492"/>
      <c r="W87" s="492"/>
      <c r="X87" s="492"/>
      <c r="Y87" s="492"/>
      <c r="Z87" s="492"/>
      <c r="AA87" s="492"/>
      <c r="AB87" s="492"/>
      <c r="AC87" s="492"/>
      <c r="AD87" s="492"/>
      <c r="AE87" s="492"/>
      <c r="AF87" s="492"/>
      <c r="AG87" s="492"/>
      <c r="AH87" s="492"/>
      <c r="AI87" s="492"/>
      <c r="AJ87" s="492"/>
      <c r="AK87" s="492"/>
      <c r="AL87" s="492"/>
      <c r="AM87" s="492"/>
      <c r="AN87" s="492"/>
      <c r="AO87" s="492"/>
      <c r="AP87" s="492"/>
      <c r="AQ87" s="492"/>
      <c r="AR87" s="492"/>
      <c r="AS87" s="492"/>
      <c r="AT87" s="492"/>
      <c r="AU87" s="492"/>
      <c r="AV87" s="492"/>
      <c r="AW87" s="492"/>
      <c r="AX87" s="492"/>
      <c r="AY87" s="492"/>
      <c r="AZ87" s="492"/>
      <c r="BA87" s="492"/>
      <c r="BB87" s="492"/>
      <c r="BC87" s="492"/>
      <c r="BD87" s="492"/>
      <c r="BE87" s="492"/>
      <c r="BF87" s="2783"/>
    </row>
    <row r="88" spans="1:58" ht="23.25" customHeight="1">
      <c r="A88" s="1710"/>
      <c r="B88" s="482"/>
      <c r="C88" s="319"/>
      <c r="D88" s="319"/>
      <c r="E88" s="319"/>
      <c r="F88" s="1385"/>
      <c r="G88" s="1403"/>
      <c r="H88" s="312"/>
      <c r="I88" s="312"/>
      <c r="J88" s="1386"/>
      <c r="K88" s="1391" t="s">
        <v>1582</v>
      </c>
      <c r="L88" s="1388" t="s">
        <v>292</v>
      </c>
      <c r="M88" s="317">
        <v>3600</v>
      </c>
      <c r="N88" s="1384">
        <f>100000*3*12</f>
        <v>3600000</v>
      </c>
      <c r="O88" s="316"/>
      <c r="P88" s="492"/>
      <c r="Q88" s="492"/>
      <c r="R88" s="492"/>
      <c r="S88" s="492"/>
      <c r="T88" s="492"/>
      <c r="U88" s="492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J88" s="492"/>
      <c r="AK88" s="492"/>
      <c r="AL88" s="492"/>
      <c r="AM88" s="492"/>
      <c r="AN88" s="492"/>
      <c r="AO88" s="492"/>
      <c r="AP88" s="492"/>
      <c r="AQ88" s="492"/>
      <c r="AR88" s="492"/>
      <c r="AS88" s="492"/>
      <c r="AT88" s="492"/>
      <c r="AU88" s="492"/>
      <c r="AV88" s="492"/>
      <c r="AW88" s="492"/>
      <c r="AX88" s="492"/>
      <c r="AY88" s="492"/>
      <c r="AZ88" s="492"/>
      <c r="BA88" s="492"/>
      <c r="BB88" s="492"/>
      <c r="BC88" s="492"/>
      <c r="BD88" s="492"/>
      <c r="BE88" s="492"/>
      <c r="BF88" s="2783"/>
    </row>
    <row r="89" spans="1:58" ht="21.75" customHeight="1">
      <c r="A89" s="1710"/>
      <c r="B89" s="482"/>
      <c r="C89" s="319"/>
      <c r="D89" s="319"/>
      <c r="E89" s="319"/>
      <c r="F89" s="2970" t="s">
        <v>934</v>
      </c>
      <c r="G89" s="2971"/>
      <c r="H89" s="309">
        <f>H90</f>
        <v>16400</v>
      </c>
      <c r="I89" s="309">
        <v>15060</v>
      </c>
      <c r="J89" s="1401">
        <f>H89-I89</f>
        <v>1340</v>
      </c>
      <c r="K89" s="1409"/>
      <c r="L89" s="1410"/>
      <c r="M89" s="1411">
        <f>M90</f>
        <v>16400</v>
      </c>
      <c r="N89" s="1384"/>
      <c r="O89" s="300"/>
      <c r="P89" s="492"/>
      <c r="Q89" s="492"/>
      <c r="R89" s="492"/>
      <c r="S89" s="492"/>
      <c r="T89" s="492"/>
      <c r="U89" s="492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H89" s="492"/>
      <c r="AI89" s="492"/>
      <c r="AJ89" s="492"/>
      <c r="AK89" s="492"/>
      <c r="AL89" s="492"/>
      <c r="AM89" s="492"/>
      <c r="AN89" s="492"/>
      <c r="AO89" s="492"/>
      <c r="AP89" s="492"/>
      <c r="AQ89" s="492"/>
      <c r="AR89" s="492"/>
      <c r="AS89" s="492"/>
      <c r="AT89" s="492"/>
      <c r="AU89" s="492"/>
      <c r="AV89" s="492"/>
      <c r="AW89" s="492"/>
      <c r="AX89" s="492"/>
      <c r="AY89" s="492"/>
      <c r="AZ89" s="492"/>
      <c r="BA89" s="492"/>
      <c r="BB89" s="492"/>
      <c r="BC89" s="492"/>
      <c r="BD89" s="492"/>
      <c r="BE89" s="492"/>
      <c r="BF89" s="2783"/>
    </row>
    <row r="90" spans="1:58" ht="21.75" customHeight="1">
      <c r="A90" s="1710"/>
      <c r="B90" s="482"/>
      <c r="C90" s="319"/>
      <c r="D90" s="319"/>
      <c r="E90" s="319"/>
      <c r="F90" s="1385"/>
      <c r="G90" s="1380" t="s">
        <v>935</v>
      </c>
      <c r="H90" s="315">
        <f>M90</f>
        <v>16400</v>
      </c>
      <c r="I90" s="315">
        <v>15060</v>
      </c>
      <c r="J90" s="311">
        <f>H90-I90</f>
        <v>1340</v>
      </c>
      <c r="K90" s="1831" t="s">
        <v>963</v>
      </c>
      <c r="L90" s="1422"/>
      <c r="M90" s="1420">
        <f>M91+M92</f>
        <v>16400</v>
      </c>
      <c r="N90" s="1384"/>
      <c r="O90" s="300"/>
      <c r="P90" s="492"/>
      <c r="Q90" s="492"/>
      <c r="R90" s="492"/>
      <c r="S90" s="492"/>
      <c r="T90" s="492"/>
      <c r="U90" s="492"/>
      <c r="V90" s="492"/>
      <c r="W90" s="492"/>
      <c r="X90" s="492"/>
      <c r="Y90" s="492"/>
      <c r="Z90" s="492"/>
      <c r="AA90" s="492"/>
      <c r="AB90" s="492"/>
      <c r="AC90" s="492"/>
      <c r="AD90" s="492"/>
      <c r="AE90" s="492"/>
      <c r="AF90" s="492"/>
      <c r="AG90" s="492"/>
      <c r="AH90" s="492"/>
      <c r="AI90" s="492"/>
      <c r="AJ90" s="492"/>
      <c r="AK90" s="492"/>
      <c r="AL90" s="492"/>
      <c r="AM90" s="492"/>
      <c r="AN90" s="492"/>
      <c r="AO90" s="492"/>
      <c r="AP90" s="492"/>
      <c r="AQ90" s="492"/>
      <c r="AR90" s="492"/>
      <c r="AS90" s="492"/>
      <c r="AT90" s="492"/>
      <c r="AU90" s="492"/>
      <c r="AV90" s="492"/>
      <c r="AW90" s="492"/>
      <c r="AX90" s="492"/>
      <c r="AY90" s="492"/>
      <c r="AZ90" s="492"/>
      <c r="BA90" s="492"/>
      <c r="BB90" s="492"/>
      <c r="BC90" s="492"/>
      <c r="BD90" s="492"/>
      <c r="BE90" s="492"/>
      <c r="BF90" s="2783"/>
    </row>
    <row r="91" spans="1:58" ht="21.75" customHeight="1">
      <c r="A91" s="1710"/>
      <c r="B91" s="482"/>
      <c r="C91" s="319"/>
      <c r="D91" s="319"/>
      <c r="E91" s="319"/>
      <c r="F91" s="1385"/>
      <c r="G91" s="1390"/>
      <c r="H91" s="312"/>
      <c r="I91" s="312"/>
      <c r="J91" s="1386"/>
      <c r="K91" s="1412" t="s">
        <v>1583</v>
      </c>
      <c r="L91" s="1413" t="s">
        <v>6</v>
      </c>
      <c r="M91" s="1414">
        <v>12000</v>
      </c>
      <c r="N91" s="1384">
        <f>20000*5*10*12</f>
        <v>12000000</v>
      </c>
      <c r="O91" s="300"/>
      <c r="P91" s="492"/>
      <c r="Q91" s="492"/>
      <c r="R91" s="492"/>
      <c r="S91" s="492"/>
      <c r="T91" s="492"/>
      <c r="U91" s="492"/>
      <c r="V91" s="492"/>
      <c r="W91" s="492"/>
      <c r="X91" s="492"/>
      <c r="Y91" s="492"/>
      <c r="Z91" s="492"/>
      <c r="AA91" s="492"/>
      <c r="AB91" s="492"/>
      <c r="AC91" s="492"/>
      <c r="AD91" s="492"/>
      <c r="AE91" s="492"/>
      <c r="AF91" s="492"/>
      <c r="AG91" s="492"/>
      <c r="AH91" s="492"/>
      <c r="AI91" s="492"/>
      <c r="AJ91" s="492"/>
      <c r="AK91" s="492"/>
      <c r="AL91" s="492"/>
      <c r="AM91" s="492"/>
      <c r="AN91" s="492"/>
      <c r="AO91" s="492"/>
      <c r="AP91" s="492"/>
      <c r="AQ91" s="492"/>
      <c r="AR91" s="492"/>
      <c r="AS91" s="492"/>
      <c r="AT91" s="492"/>
      <c r="AU91" s="492"/>
      <c r="AV91" s="492"/>
      <c r="AW91" s="492"/>
      <c r="AX91" s="492"/>
      <c r="AY91" s="492"/>
      <c r="AZ91" s="492"/>
      <c r="BA91" s="492"/>
      <c r="BB91" s="492"/>
      <c r="BC91" s="492"/>
      <c r="BD91" s="492"/>
      <c r="BE91" s="492"/>
      <c r="BF91" s="2783"/>
    </row>
    <row r="92" spans="1:58" ht="21.75" customHeight="1">
      <c r="A92" s="1710"/>
      <c r="B92" s="482"/>
      <c r="C92" s="319"/>
      <c r="D92" s="319"/>
      <c r="E92" s="319"/>
      <c r="F92" s="1415"/>
      <c r="G92" s="1405"/>
      <c r="H92" s="414"/>
      <c r="I92" s="414"/>
      <c r="J92" s="1406"/>
      <c r="K92" s="1416" t="s">
        <v>1584</v>
      </c>
      <c r="L92" s="1417" t="s">
        <v>6</v>
      </c>
      <c r="M92" s="1418">
        <v>4400</v>
      </c>
      <c r="N92" s="1384">
        <f>110000*5*2*4</f>
        <v>4400000</v>
      </c>
      <c r="O92" s="300"/>
      <c r="P92" s="492"/>
      <c r="Q92" s="492"/>
      <c r="R92" s="492"/>
      <c r="S92" s="492"/>
      <c r="T92" s="492"/>
      <c r="U92" s="492"/>
      <c r="V92" s="492"/>
      <c r="W92" s="492"/>
      <c r="X92" s="492"/>
      <c r="Y92" s="492"/>
      <c r="Z92" s="492"/>
      <c r="AA92" s="492"/>
      <c r="AB92" s="492"/>
      <c r="AC92" s="492"/>
      <c r="AD92" s="492"/>
      <c r="AE92" s="492"/>
      <c r="AF92" s="492"/>
      <c r="AG92" s="492"/>
      <c r="AH92" s="492"/>
      <c r="AI92" s="492"/>
      <c r="AJ92" s="492"/>
      <c r="AK92" s="492"/>
      <c r="AL92" s="492"/>
      <c r="AM92" s="492"/>
      <c r="AN92" s="492"/>
      <c r="AO92" s="492"/>
      <c r="AP92" s="492"/>
      <c r="AQ92" s="492"/>
      <c r="AR92" s="492"/>
      <c r="AS92" s="492"/>
      <c r="AT92" s="492"/>
      <c r="AU92" s="492"/>
      <c r="AV92" s="492"/>
      <c r="AW92" s="492"/>
      <c r="AX92" s="492"/>
      <c r="AY92" s="492"/>
      <c r="AZ92" s="492"/>
      <c r="BA92" s="492"/>
      <c r="BB92" s="492"/>
      <c r="BC92" s="492"/>
      <c r="BD92" s="492"/>
      <c r="BE92" s="492"/>
      <c r="BF92" s="2783"/>
    </row>
    <row r="93" spans="1:58" ht="23.25" customHeight="1">
      <c r="A93" s="1710"/>
      <c r="B93" s="482"/>
      <c r="C93" s="319"/>
      <c r="D93" s="319"/>
      <c r="E93" s="319"/>
      <c r="F93" s="2965" t="s">
        <v>936</v>
      </c>
      <c r="G93" s="2966"/>
      <c r="H93" s="309">
        <f>H94</f>
        <v>0</v>
      </c>
      <c r="I93" s="309">
        <f>I94</f>
        <v>100000</v>
      </c>
      <c r="J93" s="1401">
        <f>H93-I93</f>
        <v>-100000</v>
      </c>
      <c r="K93" s="1419"/>
      <c r="L93" s="1410"/>
      <c r="M93" s="1420"/>
      <c r="N93" s="1421"/>
      <c r="O93" s="492"/>
      <c r="P93" s="492"/>
      <c r="Q93" s="492"/>
      <c r="R93" s="492"/>
      <c r="S93" s="492"/>
      <c r="T93" s="492"/>
      <c r="U93" s="492"/>
      <c r="V93" s="492"/>
      <c r="W93" s="492"/>
      <c r="X93" s="492"/>
      <c r="Y93" s="492"/>
      <c r="Z93" s="492"/>
      <c r="AA93" s="492"/>
      <c r="AB93" s="492"/>
      <c r="AC93" s="492"/>
      <c r="AD93" s="492"/>
      <c r="AE93" s="492"/>
      <c r="AF93" s="492"/>
      <c r="AG93" s="492"/>
      <c r="AH93" s="492"/>
      <c r="AI93" s="492"/>
      <c r="AJ93" s="492"/>
      <c r="AK93" s="492"/>
      <c r="AL93" s="492"/>
      <c r="AM93" s="492"/>
      <c r="AN93" s="492"/>
      <c r="AO93" s="492"/>
      <c r="AP93" s="492"/>
      <c r="AQ93" s="492"/>
      <c r="AR93" s="492"/>
      <c r="AS93" s="492"/>
      <c r="AT93" s="492"/>
      <c r="AU93" s="492"/>
      <c r="AV93" s="492"/>
      <c r="AW93" s="492"/>
      <c r="AX93" s="492"/>
      <c r="AY93" s="492"/>
      <c r="AZ93" s="492"/>
      <c r="BA93" s="492"/>
      <c r="BB93" s="492"/>
      <c r="BC93" s="492"/>
      <c r="BD93" s="492"/>
      <c r="BE93" s="492"/>
      <c r="BF93" s="2783"/>
    </row>
    <row r="94" spans="1:58" ht="23.25" customHeight="1">
      <c r="A94" s="1710"/>
      <c r="B94" s="482"/>
      <c r="C94" s="319"/>
      <c r="D94" s="319"/>
      <c r="E94" s="319"/>
      <c r="F94" s="1379"/>
      <c r="G94" s="1380" t="s">
        <v>1585</v>
      </c>
      <c r="H94" s="315">
        <f>M94</f>
        <v>0</v>
      </c>
      <c r="I94" s="315">
        <v>100000</v>
      </c>
      <c r="J94" s="1386">
        <f>H94-I94</f>
        <v>-100000</v>
      </c>
      <c r="K94" s="1356"/>
      <c r="L94" s="1422"/>
      <c r="M94" s="1423"/>
      <c r="N94" s="1421"/>
      <c r="O94" s="492"/>
      <c r="P94" s="492"/>
      <c r="Q94" s="492"/>
      <c r="R94" s="492"/>
      <c r="S94" s="492"/>
      <c r="T94" s="492"/>
      <c r="U94" s="492"/>
      <c r="V94" s="492"/>
      <c r="W94" s="492"/>
      <c r="X94" s="492"/>
      <c r="Y94" s="492"/>
      <c r="Z94" s="492"/>
      <c r="AA94" s="492"/>
      <c r="AB94" s="492"/>
      <c r="AC94" s="492"/>
      <c r="AD94" s="492"/>
      <c r="AE94" s="492"/>
      <c r="AF94" s="492"/>
      <c r="AG94" s="492"/>
      <c r="AH94" s="492"/>
      <c r="AI94" s="492"/>
      <c r="AJ94" s="492"/>
      <c r="AK94" s="492"/>
      <c r="AL94" s="492"/>
      <c r="AM94" s="492"/>
      <c r="AN94" s="492"/>
      <c r="AO94" s="492"/>
      <c r="AP94" s="492"/>
      <c r="AQ94" s="492"/>
      <c r="AR94" s="492"/>
      <c r="AS94" s="492"/>
      <c r="AT94" s="492"/>
      <c r="AU94" s="492"/>
      <c r="AV94" s="492"/>
      <c r="AW94" s="492"/>
      <c r="AX94" s="492"/>
      <c r="AY94" s="492"/>
      <c r="AZ94" s="492"/>
      <c r="BA94" s="492"/>
      <c r="BB94" s="492"/>
      <c r="BC94" s="492"/>
      <c r="BD94" s="492"/>
      <c r="BE94" s="492"/>
      <c r="BF94" s="2783"/>
    </row>
    <row r="95" spans="1:58" ht="21.75" customHeight="1">
      <c r="A95" s="1710"/>
      <c r="B95" s="482"/>
      <c r="C95" s="319"/>
      <c r="D95" s="319"/>
      <c r="E95" s="319"/>
      <c r="F95" s="2967" t="s">
        <v>937</v>
      </c>
      <c r="G95" s="2968"/>
      <c r="H95" s="309">
        <f>SUM(H96)</f>
        <v>6300</v>
      </c>
      <c r="I95" s="309">
        <f>I96</f>
        <v>6300</v>
      </c>
      <c r="J95" s="1344">
        <f>H95-I95</f>
        <v>0</v>
      </c>
      <c r="K95" s="1424"/>
      <c r="L95" s="1425"/>
      <c r="M95" s="1426">
        <f>SUM(M96)</f>
        <v>6300</v>
      </c>
      <c r="N95" s="1421"/>
      <c r="O95" s="492"/>
      <c r="P95" s="492"/>
      <c r="Q95" s="492"/>
      <c r="R95" s="492"/>
      <c r="S95" s="492"/>
      <c r="T95" s="492"/>
      <c r="U95" s="492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  <c r="AL95" s="492"/>
      <c r="AM95" s="492"/>
      <c r="AN95" s="492"/>
      <c r="AO95" s="492"/>
      <c r="AP95" s="492"/>
      <c r="AQ95" s="492"/>
      <c r="AR95" s="492"/>
      <c r="AS95" s="492"/>
      <c r="AT95" s="492"/>
      <c r="AU95" s="492"/>
      <c r="AV95" s="492"/>
      <c r="AW95" s="492"/>
      <c r="AX95" s="492"/>
      <c r="AY95" s="492"/>
      <c r="AZ95" s="492"/>
      <c r="BA95" s="492"/>
      <c r="BB95" s="492"/>
      <c r="BC95" s="492"/>
      <c r="BD95" s="492"/>
      <c r="BE95" s="492"/>
      <c r="BF95" s="2783"/>
    </row>
    <row r="96" spans="1:58" ht="21.75" customHeight="1">
      <c r="A96" s="1710"/>
      <c r="B96" s="482"/>
      <c r="C96" s="319"/>
      <c r="D96" s="319"/>
      <c r="E96" s="319"/>
      <c r="F96" s="1427"/>
      <c r="G96" s="1446" t="s">
        <v>938</v>
      </c>
      <c r="H96" s="315">
        <f>M96</f>
        <v>6300</v>
      </c>
      <c r="I96" s="315">
        <v>6300</v>
      </c>
      <c r="J96" s="1428">
        <f>H96-I96</f>
        <v>0</v>
      </c>
      <c r="K96" s="1447" t="s">
        <v>1586</v>
      </c>
      <c r="L96" s="1430"/>
      <c r="M96" s="1431">
        <f>M97</f>
        <v>6300</v>
      </c>
      <c r="N96" s="1421"/>
      <c r="O96" s="492"/>
      <c r="P96" s="492"/>
      <c r="Q96" s="492"/>
      <c r="R96" s="492"/>
      <c r="S96" s="492"/>
      <c r="T96" s="492"/>
      <c r="U96" s="492"/>
      <c r="V96" s="492"/>
      <c r="W96" s="492"/>
      <c r="X96" s="492"/>
      <c r="Y96" s="492"/>
      <c r="Z96" s="492"/>
      <c r="AA96" s="492"/>
      <c r="AB96" s="492"/>
      <c r="AC96" s="492"/>
      <c r="AD96" s="492"/>
      <c r="AE96" s="492"/>
      <c r="AF96" s="492"/>
      <c r="AG96" s="492"/>
      <c r="AH96" s="492"/>
      <c r="AI96" s="492"/>
      <c r="AJ96" s="492"/>
      <c r="AK96" s="492"/>
      <c r="AL96" s="492"/>
      <c r="AM96" s="492"/>
      <c r="AN96" s="492"/>
      <c r="AO96" s="492"/>
      <c r="AP96" s="492"/>
      <c r="AQ96" s="492"/>
      <c r="AR96" s="492"/>
      <c r="AS96" s="492"/>
      <c r="AT96" s="492"/>
      <c r="AU96" s="492"/>
      <c r="AV96" s="492"/>
      <c r="AW96" s="492"/>
      <c r="AX96" s="492"/>
      <c r="AY96" s="492"/>
      <c r="AZ96" s="492"/>
      <c r="BA96" s="492"/>
      <c r="BB96" s="492"/>
      <c r="BC96" s="492"/>
      <c r="BD96" s="492"/>
      <c r="BE96" s="492"/>
      <c r="BF96" s="2783"/>
    </row>
    <row r="97" spans="1:58" ht="21.75" customHeight="1">
      <c r="A97" s="1710"/>
      <c r="B97" s="482"/>
      <c r="C97" s="319"/>
      <c r="D97" s="319"/>
      <c r="E97" s="319"/>
      <c r="F97" s="1432"/>
      <c r="G97" s="444"/>
      <c r="H97" s="312"/>
      <c r="I97" s="312"/>
      <c r="J97" s="1434"/>
      <c r="K97" s="1429" t="s">
        <v>1587</v>
      </c>
      <c r="L97" s="1435"/>
      <c r="M97" s="1436">
        <f>M98+M99</f>
        <v>6300</v>
      </c>
      <c r="N97" s="1421"/>
      <c r="O97" s="492"/>
      <c r="P97" s="492"/>
      <c r="Q97" s="492"/>
      <c r="R97" s="492"/>
      <c r="S97" s="492"/>
      <c r="T97" s="492"/>
      <c r="U97" s="492"/>
      <c r="V97" s="492"/>
      <c r="W97" s="492"/>
      <c r="X97" s="492"/>
      <c r="Y97" s="492"/>
      <c r="Z97" s="492"/>
      <c r="AA97" s="492"/>
      <c r="AB97" s="492"/>
      <c r="AC97" s="492"/>
      <c r="AD97" s="492"/>
      <c r="AE97" s="492"/>
      <c r="AF97" s="492"/>
      <c r="AG97" s="492"/>
      <c r="AH97" s="492"/>
      <c r="AI97" s="492"/>
      <c r="AJ97" s="492"/>
      <c r="AK97" s="492"/>
      <c r="AL97" s="492"/>
      <c r="AM97" s="492"/>
      <c r="AN97" s="492"/>
      <c r="AO97" s="492"/>
      <c r="AP97" s="492"/>
      <c r="AQ97" s="492"/>
      <c r="AR97" s="492"/>
      <c r="AS97" s="492"/>
      <c r="AT97" s="492"/>
      <c r="AU97" s="492"/>
      <c r="AV97" s="492"/>
      <c r="AW97" s="492"/>
      <c r="AX97" s="492"/>
      <c r="AY97" s="492"/>
      <c r="AZ97" s="492"/>
      <c r="BA97" s="492"/>
      <c r="BB97" s="492"/>
      <c r="BC97" s="492"/>
      <c r="BD97" s="492"/>
      <c r="BE97" s="492"/>
      <c r="BF97" s="2783"/>
    </row>
    <row r="98" spans="1:58" ht="21.75" customHeight="1">
      <c r="A98" s="1710"/>
      <c r="B98" s="482"/>
      <c r="C98" s="319"/>
      <c r="D98" s="319"/>
      <c r="E98" s="319"/>
      <c r="F98" s="1432"/>
      <c r="G98" s="1433"/>
      <c r="H98" s="312"/>
      <c r="I98" s="312"/>
      <c r="J98" s="1434"/>
      <c r="K98" s="1429" t="s">
        <v>939</v>
      </c>
      <c r="L98" s="1435" t="s">
        <v>6</v>
      </c>
      <c r="M98" s="1436">
        <v>4800</v>
      </c>
      <c r="N98" s="1832">
        <f>400000*12</f>
        <v>4800000</v>
      </c>
      <c r="O98" s="492"/>
      <c r="P98" s="492"/>
      <c r="Q98" s="492"/>
      <c r="R98" s="492"/>
      <c r="S98" s="492"/>
      <c r="T98" s="492"/>
      <c r="U98" s="492"/>
      <c r="V98" s="492"/>
      <c r="W98" s="492"/>
      <c r="X98" s="492"/>
      <c r="Y98" s="492"/>
      <c r="Z98" s="492"/>
      <c r="AA98" s="492"/>
      <c r="AB98" s="492"/>
      <c r="AC98" s="492"/>
      <c r="AD98" s="492"/>
      <c r="AE98" s="492"/>
      <c r="AF98" s="492"/>
      <c r="AG98" s="492"/>
      <c r="AH98" s="492"/>
      <c r="AI98" s="492"/>
      <c r="AJ98" s="492"/>
      <c r="AK98" s="492"/>
      <c r="AL98" s="492"/>
      <c r="AM98" s="492"/>
      <c r="AN98" s="492"/>
      <c r="AO98" s="492"/>
      <c r="AP98" s="492"/>
      <c r="AQ98" s="492"/>
      <c r="AR98" s="492"/>
      <c r="AS98" s="492"/>
      <c r="AT98" s="492"/>
      <c r="AU98" s="492"/>
      <c r="AV98" s="492"/>
      <c r="AW98" s="492"/>
      <c r="AX98" s="492"/>
      <c r="AY98" s="492"/>
      <c r="AZ98" s="492"/>
      <c r="BA98" s="492"/>
      <c r="BB98" s="492"/>
      <c r="BC98" s="492"/>
      <c r="BD98" s="492"/>
      <c r="BE98" s="492"/>
      <c r="BF98" s="2783"/>
    </row>
    <row r="99" spans="1:58" ht="21.75" customHeight="1">
      <c r="A99" s="1710"/>
      <c r="B99" s="482"/>
      <c r="C99" s="319"/>
      <c r="D99" s="319"/>
      <c r="E99" s="319"/>
      <c r="F99" s="1437"/>
      <c r="G99" s="1438"/>
      <c r="H99" s="414"/>
      <c r="I99" s="414"/>
      <c r="J99" s="1369"/>
      <c r="K99" s="1439" t="s">
        <v>940</v>
      </c>
      <c r="L99" s="1440" t="s">
        <v>6</v>
      </c>
      <c r="M99" s="1441">
        <v>1500</v>
      </c>
      <c r="N99" s="1832">
        <f>5000*25*12</f>
        <v>1500000</v>
      </c>
      <c r="O99" s="492"/>
      <c r="P99" s="492"/>
      <c r="Q99" s="492"/>
      <c r="R99" s="492"/>
      <c r="S99" s="492"/>
      <c r="T99" s="492"/>
      <c r="U99" s="492"/>
      <c r="V99" s="492"/>
      <c r="W99" s="492"/>
      <c r="X99" s="492"/>
      <c r="Y99" s="492"/>
      <c r="Z99" s="492"/>
      <c r="AA99" s="492"/>
      <c r="AB99" s="492"/>
      <c r="AC99" s="492"/>
      <c r="AD99" s="492"/>
      <c r="AE99" s="492"/>
      <c r="AF99" s="492"/>
      <c r="AG99" s="492"/>
      <c r="AH99" s="492"/>
      <c r="AI99" s="492"/>
      <c r="AJ99" s="492"/>
      <c r="AK99" s="492"/>
      <c r="AL99" s="492"/>
      <c r="AM99" s="492"/>
      <c r="AN99" s="492"/>
      <c r="AO99" s="492"/>
      <c r="AP99" s="492"/>
      <c r="AQ99" s="492"/>
      <c r="AR99" s="492"/>
      <c r="AS99" s="492"/>
      <c r="AT99" s="492"/>
      <c r="AU99" s="492"/>
      <c r="AV99" s="492"/>
      <c r="AW99" s="492"/>
      <c r="AX99" s="492"/>
      <c r="AY99" s="492"/>
      <c r="AZ99" s="492"/>
      <c r="BA99" s="492"/>
      <c r="BB99" s="492"/>
      <c r="BC99" s="492"/>
      <c r="BD99" s="492"/>
      <c r="BE99" s="492"/>
      <c r="BF99" s="2783"/>
    </row>
    <row r="100" spans="1:58" s="2" customFormat="1" ht="18" customHeight="1">
      <c r="A100" s="64"/>
      <c r="B100" s="22"/>
      <c r="C100" s="832"/>
      <c r="D100" s="832"/>
      <c r="E100" s="56" t="s">
        <v>941</v>
      </c>
      <c r="F100" s="1027"/>
      <c r="G100" s="1028"/>
      <c r="H100" s="825">
        <f>H101</f>
        <v>7000</v>
      </c>
      <c r="I100" s="825">
        <f>I101</f>
        <v>7000</v>
      </c>
      <c r="J100" s="826">
        <f t="shared" ref="J100" si="2">H100-I100</f>
        <v>0</v>
      </c>
      <c r="K100" s="728"/>
      <c r="L100" s="827"/>
      <c r="M100" s="694">
        <f>M325+M664+M671+M674+M729</f>
        <v>0</v>
      </c>
      <c r="N100" s="1823"/>
      <c r="O100" s="3"/>
      <c r="P100" s="68"/>
      <c r="Q100" s="1023"/>
      <c r="R100" s="1023"/>
      <c r="S100" s="1023"/>
      <c r="T100" s="76"/>
      <c r="U100" s="1025"/>
      <c r="BF100" s="2779"/>
    </row>
    <row r="101" spans="1:58" ht="22.5" customHeight="1">
      <c r="A101" s="1710"/>
      <c r="B101" s="482"/>
      <c r="C101" s="319"/>
      <c r="D101" s="319"/>
      <c r="E101" s="319"/>
      <c r="F101" s="2969" t="s">
        <v>942</v>
      </c>
      <c r="G101" s="2968"/>
      <c r="H101" s="309">
        <f>H102</f>
        <v>7000</v>
      </c>
      <c r="I101" s="309">
        <v>7000</v>
      </c>
      <c r="J101" s="1344">
        <f>H101-I101</f>
        <v>0</v>
      </c>
      <c r="K101" s="1442"/>
      <c r="L101" s="1443"/>
      <c r="M101" s="1426">
        <f>SUM(M102)</f>
        <v>7000</v>
      </c>
      <c r="N101" s="1421"/>
      <c r="O101" s="492"/>
      <c r="P101" s="492"/>
      <c r="Q101" s="492"/>
      <c r="R101" s="492"/>
      <c r="S101" s="492"/>
      <c r="T101" s="492"/>
      <c r="U101" s="492"/>
      <c r="V101" s="492"/>
      <c r="W101" s="492"/>
      <c r="X101" s="492"/>
      <c r="Y101" s="492"/>
      <c r="Z101" s="492"/>
      <c r="AA101" s="492"/>
      <c r="AB101" s="492"/>
      <c r="AC101" s="492"/>
      <c r="AD101" s="492"/>
      <c r="AE101" s="492"/>
      <c r="AF101" s="492"/>
      <c r="AG101" s="492"/>
      <c r="AH101" s="492"/>
      <c r="AI101" s="492"/>
      <c r="AJ101" s="492"/>
      <c r="AK101" s="492"/>
      <c r="AL101" s="492"/>
      <c r="AM101" s="492"/>
      <c r="AN101" s="492"/>
      <c r="AO101" s="492"/>
      <c r="AP101" s="492"/>
      <c r="AQ101" s="492"/>
      <c r="AR101" s="492"/>
      <c r="AS101" s="492"/>
      <c r="AT101" s="492"/>
      <c r="AU101" s="492"/>
      <c r="AV101" s="492"/>
      <c r="AW101" s="492"/>
      <c r="AX101" s="492"/>
      <c r="AY101" s="492"/>
      <c r="AZ101" s="492"/>
      <c r="BA101" s="492"/>
      <c r="BB101" s="492"/>
      <c r="BC101" s="492"/>
      <c r="BD101" s="492"/>
      <c r="BE101" s="492"/>
      <c r="BF101" s="2783"/>
    </row>
    <row r="102" spans="1:58" ht="22.5" customHeight="1">
      <c r="A102" s="1710"/>
      <c r="B102" s="482"/>
      <c r="C102" s="319"/>
      <c r="D102" s="319"/>
      <c r="E102" s="319"/>
      <c r="F102" s="1432"/>
      <c r="G102" s="1446" t="s">
        <v>943</v>
      </c>
      <c r="H102" s="315">
        <f>M102</f>
        <v>7000</v>
      </c>
      <c r="I102" s="315">
        <v>7000</v>
      </c>
      <c r="J102" s="1428">
        <f>H102-I102</f>
        <v>0</v>
      </c>
      <c r="K102" s="1481" t="s">
        <v>1588</v>
      </c>
      <c r="L102" s="1430"/>
      <c r="M102" s="1431">
        <f>SUM(M103)</f>
        <v>7000</v>
      </c>
      <c r="N102" s="1421"/>
      <c r="O102" s="492"/>
      <c r="P102" s="492"/>
      <c r="Q102" s="492"/>
      <c r="R102" s="492"/>
      <c r="S102" s="492"/>
      <c r="T102" s="492"/>
      <c r="U102" s="492"/>
      <c r="V102" s="492"/>
      <c r="W102" s="492"/>
      <c r="X102" s="492"/>
      <c r="Y102" s="492"/>
      <c r="Z102" s="492"/>
      <c r="AA102" s="492"/>
      <c r="AB102" s="492"/>
      <c r="AC102" s="492"/>
      <c r="AD102" s="492"/>
      <c r="AE102" s="492"/>
      <c r="AF102" s="492"/>
      <c r="AG102" s="492"/>
      <c r="AH102" s="492"/>
      <c r="AI102" s="492"/>
      <c r="AJ102" s="492"/>
      <c r="AK102" s="492"/>
      <c r="AL102" s="492"/>
      <c r="AM102" s="492"/>
      <c r="AN102" s="492"/>
      <c r="AO102" s="492"/>
      <c r="AP102" s="492"/>
      <c r="AQ102" s="492"/>
      <c r="AR102" s="492"/>
      <c r="AS102" s="492"/>
      <c r="AT102" s="492"/>
      <c r="AU102" s="492"/>
      <c r="AV102" s="492"/>
      <c r="AW102" s="492"/>
      <c r="AX102" s="492"/>
      <c r="AY102" s="492"/>
      <c r="AZ102" s="492"/>
      <c r="BA102" s="492"/>
      <c r="BB102" s="492"/>
      <c r="BC102" s="492"/>
      <c r="BD102" s="492"/>
      <c r="BE102" s="492"/>
      <c r="BF102" s="2783"/>
    </row>
    <row r="103" spans="1:58" ht="22.5" customHeight="1">
      <c r="A103" s="1710"/>
      <c r="B103" s="482"/>
      <c r="C103" s="319"/>
      <c r="D103" s="319"/>
      <c r="E103" s="319"/>
      <c r="F103" s="1432"/>
      <c r="G103" s="1433"/>
      <c r="H103" s="312"/>
      <c r="I103" s="312"/>
      <c r="J103" s="1434"/>
      <c r="K103" s="1444" t="s">
        <v>1589</v>
      </c>
      <c r="L103" s="1435" t="s">
        <v>6</v>
      </c>
      <c r="M103" s="1441">
        <v>7000</v>
      </c>
      <c r="N103" s="1832">
        <f>200000*35*1</f>
        <v>7000000</v>
      </c>
      <c r="O103" s="492"/>
      <c r="P103" s="492"/>
      <c r="Q103" s="492"/>
      <c r="R103" s="492"/>
      <c r="S103" s="492"/>
      <c r="T103" s="492"/>
      <c r="U103" s="492"/>
      <c r="V103" s="492"/>
      <c r="W103" s="492"/>
      <c r="X103" s="492"/>
      <c r="Y103" s="492"/>
      <c r="Z103" s="492"/>
      <c r="AA103" s="492"/>
      <c r="AB103" s="492"/>
      <c r="AC103" s="492"/>
      <c r="AD103" s="492"/>
      <c r="AE103" s="492"/>
      <c r="AF103" s="492"/>
      <c r="AG103" s="492"/>
      <c r="AH103" s="492"/>
      <c r="AI103" s="492"/>
      <c r="AJ103" s="492"/>
      <c r="AK103" s="492"/>
      <c r="AL103" s="492"/>
      <c r="AM103" s="492"/>
      <c r="AN103" s="492"/>
      <c r="AO103" s="492"/>
      <c r="AP103" s="492"/>
      <c r="AQ103" s="492"/>
      <c r="AR103" s="492"/>
      <c r="AS103" s="492"/>
      <c r="AT103" s="492"/>
      <c r="AU103" s="492"/>
      <c r="AV103" s="492"/>
      <c r="AW103" s="492"/>
      <c r="AX103" s="492"/>
      <c r="AY103" s="492"/>
      <c r="AZ103" s="492"/>
      <c r="BA103" s="492"/>
      <c r="BB103" s="492"/>
      <c r="BC103" s="492"/>
      <c r="BD103" s="492"/>
      <c r="BE103" s="492"/>
      <c r="BF103" s="2783"/>
    </row>
    <row r="104" spans="1:58" s="2" customFormat="1" ht="18" customHeight="1">
      <c r="A104" s="64"/>
      <c r="B104" s="22"/>
      <c r="C104" s="22"/>
      <c r="D104" s="1339" t="s">
        <v>574</v>
      </c>
      <c r="E104" s="1027"/>
      <c r="F104" s="1027"/>
      <c r="G104" s="1028"/>
      <c r="H104" s="1029">
        <f t="shared" ref="H104:I106" si="3">H105</f>
        <v>180859</v>
      </c>
      <c r="I104" s="1029">
        <f t="shared" si="3"/>
        <v>185000</v>
      </c>
      <c r="J104" s="826">
        <f>H104-I104</f>
        <v>-4141</v>
      </c>
      <c r="K104" s="1122"/>
      <c r="L104" s="1056"/>
      <c r="M104" s="680"/>
      <c r="N104" s="1823"/>
      <c r="O104" s="3"/>
      <c r="P104" s="68"/>
      <c r="Q104" s="1023"/>
      <c r="R104" s="1023"/>
      <c r="S104" s="1023"/>
      <c r="T104" s="1024"/>
      <c r="U104" s="1025"/>
      <c r="BF104" s="2779"/>
    </row>
    <row r="105" spans="1:58" s="2" customFormat="1" ht="18" customHeight="1">
      <c r="A105" s="64"/>
      <c r="B105" s="22"/>
      <c r="C105" s="832"/>
      <c r="D105" s="1032"/>
      <c r="E105" s="1445" t="s">
        <v>857</v>
      </c>
      <c r="F105" s="1129"/>
      <c r="G105" s="1028"/>
      <c r="H105" s="825">
        <f t="shared" si="3"/>
        <v>180859</v>
      </c>
      <c r="I105" s="825">
        <f t="shared" si="3"/>
        <v>185000</v>
      </c>
      <c r="J105" s="826">
        <f>H105-I105</f>
        <v>-4141</v>
      </c>
      <c r="K105" s="728"/>
      <c r="L105" s="827"/>
      <c r="M105" s="694">
        <f>M452+M605+M611+M614+M669</f>
        <v>0</v>
      </c>
      <c r="N105" s="1823"/>
      <c r="O105" s="3"/>
      <c r="P105" s="68"/>
      <c r="Q105" s="1023"/>
      <c r="R105" s="1023"/>
      <c r="S105" s="1023"/>
      <c r="T105" s="76"/>
      <c r="U105" s="1025"/>
      <c r="BF105" s="2779"/>
    </row>
    <row r="106" spans="1:58" ht="21.75" customHeight="1">
      <c r="A106" s="1710"/>
      <c r="B106" s="482"/>
      <c r="C106" s="319"/>
      <c r="D106" s="319"/>
      <c r="E106" s="319"/>
      <c r="F106" s="2967" t="s">
        <v>325</v>
      </c>
      <c r="G106" s="2980"/>
      <c r="H106" s="309">
        <f t="shared" si="3"/>
        <v>180859</v>
      </c>
      <c r="I106" s="309">
        <f t="shared" si="3"/>
        <v>185000</v>
      </c>
      <c r="J106" s="1344">
        <f>H106-I106</f>
        <v>-4141</v>
      </c>
      <c r="K106" s="1424"/>
      <c r="L106" s="1425"/>
      <c r="M106" s="1426">
        <f>M107</f>
        <v>180859</v>
      </c>
      <c r="N106" s="1421"/>
      <c r="O106" s="492"/>
      <c r="P106" s="492"/>
      <c r="Q106" s="492"/>
      <c r="R106" s="492"/>
      <c r="S106" s="492"/>
      <c r="T106" s="492"/>
      <c r="U106" s="492"/>
      <c r="V106" s="492"/>
      <c r="W106" s="492"/>
      <c r="X106" s="492"/>
      <c r="Y106" s="492"/>
      <c r="Z106" s="492"/>
      <c r="AA106" s="492"/>
      <c r="AB106" s="492"/>
      <c r="AC106" s="492"/>
      <c r="AD106" s="492"/>
      <c r="AE106" s="492"/>
      <c r="AF106" s="492"/>
      <c r="AG106" s="492"/>
      <c r="AH106" s="492"/>
      <c r="AI106" s="492"/>
      <c r="AJ106" s="492"/>
      <c r="AK106" s="492"/>
      <c r="AL106" s="492"/>
      <c r="AM106" s="492"/>
      <c r="AN106" s="492"/>
      <c r="AO106" s="492"/>
      <c r="AP106" s="492"/>
      <c r="AQ106" s="492"/>
      <c r="AR106" s="492"/>
      <c r="AS106" s="492"/>
      <c r="AT106" s="492"/>
      <c r="AU106" s="492"/>
      <c r="AV106" s="492"/>
      <c r="AW106" s="492"/>
      <c r="AX106" s="492"/>
      <c r="AY106" s="492"/>
      <c r="AZ106" s="492"/>
      <c r="BA106" s="492"/>
      <c r="BB106" s="492"/>
      <c r="BC106" s="492"/>
      <c r="BD106" s="492"/>
      <c r="BE106" s="492"/>
      <c r="BF106" s="2783"/>
    </row>
    <row r="107" spans="1:58" ht="21.75" customHeight="1">
      <c r="A107" s="1710"/>
      <c r="B107" s="482"/>
      <c r="C107" s="319"/>
      <c r="D107" s="319"/>
      <c r="E107" s="319"/>
      <c r="F107" s="1427"/>
      <c r="G107" s="1446" t="s">
        <v>326</v>
      </c>
      <c r="H107" s="315">
        <f>M107</f>
        <v>180859</v>
      </c>
      <c r="I107" s="315">
        <v>185000</v>
      </c>
      <c r="J107" s="1428">
        <f>H107-I107</f>
        <v>-4141</v>
      </c>
      <c r="K107" s="1447" t="s">
        <v>337</v>
      </c>
      <c r="L107" s="1448"/>
      <c r="M107" s="1431">
        <f>M108+M109</f>
        <v>180859</v>
      </c>
      <c r="N107" s="1421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2783"/>
    </row>
    <row r="108" spans="1:58" ht="21.75" customHeight="1">
      <c r="A108" s="1710"/>
      <c r="B108" s="482"/>
      <c r="C108" s="319"/>
      <c r="D108" s="319"/>
      <c r="E108" s="319"/>
      <c r="F108" s="1449"/>
      <c r="G108" s="1433"/>
      <c r="H108" s="312"/>
      <c r="I108" s="312"/>
      <c r="J108" s="1434"/>
      <c r="K108" s="1429" t="s">
        <v>2426</v>
      </c>
      <c r="L108" s="1435" t="s">
        <v>6</v>
      </c>
      <c r="M108" s="1436">
        <v>125859</v>
      </c>
      <c r="N108" s="1421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2783"/>
    </row>
    <row r="109" spans="1:58" ht="21.75" customHeight="1">
      <c r="A109" s="1710"/>
      <c r="B109" s="482"/>
      <c r="C109" s="319"/>
      <c r="D109" s="319"/>
      <c r="E109" s="319"/>
      <c r="F109" s="1449"/>
      <c r="G109" s="1433"/>
      <c r="H109" s="312"/>
      <c r="I109" s="312"/>
      <c r="J109" s="1434"/>
      <c r="K109" s="1833" t="s">
        <v>2427</v>
      </c>
      <c r="L109" s="1450" t="s">
        <v>6</v>
      </c>
      <c r="M109" s="1436">
        <v>55000</v>
      </c>
      <c r="N109" s="1421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2783"/>
    </row>
    <row r="110" spans="1:58" s="2" customFormat="1" ht="18" customHeight="1">
      <c r="A110" s="64"/>
      <c r="B110" s="22"/>
      <c r="C110" s="1339" t="s">
        <v>911</v>
      </c>
      <c r="D110" s="1027"/>
      <c r="E110" s="1027"/>
      <c r="F110" s="1027"/>
      <c r="G110" s="1028"/>
      <c r="H110" s="825">
        <f>H111+H141</f>
        <v>168033</v>
      </c>
      <c r="I110" s="825">
        <f>I111+I141</f>
        <v>230088</v>
      </c>
      <c r="J110" s="826">
        <f>H110-I110</f>
        <v>-62055</v>
      </c>
      <c r="K110" s="1119"/>
      <c r="L110" s="1056"/>
      <c r="M110" s="1057"/>
      <c r="N110" s="2978"/>
      <c r="O110" s="2979"/>
      <c r="P110" s="2979"/>
      <c r="Q110" s="2979"/>
      <c r="R110" s="2979"/>
      <c r="S110" s="2979"/>
      <c r="T110" s="2979"/>
      <c r="U110" s="2979"/>
      <c r="BF110" s="2779"/>
    </row>
    <row r="111" spans="1:58" s="2" customFormat="1" ht="18" customHeight="1">
      <c r="A111" s="64"/>
      <c r="B111" s="22"/>
      <c r="C111" s="25"/>
      <c r="D111" s="1451" t="s">
        <v>579</v>
      </c>
      <c r="E111" s="1027"/>
      <c r="F111" s="1027"/>
      <c r="G111" s="1028"/>
      <c r="H111" s="1029">
        <f>H112+H120+H137</f>
        <v>158033</v>
      </c>
      <c r="I111" s="1029">
        <f>I112+I120+I137</f>
        <v>220888</v>
      </c>
      <c r="J111" s="826">
        <f>H111-I111</f>
        <v>-62855</v>
      </c>
      <c r="K111" s="684"/>
      <c r="L111" s="1030"/>
      <c r="M111" s="680"/>
      <c r="N111" s="1823"/>
      <c r="O111" s="3"/>
      <c r="P111" s="68"/>
      <c r="Q111" s="1023"/>
      <c r="R111" s="1023"/>
      <c r="S111" s="1023"/>
      <c r="T111" s="1024"/>
      <c r="U111" s="1025"/>
      <c r="BF111" s="2779"/>
    </row>
    <row r="112" spans="1:58" s="2" customFormat="1" ht="18" customHeight="1">
      <c r="A112" s="64"/>
      <c r="B112" s="22"/>
      <c r="C112" s="832"/>
      <c r="D112" s="1032"/>
      <c r="E112" s="1026" t="s">
        <v>854</v>
      </c>
      <c r="F112" s="1027"/>
      <c r="G112" s="1028"/>
      <c r="H112" s="825">
        <f>H113</f>
        <v>142285</v>
      </c>
      <c r="I112" s="825">
        <f>I113</f>
        <v>204758</v>
      </c>
      <c r="J112" s="826">
        <f t="shared" ref="J112:J113" si="4">H112-I112</f>
        <v>-62473</v>
      </c>
      <c r="K112" s="728"/>
      <c r="L112" s="827"/>
      <c r="M112" s="694">
        <f>M329+M677+M684+M687+M742</f>
        <v>0</v>
      </c>
      <c r="N112" s="1823"/>
      <c r="O112" s="3"/>
      <c r="P112" s="68"/>
      <c r="Q112" s="1023"/>
      <c r="R112" s="1023"/>
      <c r="S112" s="1023"/>
      <c r="T112" s="76"/>
      <c r="U112" s="1025"/>
      <c r="BF112" s="2779"/>
    </row>
    <row r="113" spans="1:97" ht="24" customHeight="1">
      <c r="A113" s="1452"/>
      <c r="B113" s="1363"/>
      <c r="C113" s="1363"/>
      <c r="D113" s="1363"/>
      <c r="E113" s="1453"/>
      <c r="F113" s="2982" t="s">
        <v>921</v>
      </c>
      <c r="G113" s="2983"/>
      <c r="H113" s="1454">
        <f>H114</f>
        <v>142285</v>
      </c>
      <c r="I113" s="1454">
        <f>I114</f>
        <v>204758</v>
      </c>
      <c r="J113" s="1344">
        <f t="shared" si="4"/>
        <v>-62473</v>
      </c>
      <c r="K113" s="302"/>
      <c r="L113" s="303"/>
      <c r="M113" s="1345"/>
      <c r="N113" s="1346"/>
      <c r="O113" s="1347"/>
      <c r="P113" s="1348"/>
      <c r="Q113" s="1348"/>
      <c r="R113" s="1349"/>
      <c r="S113" s="1350"/>
      <c r="T113" s="1350"/>
      <c r="U113" s="1350"/>
      <c r="V113" s="496"/>
      <c r="W113" s="496"/>
      <c r="X113" s="496"/>
      <c r="Y113" s="496"/>
      <c r="Z113" s="496"/>
      <c r="AA113" s="496"/>
      <c r="AB113" s="495"/>
      <c r="AC113" s="495"/>
      <c r="AD113" s="495"/>
      <c r="AE113" s="495"/>
      <c r="AF113" s="495"/>
      <c r="AG113" s="495"/>
      <c r="AH113" s="495"/>
      <c r="AI113" s="495"/>
      <c r="AJ113" s="495"/>
      <c r="AK113" s="495"/>
      <c r="AL113" s="495"/>
      <c r="AM113" s="495"/>
      <c r="AN113" s="495"/>
      <c r="AO113" s="495"/>
      <c r="AP113" s="495"/>
      <c r="AQ113" s="495"/>
      <c r="AR113" s="495"/>
      <c r="AS113" s="495"/>
      <c r="AT113" s="495"/>
      <c r="AU113" s="495"/>
      <c r="AV113" s="495"/>
      <c r="AW113" s="495"/>
      <c r="AX113" s="495"/>
      <c r="AY113" s="495"/>
      <c r="AZ113" s="495"/>
      <c r="BA113" s="495"/>
      <c r="BB113" s="495"/>
      <c r="BC113" s="495"/>
      <c r="BD113" s="495"/>
      <c r="BE113" s="495"/>
      <c r="BF113" s="2781"/>
      <c r="BG113" s="495"/>
      <c r="BH113" s="495"/>
      <c r="BI113" s="495"/>
      <c r="BJ113" s="495"/>
      <c r="BK113" s="495"/>
      <c r="BL113" s="495"/>
      <c r="BM113" s="495"/>
      <c r="BN113" s="495"/>
      <c r="BO113" s="495"/>
      <c r="BP113" s="495"/>
      <c r="BQ113" s="495"/>
      <c r="BR113" s="495"/>
      <c r="BS113" s="495"/>
      <c r="BT113" s="495"/>
      <c r="BU113" s="495"/>
      <c r="BV113" s="495"/>
      <c r="BW113" s="495"/>
      <c r="BX113" s="495"/>
      <c r="BY113" s="495"/>
      <c r="BZ113" s="495"/>
      <c r="CA113" s="495"/>
      <c r="CB113" s="495"/>
      <c r="CC113" s="495"/>
      <c r="CD113" s="495"/>
    </row>
    <row r="114" spans="1:97" ht="24" customHeight="1">
      <c r="A114" s="1452"/>
      <c r="B114" s="1455"/>
      <c r="C114" s="1455"/>
      <c r="D114" s="1455"/>
      <c r="E114" s="1455"/>
      <c r="F114" s="1456"/>
      <c r="G114" s="1457" t="s">
        <v>922</v>
      </c>
      <c r="H114" s="305">
        <f>M114</f>
        <v>142285</v>
      </c>
      <c r="I114" s="305">
        <v>204758</v>
      </c>
      <c r="J114" s="1355">
        <f>H114-I114</f>
        <v>-62473</v>
      </c>
      <c r="K114" s="1356" t="s">
        <v>923</v>
      </c>
      <c r="L114" s="1357"/>
      <c r="M114" s="1358">
        <f>M115</f>
        <v>142285</v>
      </c>
      <c r="N114" s="1346"/>
      <c r="O114" s="1359"/>
      <c r="P114" s="1360"/>
      <c r="Q114" s="1360"/>
      <c r="R114" s="1361"/>
      <c r="S114" s="1362"/>
      <c r="T114" s="496"/>
      <c r="U114" s="496"/>
      <c r="V114" s="496"/>
      <c r="W114" s="496"/>
      <c r="X114" s="496"/>
      <c r="Y114" s="496"/>
      <c r="Z114" s="496"/>
      <c r="AA114" s="496"/>
      <c r="AB114" s="496"/>
      <c r="AC114" s="496"/>
      <c r="AD114" s="496"/>
      <c r="AE114" s="496"/>
      <c r="AF114" s="496"/>
      <c r="AG114" s="496"/>
      <c r="AH114" s="496"/>
      <c r="AI114" s="496"/>
      <c r="AJ114" s="496"/>
      <c r="AK114" s="496"/>
      <c r="AL114" s="496"/>
      <c r="AM114" s="496"/>
      <c r="AN114" s="496"/>
      <c r="AO114" s="496"/>
      <c r="AP114" s="496"/>
      <c r="AQ114" s="496"/>
      <c r="AR114" s="496"/>
      <c r="AS114" s="496"/>
      <c r="AT114" s="496"/>
      <c r="AU114" s="496"/>
      <c r="AV114" s="496"/>
      <c r="AW114" s="496"/>
      <c r="AX114" s="496"/>
      <c r="AY114" s="496"/>
      <c r="AZ114" s="496"/>
      <c r="BA114" s="496"/>
      <c r="BB114" s="496"/>
      <c r="BC114" s="496"/>
      <c r="BD114" s="496"/>
      <c r="BE114" s="496"/>
      <c r="BF114" s="2782"/>
      <c r="BG114" s="496"/>
      <c r="BH114" s="496"/>
      <c r="BI114" s="496"/>
      <c r="BJ114" s="496"/>
      <c r="BK114" s="496"/>
      <c r="BL114" s="496"/>
      <c r="BM114" s="496"/>
      <c r="BN114" s="496"/>
      <c r="BO114" s="496"/>
      <c r="BP114" s="496"/>
      <c r="BQ114" s="496"/>
      <c r="BR114" s="496"/>
      <c r="BS114" s="496"/>
      <c r="BT114" s="496"/>
      <c r="BU114" s="496"/>
      <c r="BV114" s="496"/>
      <c r="BW114" s="496"/>
      <c r="BX114" s="496"/>
      <c r="BY114" s="496"/>
      <c r="BZ114" s="496"/>
      <c r="CA114" s="496"/>
      <c r="CB114" s="496"/>
      <c r="CC114" s="496"/>
      <c r="CD114" s="496"/>
    </row>
    <row r="115" spans="1:97" ht="21" customHeight="1">
      <c r="A115" s="1452"/>
      <c r="B115" s="1455"/>
      <c r="C115" s="1455"/>
      <c r="D115" s="1455"/>
      <c r="E115" s="1455"/>
      <c r="F115" s="1456"/>
      <c r="G115" s="1363"/>
      <c r="H115" s="306"/>
      <c r="I115" s="306"/>
      <c r="J115" s="1364"/>
      <c r="K115" s="307" t="s">
        <v>1590</v>
      </c>
      <c r="L115" s="483"/>
      <c r="M115" s="1365">
        <f>M116+M117+M118+M119</f>
        <v>142285</v>
      </c>
      <c r="N115" s="1346"/>
      <c r="O115" s="1359"/>
      <c r="P115" s="1360"/>
      <c r="Q115" s="1360"/>
      <c r="R115" s="1361"/>
      <c r="S115" s="1362"/>
      <c r="T115" s="496"/>
      <c r="U115" s="496"/>
      <c r="V115" s="496"/>
      <c r="W115" s="496"/>
      <c r="X115" s="496"/>
      <c r="Y115" s="496"/>
      <c r="Z115" s="496"/>
      <c r="AA115" s="496"/>
      <c r="AB115" s="496"/>
      <c r="AC115" s="496"/>
      <c r="AD115" s="496"/>
      <c r="AE115" s="496"/>
      <c r="AF115" s="496"/>
      <c r="AG115" s="496"/>
      <c r="AH115" s="496"/>
      <c r="AI115" s="496"/>
      <c r="AJ115" s="496"/>
      <c r="AK115" s="496"/>
      <c r="AL115" s="496"/>
      <c r="AM115" s="496"/>
      <c r="AN115" s="496"/>
      <c r="AO115" s="496"/>
      <c r="AP115" s="496"/>
      <c r="AQ115" s="496"/>
      <c r="AR115" s="496"/>
      <c r="AS115" s="496"/>
      <c r="AT115" s="496"/>
      <c r="AU115" s="496"/>
      <c r="AV115" s="496"/>
      <c r="AW115" s="496"/>
      <c r="AX115" s="496"/>
      <c r="AY115" s="496"/>
      <c r="AZ115" s="496"/>
      <c r="BA115" s="496"/>
      <c r="BB115" s="496"/>
      <c r="BC115" s="496"/>
      <c r="BD115" s="496"/>
      <c r="BE115" s="496"/>
      <c r="BF115" s="2782"/>
      <c r="BG115" s="496"/>
      <c r="BH115" s="496"/>
      <c r="BI115" s="496"/>
      <c r="BJ115" s="496"/>
      <c r="BK115" s="496"/>
      <c r="BL115" s="496"/>
      <c r="BM115" s="496"/>
      <c r="BN115" s="496"/>
      <c r="BO115" s="496"/>
      <c r="BP115" s="496"/>
      <c r="BQ115" s="496"/>
      <c r="BR115" s="496"/>
      <c r="BS115" s="496"/>
      <c r="BT115" s="496"/>
      <c r="BU115" s="496"/>
      <c r="BV115" s="496"/>
      <c r="BW115" s="496"/>
      <c r="BX115" s="496"/>
      <c r="BY115" s="496"/>
      <c r="BZ115" s="496"/>
      <c r="CA115" s="496"/>
      <c r="CB115" s="496"/>
      <c r="CC115" s="496"/>
      <c r="CD115" s="496"/>
    </row>
    <row r="116" spans="1:97" ht="21" customHeight="1">
      <c r="A116" s="1452"/>
      <c r="B116" s="1455"/>
      <c r="C116" s="1455"/>
      <c r="D116" s="1459"/>
      <c r="E116" s="1459"/>
      <c r="F116" s="1459"/>
      <c r="G116" s="1458"/>
      <c r="H116" s="306"/>
      <c r="I116" s="306"/>
      <c r="J116" s="1364"/>
      <c r="K116" s="307" t="s">
        <v>2374</v>
      </c>
      <c r="L116" s="483" t="s">
        <v>292</v>
      </c>
      <c r="M116" s="1366">
        <v>93184</v>
      </c>
      <c r="N116" s="1346">
        <f>89600*4*5*52</f>
        <v>93184000</v>
      </c>
      <c r="O116" s="1359"/>
      <c r="P116" s="1360"/>
      <c r="Q116" s="1360"/>
      <c r="R116" s="1361"/>
      <c r="S116" s="1362"/>
      <c r="T116" s="496"/>
      <c r="U116" s="496"/>
      <c r="V116" s="496"/>
      <c r="W116" s="496"/>
      <c r="X116" s="496"/>
      <c r="Y116" s="496"/>
      <c r="Z116" s="496"/>
      <c r="AA116" s="496"/>
      <c r="AB116" s="496"/>
      <c r="AC116" s="496"/>
      <c r="AD116" s="496"/>
      <c r="AE116" s="496"/>
      <c r="AF116" s="496"/>
      <c r="AG116" s="496"/>
      <c r="AH116" s="496"/>
      <c r="AI116" s="496"/>
      <c r="AJ116" s="496"/>
      <c r="AK116" s="496"/>
      <c r="AL116" s="496"/>
      <c r="AM116" s="496"/>
      <c r="AN116" s="496"/>
      <c r="AO116" s="496"/>
      <c r="AP116" s="496"/>
      <c r="AQ116" s="496"/>
      <c r="AR116" s="496"/>
      <c r="AS116" s="496"/>
      <c r="AT116" s="496"/>
      <c r="AU116" s="496"/>
      <c r="AV116" s="496"/>
      <c r="AW116" s="496"/>
      <c r="AX116" s="496"/>
      <c r="AY116" s="496"/>
      <c r="AZ116" s="496"/>
      <c r="BA116" s="496"/>
      <c r="BB116" s="496"/>
      <c r="BC116" s="496"/>
      <c r="BD116" s="496"/>
      <c r="BE116" s="496"/>
      <c r="BF116" s="2782"/>
      <c r="BG116" s="496"/>
      <c r="BH116" s="496"/>
      <c r="BI116" s="496"/>
      <c r="BJ116" s="496"/>
      <c r="BK116" s="496"/>
      <c r="BL116" s="496"/>
      <c r="BM116" s="496"/>
      <c r="BN116" s="496"/>
      <c r="BO116" s="496"/>
      <c r="BP116" s="496"/>
      <c r="BQ116" s="496"/>
      <c r="BR116" s="496"/>
      <c r="BS116" s="496"/>
      <c r="BT116" s="496"/>
      <c r="BU116" s="496"/>
      <c r="BV116" s="496"/>
      <c r="BW116" s="496"/>
      <c r="BX116" s="496"/>
      <c r="BY116" s="496"/>
      <c r="BZ116" s="496"/>
      <c r="CA116" s="496"/>
      <c r="CB116" s="496"/>
      <c r="CC116" s="496"/>
      <c r="CD116" s="496"/>
    </row>
    <row r="117" spans="1:97" ht="21" customHeight="1">
      <c r="A117" s="1452"/>
      <c r="B117" s="1455"/>
      <c r="C117" s="1455"/>
      <c r="D117" s="1455"/>
      <c r="E117" s="1455"/>
      <c r="F117" s="1456"/>
      <c r="G117" s="1460"/>
      <c r="H117" s="306"/>
      <c r="I117" s="306"/>
      <c r="J117" s="1364"/>
      <c r="K117" s="307" t="s">
        <v>2375</v>
      </c>
      <c r="L117" s="483" t="s">
        <v>292</v>
      </c>
      <c r="M117" s="1366">
        <v>18637</v>
      </c>
      <c r="N117" s="1346">
        <f>89600*4*52</f>
        <v>18636800</v>
      </c>
      <c r="O117" s="1359"/>
      <c r="P117" s="1360"/>
      <c r="Q117" s="1360"/>
      <c r="R117" s="1361"/>
      <c r="S117" s="1362"/>
      <c r="T117" s="496"/>
      <c r="U117" s="496"/>
      <c r="V117" s="496"/>
      <c r="W117" s="496"/>
      <c r="X117" s="496"/>
      <c r="Y117" s="496"/>
      <c r="Z117" s="496"/>
      <c r="AA117" s="496"/>
      <c r="AB117" s="496"/>
      <c r="AC117" s="496"/>
      <c r="AD117" s="496"/>
      <c r="AE117" s="496"/>
      <c r="AF117" s="496"/>
      <c r="AG117" s="496"/>
      <c r="AH117" s="496"/>
      <c r="AI117" s="496"/>
      <c r="AJ117" s="496"/>
      <c r="AK117" s="496"/>
      <c r="AL117" s="496"/>
      <c r="AM117" s="496"/>
      <c r="AN117" s="496"/>
      <c r="AO117" s="496"/>
      <c r="AP117" s="496"/>
      <c r="AQ117" s="496"/>
      <c r="AR117" s="496"/>
      <c r="AS117" s="496"/>
      <c r="AT117" s="496"/>
      <c r="AU117" s="496"/>
      <c r="AV117" s="496"/>
      <c r="AW117" s="496"/>
      <c r="AX117" s="496"/>
      <c r="AY117" s="496"/>
      <c r="AZ117" s="496"/>
      <c r="BA117" s="496"/>
      <c r="BB117" s="496"/>
      <c r="BC117" s="496"/>
      <c r="BD117" s="496"/>
      <c r="BE117" s="496"/>
      <c r="BF117" s="2782"/>
      <c r="BG117" s="496"/>
      <c r="BH117" s="496"/>
      <c r="BI117" s="496"/>
      <c r="BJ117" s="496"/>
      <c r="BK117" s="496"/>
      <c r="BL117" s="496"/>
      <c r="BM117" s="496"/>
      <c r="BN117" s="496"/>
      <c r="BO117" s="496"/>
      <c r="BP117" s="496"/>
      <c r="BQ117" s="496"/>
      <c r="BR117" s="496"/>
      <c r="BS117" s="496"/>
      <c r="BT117" s="496"/>
      <c r="BU117" s="496"/>
      <c r="BV117" s="496"/>
      <c r="BW117" s="496"/>
      <c r="BX117" s="496"/>
      <c r="BY117" s="496"/>
      <c r="BZ117" s="496"/>
      <c r="CA117" s="496"/>
      <c r="CB117" s="496"/>
      <c r="CC117" s="496"/>
      <c r="CD117" s="496"/>
    </row>
    <row r="118" spans="1:97" ht="21" customHeight="1">
      <c r="A118" s="1452"/>
      <c r="B118" s="1455"/>
      <c r="C118" s="1455"/>
      <c r="D118" s="1455"/>
      <c r="E118" s="1455"/>
      <c r="F118" s="1456"/>
      <c r="G118" s="1458"/>
      <c r="H118" s="306"/>
      <c r="I118" s="306"/>
      <c r="J118" s="1364"/>
      <c r="K118" s="307" t="s">
        <v>2376</v>
      </c>
      <c r="L118" s="483" t="s">
        <v>292</v>
      </c>
      <c r="M118" s="1366">
        <v>26880</v>
      </c>
      <c r="N118" s="1346">
        <f>89600*4*50*1.5</f>
        <v>26880000</v>
      </c>
      <c r="O118" s="1359"/>
      <c r="P118" s="1360"/>
      <c r="Q118" s="1360"/>
      <c r="R118" s="1361"/>
      <c r="S118" s="1362"/>
      <c r="T118" s="496"/>
      <c r="U118" s="496"/>
      <c r="V118" s="496"/>
      <c r="W118" s="496"/>
      <c r="X118" s="496"/>
      <c r="Y118" s="496"/>
      <c r="Z118" s="496"/>
      <c r="AA118" s="496"/>
      <c r="AB118" s="496"/>
      <c r="AC118" s="496"/>
      <c r="AD118" s="496"/>
      <c r="AE118" s="496"/>
      <c r="AF118" s="496"/>
      <c r="AG118" s="496"/>
      <c r="AH118" s="496"/>
      <c r="AI118" s="496"/>
      <c r="AJ118" s="496"/>
      <c r="AK118" s="496"/>
      <c r="AL118" s="496"/>
      <c r="AM118" s="496"/>
      <c r="AN118" s="496"/>
      <c r="AO118" s="496"/>
      <c r="AP118" s="496"/>
      <c r="AQ118" s="496"/>
      <c r="AR118" s="496"/>
      <c r="AS118" s="496"/>
      <c r="AT118" s="496"/>
      <c r="AU118" s="496"/>
      <c r="AV118" s="496"/>
      <c r="AW118" s="496"/>
      <c r="AX118" s="496"/>
      <c r="AY118" s="496"/>
      <c r="AZ118" s="496"/>
      <c r="BA118" s="496"/>
      <c r="BB118" s="496"/>
      <c r="BC118" s="496"/>
      <c r="BD118" s="496"/>
      <c r="BE118" s="496"/>
      <c r="BF118" s="2782"/>
      <c r="BG118" s="496"/>
      <c r="BH118" s="496"/>
      <c r="BI118" s="496"/>
      <c r="BJ118" s="496"/>
      <c r="BK118" s="496"/>
      <c r="BL118" s="496"/>
      <c r="BM118" s="496"/>
      <c r="BN118" s="496"/>
      <c r="BO118" s="496"/>
      <c r="BP118" s="496"/>
      <c r="BQ118" s="496"/>
      <c r="BR118" s="496"/>
      <c r="BS118" s="496"/>
      <c r="BT118" s="496"/>
      <c r="BU118" s="496"/>
      <c r="BV118" s="496"/>
      <c r="BW118" s="496"/>
      <c r="BX118" s="496"/>
      <c r="BY118" s="496"/>
      <c r="BZ118" s="496"/>
      <c r="CA118" s="496"/>
      <c r="CB118" s="496"/>
      <c r="CC118" s="496"/>
      <c r="CD118" s="496"/>
    </row>
    <row r="119" spans="1:97" ht="21" customHeight="1">
      <c r="A119" s="1452"/>
      <c r="B119" s="1455"/>
      <c r="C119" s="1455"/>
      <c r="D119" s="1459"/>
      <c r="E119" s="1459"/>
      <c r="F119" s="1459"/>
      <c r="G119" s="1461"/>
      <c r="H119" s="306"/>
      <c r="I119" s="306"/>
      <c r="J119" s="1364"/>
      <c r="K119" s="307" t="s">
        <v>2377</v>
      </c>
      <c r="L119" s="483" t="s">
        <v>292</v>
      </c>
      <c r="M119" s="1366">
        <v>3584</v>
      </c>
      <c r="N119" s="1346">
        <f>89600*4*10</f>
        <v>3584000</v>
      </c>
      <c r="O119" s="1359"/>
      <c r="P119" s="1360"/>
      <c r="Q119" s="1360"/>
      <c r="R119" s="1361"/>
      <c r="S119" s="1362"/>
      <c r="T119" s="496"/>
      <c r="U119" s="496"/>
      <c r="V119" s="496"/>
      <c r="W119" s="496"/>
      <c r="X119" s="496"/>
      <c r="Y119" s="496"/>
      <c r="Z119" s="496"/>
      <c r="AA119" s="496"/>
      <c r="AB119" s="496"/>
      <c r="AC119" s="496"/>
      <c r="AD119" s="496"/>
      <c r="AE119" s="496"/>
      <c r="AF119" s="496"/>
      <c r="AG119" s="496"/>
      <c r="AH119" s="496"/>
      <c r="AI119" s="496"/>
      <c r="AJ119" s="496"/>
      <c r="AK119" s="496"/>
      <c r="AL119" s="496"/>
      <c r="AM119" s="496"/>
      <c r="AN119" s="496"/>
      <c r="AO119" s="496"/>
      <c r="AP119" s="496"/>
      <c r="AQ119" s="496"/>
      <c r="AR119" s="496"/>
      <c r="AS119" s="496"/>
      <c r="AT119" s="496"/>
      <c r="AU119" s="496"/>
      <c r="AV119" s="496"/>
      <c r="AW119" s="496"/>
      <c r="AX119" s="496"/>
      <c r="AY119" s="496"/>
      <c r="AZ119" s="496"/>
      <c r="BA119" s="496"/>
      <c r="BB119" s="496"/>
      <c r="BC119" s="496"/>
      <c r="BD119" s="496"/>
      <c r="BE119" s="496"/>
      <c r="BF119" s="2782"/>
      <c r="BG119" s="496"/>
      <c r="BH119" s="496"/>
      <c r="BI119" s="496"/>
      <c r="BJ119" s="496"/>
      <c r="BK119" s="496"/>
      <c r="BL119" s="496"/>
      <c r="BM119" s="496"/>
      <c r="BN119" s="496"/>
      <c r="BO119" s="496"/>
      <c r="BP119" s="496"/>
      <c r="BQ119" s="496"/>
      <c r="BR119" s="496"/>
      <c r="BS119" s="496"/>
      <c r="BT119" s="496"/>
      <c r="BU119" s="496"/>
      <c r="BV119" s="496"/>
      <c r="BW119" s="496"/>
      <c r="BX119" s="496"/>
      <c r="BY119" s="496"/>
      <c r="BZ119" s="496"/>
      <c r="CA119" s="496"/>
      <c r="CB119" s="496"/>
      <c r="CC119" s="496"/>
      <c r="CD119" s="496"/>
    </row>
    <row r="120" spans="1:97" s="2" customFormat="1" ht="18" customHeight="1">
      <c r="A120" s="64"/>
      <c r="B120" s="22"/>
      <c r="C120" s="832"/>
      <c r="D120" s="832"/>
      <c r="E120" s="56" t="s">
        <v>855</v>
      </c>
      <c r="F120" s="1027"/>
      <c r="G120" s="1028"/>
      <c r="H120" s="825">
        <f>H121+H133</f>
        <v>14748</v>
      </c>
      <c r="I120" s="825">
        <f>I121+I133</f>
        <v>14130</v>
      </c>
      <c r="J120" s="826">
        <f t="shared" ref="J120" si="5">H120-I120</f>
        <v>618</v>
      </c>
      <c r="K120" s="728"/>
      <c r="L120" s="827"/>
      <c r="M120" s="694">
        <f>M337+M685+M692+M695+M750</f>
        <v>0</v>
      </c>
      <c r="N120" s="1823"/>
      <c r="O120" s="3"/>
      <c r="P120" s="68"/>
      <c r="Q120" s="1023"/>
      <c r="R120" s="1023"/>
      <c r="S120" s="1023"/>
      <c r="T120" s="76"/>
      <c r="U120" s="1025"/>
      <c r="BF120" s="2779"/>
    </row>
    <row r="121" spans="1:97" s="1378" customFormat="1" ht="22.5" customHeight="1">
      <c r="A121" s="1452"/>
      <c r="B121" s="1455"/>
      <c r="C121" s="1455"/>
      <c r="D121" s="1459"/>
      <c r="E121" s="1459"/>
      <c r="F121" s="2984" t="s">
        <v>924</v>
      </c>
      <c r="G121" s="2985"/>
      <c r="H121" s="1462">
        <f>H122+H124+H126+H130</f>
        <v>13548</v>
      </c>
      <c r="I121" s="1462">
        <f>I122+I124+I126+I130</f>
        <v>12030</v>
      </c>
      <c r="J121" s="1344">
        <f>H121-I121</f>
        <v>1518</v>
      </c>
      <c r="K121" s="1463"/>
      <c r="L121" s="1464"/>
      <c r="M121" s="1402">
        <f>SUM(M122,M124,M126,M130)</f>
        <v>13548</v>
      </c>
      <c r="N121" s="1373"/>
      <c r="O121" s="1374"/>
      <c r="P121" s="1375"/>
      <c r="Q121" s="1375"/>
      <c r="R121" s="1376"/>
      <c r="S121" s="1377"/>
      <c r="T121" s="1377"/>
      <c r="U121" s="1377"/>
      <c r="V121" s="493"/>
      <c r="W121" s="493"/>
      <c r="X121" s="493"/>
      <c r="Y121" s="493"/>
      <c r="Z121" s="493"/>
      <c r="AA121" s="493"/>
      <c r="AB121" s="494"/>
      <c r="AC121" s="494"/>
      <c r="AD121" s="494"/>
      <c r="AE121" s="494"/>
      <c r="AF121" s="494"/>
      <c r="AG121" s="494"/>
      <c r="AH121" s="494"/>
      <c r="AI121" s="494"/>
      <c r="AJ121" s="494"/>
      <c r="AK121" s="494"/>
      <c r="AL121" s="494"/>
      <c r="AM121" s="494"/>
      <c r="AN121" s="494"/>
      <c r="AO121" s="494"/>
      <c r="AP121" s="494"/>
      <c r="AQ121" s="494"/>
      <c r="AR121" s="494"/>
      <c r="AS121" s="494"/>
      <c r="AT121" s="494"/>
      <c r="AU121" s="494"/>
      <c r="AV121" s="494"/>
      <c r="AW121" s="494"/>
      <c r="AX121" s="494"/>
      <c r="AY121" s="494"/>
      <c r="AZ121" s="494"/>
      <c r="BA121" s="494"/>
      <c r="BB121" s="494"/>
      <c r="BC121" s="494"/>
      <c r="BD121" s="494"/>
      <c r="BE121" s="494"/>
      <c r="BF121" s="2778"/>
      <c r="BG121" s="494"/>
      <c r="BH121" s="494"/>
      <c r="BI121" s="494"/>
      <c r="BJ121" s="494"/>
      <c r="BK121" s="494"/>
      <c r="BL121" s="494"/>
      <c r="BM121" s="494"/>
      <c r="BN121" s="494"/>
      <c r="BO121" s="494"/>
      <c r="BP121" s="494"/>
      <c r="BQ121" s="494"/>
      <c r="BR121" s="494"/>
      <c r="BS121" s="494"/>
      <c r="BT121" s="494"/>
      <c r="BU121" s="494"/>
      <c r="BV121" s="494"/>
      <c r="BW121" s="494"/>
      <c r="BX121" s="494"/>
      <c r="BY121" s="494"/>
      <c r="BZ121" s="494"/>
      <c r="CA121" s="494"/>
      <c r="CB121" s="494"/>
      <c r="CC121" s="494"/>
      <c r="CD121" s="494"/>
      <c r="CE121" s="492"/>
      <c r="CF121" s="492"/>
      <c r="CG121" s="492"/>
      <c r="CH121" s="492"/>
      <c r="CI121" s="492"/>
      <c r="CJ121" s="492"/>
      <c r="CK121" s="492"/>
      <c r="CL121" s="492"/>
      <c r="CM121" s="492"/>
      <c r="CN121" s="492"/>
      <c r="CO121" s="492"/>
      <c r="CP121" s="492"/>
      <c r="CQ121" s="492"/>
      <c r="CR121" s="492"/>
      <c r="CS121" s="492"/>
    </row>
    <row r="122" spans="1:97" s="1378" customFormat="1" ht="22.5" customHeight="1">
      <c r="A122" s="1452"/>
      <c r="B122" s="1455"/>
      <c r="C122" s="1455"/>
      <c r="D122" s="1455"/>
      <c r="E122" s="1455"/>
      <c r="F122" s="1465"/>
      <c r="G122" s="1834" t="s">
        <v>320</v>
      </c>
      <c r="H122" s="310">
        <f>M122</f>
        <v>2388</v>
      </c>
      <c r="I122" s="310">
        <v>2400</v>
      </c>
      <c r="J122" s="311">
        <f>H122-I122</f>
        <v>-12</v>
      </c>
      <c r="K122" s="1381" t="s">
        <v>328</v>
      </c>
      <c r="L122" s="1382"/>
      <c r="M122" s="1383">
        <f>M123</f>
        <v>2388</v>
      </c>
      <c r="N122" s="1384"/>
      <c r="O122" s="300"/>
      <c r="R122" s="1376"/>
      <c r="S122" s="1377"/>
      <c r="T122" s="1377"/>
      <c r="U122" s="1377"/>
      <c r="V122" s="493"/>
      <c r="W122" s="493"/>
      <c r="X122" s="493"/>
      <c r="Y122" s="493"/>
      <c r="Z122" s="493"/>
      <c r="AA122" s="493"/>
      <c r="AB122" s="494"/>
      <c r="AC122" s="494"/>
      <c r="AD122" s="494"/>
      <c r="AE122" s="494"/>
      <c r="AF122" s="494"/>
      <c r="AG122" s="494"/>
      <c r="AH122" s="494"/>
      <c r="AI122" s="494"/>
      <c r="AJ122" s="494"/>
      <c r="AK122" s="494"/>
      <c r="AL122" s="494"/>
      <c r="AM122" s="494"/>
      <c r="AN122" s="494"/>
      <c r="AO122" s="494"/>
      <c r="AP122" s="494"/>
      <c r="AQ122" s="494"/>
      <c r="AR122" s="494"/>
      <c r="AS122" s="494"/>
      <c r="AT122" s="494"/>
      <c r="AU122" s="494"/>
      <c r="AV122" s="494"/>
      <c r="AW122" s="494"/>
      <c r="AX122" s="494"/>
      <c r="AY122" s="494"/>
      <c r="AZ122" s="494"/>
      <c r="BA122" s="494"/>
      <c r="BB122" s="494"/>
      <c r="BC122" s="494"/>
      <c r="BD122" s="494"/>
      <c r="BE122" s="494"/>
      <c r="BF122" s="2778"/>
      <c r="BG122" s="494"/>
      <c r="BH122" s="494"/>
      <c r="BI122" s="494"/>
      <c r="BJ122" s="494"/>
      <c r="BK122" s="494"/>
      <c r="BL122" s="494"/>
      <c r="BM122" s="494"/>
      <c r="BN122" s="494"/>
      <c r="BO122" s="494"/>
      <c r="BP122" s="494"/>
      <c r="BQ122" s="494"/>
      <c r="BR122" s="494"/>
      <c r="BS122" s="494"/>
      <c r="BT122" s="494"/>
      <c r="BU122" s="494"/>
      <c r="BV122" s="494"/>
      <c r="BW122" s="494"/>
      <c r="BX122" s="494"/>
      <c r="BY122" s="494"/>
      <c r="BZ122" s="494"/>
      <c r="CA122" s="494"/>
      <c r="CB122" s="494"/>
      <c r="CC122" s="494"/>
      <c r="CD122" s="494"/>
      <c r="CE122" s="492"/>
      <c r="CF122" s="492"/>
      <c r="CG122" s="492"/>
      <c r="CH122" s="492"/>
      <c r="CI122" s="492"/>
      <c r="CJ122" s="492"/>
      <c r="CK122" s="492"/>
      <c r="CL122" s="492"/>
      <c r="CM122" s="492"/>
      <c r="CN122" s="492"/>
      <c r="CO122" s="492"/>
      <c r="CP122" s="492"/>
      <c r="CQ122" s="492"/>
      <c r="CR122" s="492"/>
      <c r="CS122" s="492"/>
    </row>
    <row r="123" spans="1:97" s="1378" customFormat="1" ht="21" customHeight="1">
      <c r="A123" s="1452"/>
      <c r="B123" s="1455"/>
      <c r="C123" s="1455"/>
      <c r="D123" s="1455"/>
      <c r="E123" s="1455"/>
      <c r="F123" s="1466"/>
      <c r="G123" s="1471"/>
      <c r="H123" s="1467"/>
      <c r="I123" s="1467"/>
      <c r="J123" s="1386"/>
      <c r="K123" s="1387" t="s">
        <v>2428</v>
      </c>
      <c r="L123" s="1388" t="s">
        <v>6</v>
      </c>
      <c r="M123" s="1389">
        <v>2388</v>
      </c>
      <c r="N123" s="1384">
        <f>199000*12</f>
        <v>2388000</v>
      </c>
      <c r="O123" s="300"/>
      <c r="R123" s="1376"/>
      <c r="S123" s="1377"/>
      <c r="T123" s="1377"/>
      <c r="U123" s="1377"/>
      <c r="V123" s="493"/>
      <c r="W123" s="493"/>
      <c r="X123" s="493"/>
      <c r="Y123" s="493"/>
      <c r="Z123" s="493"/>
      <c r="AA123" s="493"/>
      <c r="AB123" s="494"/>
      <c r="AC123" s="494"/>
      <c r="AD123" s="494"/>
      <c r="AE123" s="494"/>
      <c r="AF123" s="494"/>
      <c r="AG123" s="494"/>
      <c r="AH123" s="494"/>
      <c r="AI123" s="494"/>
      <c r="AJ123" s="494"/>
      <c r="AK123" s="494"/>
      <c r="AL123" s="494"/>
      <c r="AM123" s="494"/>
      <c r="AN123" s="494"/>
      <c r="AO123" s="494"/>
      <c r="AP123" s="494"/>
      <c r="AQ123" s="494"/>
      <c r="AR123" s="494"/>
      <c r="AS123" s="494"/>
      <c r="AT123" s="494"/>
      <c r="AU123" s="494"/>
      <c r="AV123" s="494"/>
      <c r="AW123" s="494"/>
      <c r="AX123" s="494"/>
      <c r="AY123" s="494"/>
      <c r="AZ123" s="494"/>
      <c r="BA123" s="494"/>
      <c r="BB123" s="494"/>
      <c r="BC123" s="494"/>
      <c r="BD123" s="494"/>
      <c r="BE123" s="494"/>
      <c r="BF123" s="2778"/>
      <c r="BG123" s="494"/>
      <c r="BH123" s="494"/>
      <c r="BI123" s="494"/>
      <c r="BJ123" s="494"/>
      <c r="BK123" s="494"/>
      <c r="BL123" s="494"/>
      <c r="BM123" s="494"/>
      <c r="BN123" s="494"/>
      <c r="BO123" s="494"/>
      <c r="BP123" s="494"/>
      <c r="BQ123" s="494"/>
      <c r="BR123" s="494"/>
      <c r="BS123" s="494"/>
      <c r="BT123" s="494"/>
      <c r="BU123" s="494"/>
      <c r="BV123" s="494"/>
      <c r="BW123" s="494"/>
      <c r="BX123" s="494"/>
      <c r="BY123" s="494"/>
      <c r="BZ123" s="494"/>
      <c r="CA123" s="494"/>
      <c r="CB123" s="494"/>
      <c r="CC123" s="494"/>
      <c r="CD123" s="494"/>
      <c r="CE123" s="492"/>
      <c r="CF123" s="492"/>
      <c r="CG123" s="492"/>
      <c r="CH123" s="492"/>
      <c r="CI123" s="492"/>
      <c r="CJ123" s="492"/>
      <c r="CK123" s="492"/>
      <c r="CL123" s="492"/>
      <c r="CM123" s="492"/>
      <c r="CN123" s="492"/>
      <c r="CO123" s="492"/>
      <c r="CP123" s="492"/>
      <c r="CQ123" s="492"/>
      <c r="CR123" s="492"/>
      <c r="CS123" s="492"/>
    </row>
    <row r="124" spans="1:97" ht="23.25" customHeight="1">
      <c r="A124" s="1468"/>
      <c r="B124" s="1469"/>
      <c r="C124" s="1455"/>
      <c r="D124" s="1455"/>
      <c r="E124" s="1455"/>
      <c r="F124" s="1470"/>
      <c r="G124" s="1834" t="s">
        <v>321</v>
      </c>
      <c r="H124" s="310">
        <f>M124</f>
        <v>360</v>
      </c>
      <c r="I124" s="310">
        <v>330</v>
      </c>
      <c r="J124" s="311">
        <f>H124-I124</f>
        <v>30</v>
      </c>
      <c r="K124" s="484" t="s">
        <v>330</v>
      </c>
      <c r="L124" s="1382"/>
      <c r="M124" s="1383">
        <f>M125</f>
        <v>360</v>
      </c>
      <c r="N124" s="1384"/>
      <c r="O124" s="316"/>
      <c r="P124" s="492"/>
      <c r="Q124" s="492"/>
      <c r="R124" s="492"/>
      <c r="S124" s="492"/>
      <c r="T124" s="492"/>
      <c r="U124" s="492"/>
      <c r="V124" s="492"/>
      <c r="W124" s="492"/>
      <c r="X124" s="492"/>
      <c r="Y124" s="492"/>
      <c r="Z124" s="492"/>
      <c r="AA124" s="492"/>
      <c r="AB124" s="492"/>
      <c r="AC124" s="492"/>
      <c r="AD124" s="492"/>
      <c r="AE124" s="492"/>
      <c r="AF124" s="492"/>
      <c r="AG124" s="492"/>
      <c r="AH124" s="492"/>
      <c r="AI124" s="492"/>
      <c r="AJ124" s="492"/>
      <c r="AK124" s="492"/>
      <c r="AL124" s="492"/>
      <c r="AM124" s="492"/>
      <c r="AN124" s="492"/>
      <c r="AO124" s="492"/>
      <c r="AP124" s="492"/>
      <c r="AQ124" s="492"/>
      <c r="AR124" s="492"/>
      <c r="AS124" s="492"/>
      <c r="AT124" s="492"/>
      <c r="AU124" s="492"/>
      <c r="AV124" s="492"/>
      <c r="AW124" s="492"/>
      <c r="AX124" s="492"/>
      <c r="AY124" s="492"/>
      <c r="AZ124" s="492"/>
      <c r="BA124" s="492"/>
      <c r="BB124" s="492"/>
      <c r="BC124" s="492"/>
      <c r="BD124" s="492"/>
      <c r="BE124" s="492"/>
      <c r="BF124" s="2783"/>
    </row>
    <row r="125" spans="1:97" ht="23.25" customHeight="1">
      <c r="A125" s="1468"/>
      <c r="B125" s="1469"/>
      <c r="C125" s="1455"/>
      <c r="D125" s="1455"/>
      <c r="E125" s="1455"/>
      <c r="F125" s="1466"/>
      <c r="G125" s="1471"/>
      <c r="H125" s="1472"/>
      <c r="I125" s="1472"/>
      <c r="J125" s="1406"/>
      <c r="K125" s="1395" t="s">
        <v>1591</v>
      </c>
      <c r="L125" s="1473" t="s">
        <v>6</v>
      </c>
      <c r="M125" s="1396">
        <v>360</v>
      </c>
      <c r="N125" s="1384">
        <f>90000*4</f>
        <v>360000</v>
      </c>
      <c r="O125" s="316"/>
      <c r="P125" s="492"/>
      <c r="Q125" s="492"/>
      <c r="R125" s="492"/>
      <c r="S125" s="492"/>
      <c r="T125" s="492"/>
      <c r="U125" s="492"/>
      <c r="V125" s="492"/>
      <c r="W125" s="492"/>
      <c r="X125" s="492"/>
      <c r="Y125" s="492"/>
      <c r="Z125" s="492"/>
      <c r="AA125" s="492"/>
      <c r="AB125" s="492"/>
      <c r="AC125" s="492"/>
      <c r="AD125" s="492"/>
      <c r="AE125" s="492"/>
      <c r="AF125" s="492"/>
      <c r="AG125" s="492"/>
      <c r="AH125" s="492"/>
      <c r="AI125" s="492"/>
      <c r="AJ125" s="492"/>
      <c r="AK125" s="492"/>
      <c r="AL125" s="492"/>
      <c r="AM125" s="492"/>
      <c r="AN125" s="492"/>
      <c r="AO125" s="492"/>
      <c r="AP125" s="492"/>
      <c r="AQ125" s="492"/>
      <c r="AR125" s="492"/>
      <c r="AS125" s="492"/>
      <c r="AT125" s="492"/>
      <c r="AU125" s="492"/>
      <c r="AV125" s="492"/>
      <c r="AW125" s="492"/>
      <c r="AX125" s="492"/>
      <c r="AY125" s="492"/>
      <c r="AZ125" s="492"/>
      <c r="BA125" s="492"/>
      <c r="BB125" s="492"/>
      <c r="BC125" s="492"/>
      <c r="BD125" s="492"/>
      <c r="BE125" s="492"/>
      <c r="BF125" s="2783"/>
    </row>
    <row r="126" spans="1:97" ht="23.25" customHeight="1">
      <c r="A126" s="1474"/>
      <c r="B126" s="1455"/>
      <c r="C126" s="1455"/>
      <c r="D126" s="1455"/>
      <c r="E126" s="1455"/>
      <c r="F126" s="1466"/>
      <c r="G126" s="1834" t="s">
        <v>323</v>
      </c>
      <c r="H126" s="310">
        <f>M126</f>
        <v>2400</v>
      </c>
      <c r="I126" s="310">
        <v>2700</v>
      </c>
      <c r="J126" s="311">
        <f>H126-I126</f>
        <v>-300</v>
      </c>
      <c r="K126" s="1381" t="s">
        <v>332</v>
      </c>
      <c r="L126" s="1382"/>
      <c r="M126" s="1383">
        <f>M127</f>
        <v>2400</v>
      </c>
      <c r="N126" s="1384"/>
      <c r="O126" s="316"/>
      <c r="P126" s="492"/>
      <c r="Q126" s="492"/>
      <c r="R126" s="492"/>
      <c r="S126" s="492"/>
      <c r="T126" s="492"/>
      <c r="U126" s="492"/>
      <c r="V126" s="492"/>
      <c r="W126" s="492"/>
      <c r="X126" s="492"/>
      <c r="Y126" s="492"/>
      <c r="Z126" s="492"/>
      <c r="AA126" s="492"/>
      <c r="AB126" s="492"/>
      <c r="AC126" s="492"/>
      <c r="AD126" s="492"/>
      <c r="AE126" s="492"/>
      <c r="AF126" s="492"/>
      <c r="AG126" s="492"/>
      <c r="AH126" s="492"/>
      <c r="AI126" s="492"/>
      <c r="AJ126" s="492"/>
      <c r="AK126" s="492"/>
      <c r="AL126" s="492"/>
      <c r="AM126" s="492"/>
      <c r="AN126" s="492"/>
      <c r="AO126" s="492"/>
      <c r="AP126" s="492"/>
      <c r="AQ126" s="492"/>
      <c r="AR126" s="492"/>
      <c r="AS126" s="492"/>
      <c r="AT126" s="492"/>
      <c r="AU126" s="492"/>
      <c r="AV126" s="492"/>
      <c r="AW126" s="492"/>
      <c r="AX126" s="492"/>
      <c r="AY126" s="492"/>
      <c r="AZ126" s="492"/>
      <c r="BA126" s="492"/>
      <c r="BB126" s="492"/>
      <c r="BC126" s="492"/>
      <c r="BD126" s="492"/>
      <c r="BE126" s="492"/>
      <c r="BF126" s="2783"/>
    </row>
    <row r="127" spans="1:97" ht="23.25" customHeight="1">
      <c r="A127" s="1452"/>
      <c r="B127" s="1455"/>
      <c r="C127" s="1455"/>
      <c r="D127" s="1455"/>
      <c r="E127" s="1455"/>
      <c r="F127" s="1466"/>
      <c r="G127" s="1835"/>
      <c r="H127" s="1467"/>
      <c r="I127" s="1467"/>
      <c r="J127" s="1386"/>
      <c r="K127" s="1391" t="s">
        <v>932</v>
      </c>
      <c r="L127" s="1388"/>
      <c r="M127" s="1389">
        <v>2400</v>
      </c>
      <c r="N127" s="1384"/>
      <c r="O127" s="316"/>
      <c r="P127" s="492"/>
      <c r="Q127" s="492"/>
      <c r="R127" s="492"/>
      <c r="S127" s="492"/>
      <c r="T127" s="492"/>
      <c r="U127" s="492"/>
      <c r="V127" s="492"/>
      <c r="W127" s="492"/>
      <c r="X127" s="492"/>
      <c r="Y127" s="492"/>
      <c r="Z127" s="492"/>
      <c r="AA127" s="492"/>
      <c r="AB127" s="492"/>
      <c r="AC127" s="492"/>
      <c r="AD127" s="492"/>
      <c r="AE127" s="492"/>
      <c r="AF127" s="492"/>
      <c r="AG127" s="492"/>
      <c r="AH127" s="492"/>
      <c r="AI127" s="492"/>
      <c r="AJ127" s="492"/>
      <c r="AK127" s="492"/>
      <c r="AL127" s="492"/>
      <c r="AM127" s="492"/>
      <c r="AN127" s="492"/>
      <c r="AO127" s="492"/>
      <c r="AP127" s="492"/>
      <c r="AQ127" s="492"/>
      <c r="AR127" s="492"/>
      <c r="AS127" s="492"/>
      <c r="AT127" s="492"/>
      <c r="AU127" s="492"/>
      <c r="AV127" s="492"/>
      <c r="AW127" s="492"/>
      <c r="AX127" s="492"/>
      <c r="AY127" s="492"/>
      <c r="AZ127" s="492"/>
      <c r="BA127" s="492"/>
      <c r="BB127" s="492"/>
      <c r="BC127" s="492"/>
      <c r="BD127" s="492"/>
      <c r="BE127" s="492"/>
      <c r="BF127" s="2783"/>
    </row>
    <row r="128" spans="1:97" ht="23.25" customHeight="1">
      <c r="A128" s="1452"/>
      <c r="B128" s="1455"/>
      <c r="C128" s="1455"/>
      <c r="D128" s="1455"/>
      <c r="E128" s="1455"/>
      <c r="F128" s="1466"/>
      <c r="G128" s="1835"/>
      <c r="H128" s="1467"/>
      <c r="I128" s="1467"/>
      <c r="J128" s="1386"/>
      <c r="K128" s="1391" t="s">
        <v>1592</v>
      </c>
      <c r="L128" s="1398" t="s">
        <v>292</v>
      </c>
      <c r="M128" s="1389">
        <v>1200</v>
      </c>
      <c r="N128" s="1384">
        <f>150000*4*2</f>
        <v>1200000</v>
      </c>
      <c r="O128" s="316"/>
      <c r="P128" s="492"/>
      <c r="Q128" s="492"/>
      <c r="R128" s="492"/>
      <c r="S128" s="492"/>
      <c r="T128" s="492"/>
      <c r="U128" s="492"/>
      <c r="V128" s="492"/>
      <c r="W128" s="492"/>
      <c r="X128" s="492"/>
      <c r="Y128" s="492"/>
      <c r="Z128" s="492"/>
      <c r="AA128" s="492"/>
      <c r="AB128" s="492"/>
      <c r="AC128" s="492"/>
      <c r="AD128" s="492"/>
      <c r="AE128" s="492"/>
      <c r="AF128" s="492"/>
      <c r="AG128" s="492"/>
      <c r="AH128" s="492"/>
      <c r="AI128" s="492"/>
      <c r="AJ128" s="492"/>
      <c r="AK128" s="492"/>
      <c r="AL128" s="492"/>
      <c r="AM128" s="492"/>
      <c r="AN128" s="492"/>
      <c r="AO128" s="492"/>
      <c r="AP128" s="492"/>
      <c r="AQ128" s="492"/>
      <c r="AR128" s="492"/>
      <c r="AS128" s="492"/>
      <c r="AT128" s="492"/>
      <c r="AU128" s="492"/>
      <c r="AV128" s="492"/>
      <c r="AW128" s="492"/>
      <c r="AX128" s="492"/>
      <c r="AY128" s="492"/>
      <c r="AZ128" s="492"/>
      <c r="BA128" s="492"/>
      <c r="BB128" s="492"/>
      <c r="BC128" s="492"/>
      <c r="BD128" s="492"/>
      <c r="BE128" s="492"/>
      <c r="BF128" s="2783"/>
    </row>
    <row r="129" spans="1:58" ht="22.5" customHeight="1">
      <c r="A129" s="1452"/>
      <c r="B129" s="1469"/>
      <c r="C129" s="1455"/>
      <c r="D129" s="1455"/>
      <c r="E129" s="1455"/>
      <c r="F129" s="1470"/>
      <c r="G129" s="1466"/>
      <c r="H129" s="1467"/>
      <c r="I129" s="1467"/>
      <c r="J129" s="1386"/>
      <c r="K129" s="1391" t="s">
        <v>1593</v>
      </c>
      <c r="L129" s="1398" t="s">
        <v>292</v>
      </c>
      <c r="M129" s="1389">
        <v>1200</v>
      </c>
      <c r="N129" s="1384">
        <f>300000*4</f>
        <v>1200000</v>
      </c>
      <c r="O129" s="316"/>
      <c r="P129" s="492"/>
      <c r="Q129" s="492"/>
      <c r="R129" s="492"/>
      <c r="S129" s="492"/>
      <c r="T129" s="492"/>
      <c r="U129" s="492"/>
      <c r="V129" s="492"/>
      <c r="W129" s="492"/>
      <c r="X129" s="492"/>
      <c r="Y129" s="492"/>
      <c r="Z129" s="492"/>
      <c r="AA129" s="492"/>
      <c r="AB129" s="492"/>
      <c r="AC129" s="492"/>
      <c r="AD129" s="492"/>
      <c r="AE129" s="492"/>
      <c r="AF129" s="492"/>
      <c r="AG129" s="492"/>
      <c r="AH129" s="492"/>
      <c r="AI129" s="492"/>
      <c r="AJ129" s="492"/>
      <c r="AK129" s="492"/>
      <c r="AL129" s="492"/>
      <c r="AM129" s="492"/>
      <c r="AN129" s="492"/>
      <c r="AO129" s="492"/>
      <c r="AP129" s="492"/>
      <c r="AQ129" s="492"/>
      <c r="AR129" s="492"/>
      <c r="AS129" s="492"/>
      <c r="AT129" s="492"/>
      <c r="AU129" s="492"/>
      <c r="AV129" s="492"/>
      <c r="AW129" s="492"/>
      <c r="AX129" s="492"/>
      <c r="AY129" s="492"/>
      <c r="AZ129" s="492"/>
      <c r="BA129" s="492"/>
      <c r="BB129" s="492"/>
      <c r="BC129" s="492"/>
      <c r="BD129" s="492"/>
      <c r="BE129" s="492"/>
      <c r="BF129" s="2783"/>
    </row>
    <row r="130" spans="1:58" ht="23.25" customHeight="1">
      <c r="A130" s="1468"/>
      <c r="B130" s="1455"/>
      <c r="C130" s="1455"/>
      <c r="D130" s="1455"/>
      <c r="E130" s="1455"/>
      <c r="F130" s="1466"/>
      <c r="G130" s="1834" t="s">
        <v>324</v>
      </c>
      <c r="H130" s="310">
        <f>M130</f>
        <v>8400</v>
      </c>
      <c r="I130" s="310">
        <v>6600</v>
      </c>
      <c r="J130" s="311">
        <f>H130-I130</f>
        <v>1800</v>
      </c>
      <c r="K130" s="1407" t="s">
        <v>334</v>
      </c>
      <c r="L130" s="1382"/>
      <c r="M130" s="1383">
        <f>M131+M132</f>
        <v>8400</v>
      </c>
      <c r="N130" s="1384"/>
      <c r="O130" s="316"/>
      <c r="P130" s="492"/>
      <c r="Q130" s="492"/>
      <c r="R130" s="492"/>
      <c r="S130" s="492"/>
      <c r="T130" s="492"/>
      <c r="U130" s="492"/>
      <c r="V130" s="492"/>
      <c r="W130" s="492"/>
      <c r="X130" s="492"/>
      <c r="Y130" s="492"/>
      <c r="Z130" s="492"/>
      <c r="AA130" s="492"/>
      <c r="AB130" s="492"/>
      <c r="AC130" s="492"/>
      <c r="AD130" s="492"/>
      <c r="AE130" s="492"/>
      <c r="AF130" s="492"/>
      <c r="AG130" s="492"/>
      <c r="AH130" s="492"/>
      <c r="AI130" s="492"/>
      <c r="AJ130" s="492"/>
      <c r="AK130" s="492"/>
      <c r="AL130" s="492"/>
      <c r="AM130" s="492"/>
      <c r="AN130" s="492"/>
      <c r="AO130" s="492"/>
      <c r="AP130" s="492"/>
      <c r="AQ130" s="492"/>
      <c r="AR130" s="492"/>
      <c r="AS130" s="492"/>
      <c r="AT130" s="492"/>
      <c r="AU130" s="492"/>
      <c r="AV130" s="492"/>
      <c r="AW130" s="492"/>
      <c r="AX130" s="492"/>
      <c r="AY130" s="492"/>
      <c r="AZ130" s="492"/>
      <c r="BA130" s="492"/>
      <c r="BB130" s="492"/>
      <c r="BC130" s="492"/>
      <c r="BD130" s="492"/>
      <c r="BE130" s="492"/>
      <c r="BF130" s="2783"/>
    </row>
    <row r="131" spans="1:58" ht="23.25" customHeight="1">
      <c r="A131" s="1468"/>
      <c r="B131" s="1456"/>
      <c r="C131" s="1455"/>
      <c r="D131" s="1455"/>
      <c r="E131" s="1455"/>
      <c r="F131" s="1470"/>
      <c r="G131" s="1836"/>
      <c r="H131" s="1467"/>
      <c r="I131" s="1467"/>
      <c r="J131" s="1386"/>
      <c r="K131" s="1477" t="s">
        <v>1594</v>
      </c>
      <c r="L131" s="1388" t="s">
        <v>6</v>
      </c>
      <c r="M131" s="1389">
        <v>7200</v>
      </c>
      <c r="N131" s="1384">
        <f>600000*12</f>
        <v>7200000</v>
      </c>
      <c r="O131" s="316"/>
      <c r="P131" s="492"/>
      <c r="Q131" s="492"/>
      <c r="R131" s="492"/>
      <c r="S131" s="492"/>
      <c r="T131" s="492"/>
      <c r="U131" s="492"/>
      <c r="V131" s="492"/>
      <c r="W131" s="492"/>
      <c r="X131" s="492"/>
      <c r="Y131" s="492"/>
      <c r="Z131" s="492"/>
      <c r="AA131" s="492"/>
      <c r="AB131" s="492"/>
      <c r="AC131" s="492"/>
      <c r="AD131" s="492"/>
      <c r="AE131" s="492"/>
      <c r="AF131" s="492"/>
      <c r="AG131" s="492"/>
      <c r="AH131" s="492"/>
      <c r="AI131" s="492"/>
      <c r="AJ131" s="492"/>
      <c r="AK131" s="492"/>
      <c r="AL131" s="492"/>
      <c r="AM131" s="492"/>
      <c r="AN131" s="492"/>
      <c r="AO131" s="492"/>
      <c r="AP131" s="492"/>
      <c r="AQ131" s="492"/>
      <c r="AR131" s="492"/>
      <c r="AS131" s="492"/>
      <c r="AT131" s="492"/>
      <c r="AU131" s="492"/>
      <c r="AV131" s="492"/>
      <c r="AW131" s="492"/>
      <c r="AX131" s="492"/>
      <c r="AY131" s="492"/>
      <c r="AZ131" s="492"/>
      <c r="BA131" s="492"/>
      <c r="BB131" s="492"/>
      <c r="BC131" s="492"/>
      <c r="BD131" s="492"/>
      <c r="BE131" s="492"/>
      <c r="BF131" s="2783"/>
    </row>
    <row r="132" spans="1:58" ht="23.25" customHeight="1">
      <c r="A132" s="1475"/>
      <c r="B132" s="1456"/>
      <c r="C132" s="1455"/>
      <c r="D132" s="1455"/>
      <c r="E132" s="1455"/>
      <c r="F132" s="1470"/>
      <c r="G132" s="1476"/>
      <c r="H132" s="1467"/>
      <c r="I132" s="1467"/>
      <c r="J132" s="1386"/>
      <c r="K132" s="1391" t="s">
        <v>944</v>
      </c>
      <c r="L132" s="1388" t="s">
        <v>6</v>
      </c>
      <c r="M132" s="1389">
        <v>1200</v>
      </c>
      <c r="N132" s="1384">
        <f>100000*12</f>
        <v>1200000</v>
      </c>
      <c r="O132" s="316"/>
      <c r="P132" s="492"/>
      <c r="Q132" s="492"/>
      <c r="R132" s="492"/>
      <c r="S132" s="492"/>
      <c r="T132" s="492"/>
      <c r="U132" s="492"/>
      <c r="V132" s="492"/>
      <c r="W132" s="492"/>
      <c r="X132" s="492"/>
      <c r="Y132" s="492"/>
      <c r="Z132" s="492"/>
      <c r="AA132" s="492"/>
      <c r="AB132" s="492"/>
      <c r="AC132" s="492"/>
      <c r="AD132" s="492"/>
      <c r="AE132" s="492"/>
      <c r="AF132" s="492"/>
      <c r="AG132" s="492"/>
      <c r="AH132" s="492"/>
      <c r="AI132" s="492"/>
      <c r="AJ132" s="492"/>
      <c r="AK132" s="492"/>
      <c r="AL132" s="492"/>
      <c r="AM132" s="492"/>
      <c r="AN132" s="492"/>
      <c r="AO132" s="492"/>
      <c r="AP132" s="492"/>
      <c r="AQ132" s="492"/>
      <c r="AR132" s="492"/>
      <c r="AS132" s="492"/>
      <c r="AT132" s="492"/>
      <c r="AU132" s="492"/>
      <c r="AV132" s="492"/>
      <c r="AW132" s="492"/>
      <c r="AX132" s="492"/>
      <c r="AY132" s="492"/>
      <c r="AZ132" s="492"/>
      <c r="BA132" s="492"/>
      <c r="BB132" s="492"/>
      <c r="BC132" s="492"/>
      <c r="BD132" s="492"/>
      <c r="BE132" s="492"/>
      <c r="BF132" s="2783"/>
    </row>
    <row r="133" spans="1:58" ht="21.75" customHeight="1">
      <c r="A133" s="1468"/>
      <c r="B133" s="1456"/>
      <c r="C133" s="1455"/>
      <c r="D133" s="1459"/>
      <c r="E133" s="1459"/>
      <c r="F133" s="2984" t="s">
        <v>937</v>
      </c>
      <c r="G133" s="2985"/>
      <c r="H133" s="1462">
        <f>SUM(H134)</f>
        <v>1200</v>
      </c>
      <c r="I133" s="1462">
        <v>2100</v>
      </c>
      <c r="J133" s="1344">
        <f>H133-I133</f>
        <v>-900</v>
      </c>
      <c r="K133" s="1424"/>
      <c r="L133" s="1425"/>
      <c r="M133" s="1426">
        <f>SUM(M134)</f>
        <v>1200</v>
      </c>
      <c r="N133" s="1421"/>
      <c r="O133" s="492"/>
      <c r="P133" s="492"/>
      <c r="Q133" s="492"/>
      <c r="R133" s="492"/>
      <c r="S133" s="492"/>
      <c r="T133" s="492"/>
      <c r="U133" s="492"/>
      <c r="V133" s="492"/>
      <c r="W133" s="492"/>
      <c r="X133" s="492"/>
      <c r="Y133" s="492"/>
      <c r="Z133" s="492"/>
      <c r="AA133" s="492"/>
      <c r="AB133" s="492"/>
      <c r="AC133" s="492"/>
      <c r="AD133" s="492"/>
      <c r="AE133" s="492"/>
      <c r="AF133" s="492"/>
      <c r="AG133" s="492"/>
      <c r="AH133" s="492"/>
      <c r="AI133" s="492"/>
      <c r="AJ133" s="492"/>
      <c r="AK133" s="492"/>
      <c r="AL133" s="492"/>
      <c r="AM133" s="492"/>
      <c r="AN133" s="492"/>
      <c r="AO133" s="492"/>
      <c r="AP133" s="492"/>
      <c r="AQ133" s="492"/>
      <c r="AR133" s="492"/>
      <c r="AS133" s="492"/>
      <c r="AT133" s="492"/>
      <c r="AU133" s="492"/>
      <c r="AV133" s="492"/>
      <c r="AW133" s="492"/>
      <c r="AX133" s="492"/>
      <c r="AY133" s="492"/>
      <c r="AZ133" s="492"/>
      <c r="BA133" s="492"/>
      <c r="BB133" s="492"/>
      <c r="BC133" s="492"/>
      <c r="BD133" s="492"/>
      <c r="BE133" s="492"/>
      <c r="BF133" s="2783"/>
    </row>
    <row r="134" spans="1:58" ht="21.75" customHeight="1">
      <c r="A134" s="1468"/>
      <c r="B134" s="1456"/>
      <c r="C134" s="1455"/>
      <c r="D134" s="1455"/>
      <c r="E134" s="1455"/>
      <c r="F134" s="1478"/>
      <c r="G134" s="1353" t="s">
        <v>938</v>
      </c>
      <c r="H134" s="310">
        <f>M134</f>
        <v>1200</v>
      </c>
      <c r="I134" s="310">
        <v>2100</v>
      </c>
      <c r="J134" s="1428">
        <f>H134-I134</f>
        <v>-900</v>
      </c>
      <c r="K134" s="1447" t="s">
        <v>1586</v>
      </c>
      <c r="L134" s="1448"/>
      <c r="M134" s="1431">
        <f>M135</f>
        <v>1200</v>
      </c>
      <c r="N134" s="1421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492"/>
      <c r="AL134" s="492"/>
      <c r="AM134" s="492"/>
      <c r="AN134" s="492"/>
      <c r="AO134" s="492"/>
      <c r="AP134" s="492"/>
      <c r="AQ134" s="492"/>
      <c r="AR134" s="492"/>
      <c r="AS134" s="492"/>
      <c r="AT134" s="492"/>
      <c r="AU134" s="492"/>
      <c r="AV134" s="492"/>
      <c r="AW134" s="492"/>
      <c r="AX134" s="492"/>
      <c r="AY134" s="492"/>
      <c r="AZ134" s="492"/>
      <c r="BA134" s="492"/>
      <c r="BB134" s="492"/>
      <c r="BC134" s="492"/>
      <c r="BD134" s="492"/>
      <c r="BE134" s="492"/>
      <c r="BF134" s="2783"/>
    </row>
    <row r="135" spans="1:58" ht="21.75" customHeight="1">
      <c r="A135" s="1468"/>
      <c r="B135" s="1455"/>
      <c r="C135" s="1455"/>
      <c r="D135" s="1455"/>
      <c r="E135" s="1455"/>
      <c r="F135" s="1455"/>
      <c r="G135" s="437"/>
      <c r="H135" s="1467"/>
      <c r="I135" s="1467"/>
      <c r="J135" s="1434"/>
      <c r="K135" s="1429" t="s">
        <v>1595</v>
      </c>
      <c r="L135" s="1450"/>
      <c r="M135" s="1436">
        <f>M136</f>
        <v>1200</v>
      </c>
      <c r="N135" s="1421"/>
      <c r="O135" s="492"/>
      <c r="P135" s="492"/>
      <c r="Q135" s="492"/>
      <c r="R135" s="492"/>
      <c r="S135" s="492"/>
      <c r="T135" s="492"/>
      <c r="U135" s="492"/>
      <c r="V135" s="492"/>
      <c r="W135" s="492"/>
      <c r="X135" s="492"/>
      <c r="Y135" s="492"/>
      <c r="Z135" s="492"/>
      <c r="AA135" s="492"/>
      <c r="AB135" s="492"/>
      <c r="AC135" s="492"/>
      <c r="AD135" s="492"/>
      <c r="AE135" s="492"/>
      <c r="AF135" s="492"/>
      <c r="AG135" s="492"/>
      <c r="AH135" s="492"/>
      <c r="AI135" s="492"/>
      <c r="AJ135" s="492"/>
      <c r="AK135" s="492"/>
      <c r="AL135" s="492"/>
      <c r="AM135" s="492"/>
      <c r="AN135" s="492"/>
      <c r="AO135" s="492"/>
      <c r="AP135" s="492"/>
      <c r="AQ135" s="492"/>
      <c r="AR135" s="492"/>
      <c r="AS135" s="492"/>
      <c r="AT135" s="492"/>
      <c r="AU135" s="492"/>
      <c r="AV135" s="492"/>
      <c r="AW135" s="492"/>
      <c r="AX135" s="492"/>
      <c r="AY135" s="492"/>
      <c r="AZ135" s="492"/>
      <c r="BA135" s="492"/>
      <c r="BB135" s="492"/>
      <c r="BC135" s="492"/>
      <c r="BD135" s="492"/>
      <c r="BE135" s="492"/>
      <c r="BF135" s="2783"/>
    </row>
    <row r="136" spans="1:58" ht="21.75" customHeight="1">
      <c r="A136" s="1468"/>
      <c r="B136" s="1455"/>
      <c r="C136" s="1455"/>
      <c r="D136" s="1455"/>
      <c r="E136" s="1455"/>
      <c r="F136" s="1455"/>
      <c r="G136" s="1363"/>
      <c r="H136" s="1467"/>
      <c r="I136" s="1467"/>
      <c r="J136" s="1434"/>
      <c r="K136" s="1429" t="s">
        <v>1596</v>
      </c>
      <c r="L136" s="1450" t="s">
        <v>6</v>
      </c>
      <c r="M136" s="1479">
        <v>1200</v>
      </c>
      <c r="N136" s="1421">
        <f>100000*12</f>
        <v>1200000</v>
      </c>
      <c r="O136" s="492"/>
      <c r="P136" s="492"/>
      <c r="Q136" s="492"/>
      <c r="R136" s="492"/>
      <c r="S136" s="492"/>
      <c r="T136" s="492"/>
      <c r="U136" s="492"/>
      <c r="V136" s="492"/>
      <c r="W136" s="492"/>
      <c r="X136" s="492"/>
      <c r="Y136" s="492"/>
      <c r="Z136" s="492"/>
      <c r="AA136" s="492"/>
      <c r="AB136" s="492"/>
      <c r="AC136" s="492"/>
      <c r="AD136" s="492"/>
      <c r="AE136" s="492"/>
      <c r="AF136" s="492"/>
      <c r="AG136" s="492"/>
      <c r="AH136" s="492"/>
      <c r="AI136" s="492"/>
      <c r="AJ136" s="492"/>
      <c r="AK136" s="492"/>
      <c r="AL136" s="492"/>
      <c r="AM136" s="492"/>
      <c r="AN136" s="492"/>
      <c r="AO136" s="492"/>
      <c r="AP136" s="492"/>
      <c r="AQ136" s="492"/>
      <c r="AR136" s="492"/>
      <c r="AS136" s="492"/>
      <c r="AT136" s="492"/>
      <c r="AU136" s="492"/>
      <c r="AV136" s="492"/>
      <c r="AW136" s="492"/>
      <c r="AX136" s="492"/>
      <c r="AY136" s="492"/>
      <c r="AZ136" s="492"/>
      <c r="BA136" s="492"/>
      <c r="BB136" s="492"/>
      <c r="BC136" s="492"/>
      <c r="BD136" s="492"/>
      <c r="BE136" s="492"/>
      <c r="BF136" s="2783"/>
    </row>
    <row r="137" spans="1:58" s="2" customFormat="1" ht="18" customHeight="1">
      <c r="A137" s="64"/>
      <c r="B137" s="22"/>
      <c r="C137" s="832"/>
      <c r="D137" s="832"/>
      <c r="E137" s="56" t="s">
        <v>941</v>
      </c>
      <c r="F137" s="1027"/>
      <c r="G137" s="1028"/>
      <c r="H137" s="825">
        <f>H138</f>
        <v>1000</v>
      </c>
      <c r="I137" s="825">
        <f>I138</f>
        <v>2000</v>
      </c>
      <c r="J137" s="826">
        <f t="shared" ref="J137" si="6">H137-I137</f>
        <v>-1000</v>
      </c>
      <c r="K137" s="728"/>
      <c r="L137" s="827"/>
      <c r="M137" s="694">
        <f>M366+M705+M712+M715+M770</f>
        <v>0</v>
      </c>
      <c r="N137" s="1823"/>
      <c r="O137" s="3"/>
      <c r="P137" s="68"/>
      <c r="Q137" s="1023"/>
      <c r="R137" s="1023"/>
      <c r="S137" s="1023"/>
      <c r="T137" s="76"/>
      <c r="U137" s="1025"/>
      <c r="BF137" s="2779"/>
    </row>
    <row r="138" spans="1:58" ht="22.5" customHeight="1">
      <c r="A138" s="1474"/>
      <c r="B138" s="1480"/>
      <c r="C138" s="1455"/>
      <c r="D138" s="1459"/>
      <c r="E138" s="1459"/>
      <c r="F138" s="2984" t="s">
        <v>942</v>
      </c>
      <c r="G138" s="2985"/>
      <c r="H138" s="1462">
        <f>H139</f>
        <v>1000</v>
      </c>
      <c r="I138" s="1462">
        <v>2000</v>
      </c>
      <c r="J138" s="1344">
        <f>H138-I138</f>
        <v>-1000</v>
      </c>
      <c r="K138" s="1442"/>
      <c r="L138" s="1425"/>
      <c r="M138" s="1426">
        <f>SUM(M139)</f>
        <v>1000</v>
      </c>
      <c r="N138" s="1421"/>
      <c r="O138" s="492"/>
      <c r="P138" s="492"/>
      <c r="Q138" s="492"/>
      <c r="R138" s="492"/>
      <c r="S138" s="492"/>
      <c r="T138" s="492"/>
      <c r="U138" s="492"/>
      <c r="V138" s="492"/>
      <c r="W138" s="492"/>
      <c r="X138" s="492"/>
      <c r="Y138" s="492"/>
      <c r="Z138" s="492"/>
      <c r="AA138" s="492"/>
      <c r="AB138" s="492"/>
      <c r="AC138" s="492"/>
      <c r="AD138" s="492"/>
      <c r="AE138" s="492"/>
      <c r="AF138" s="492"/>
      <c r="AG138" s="492"/>
      <c r="AH138" s="492"/>
      <c r="AI138" s="492"/>
      <c r="AJ138" s="492"/>
      <c r="AK138" s="492"/>
      <c r="AL138" s="492"/>
      <c r="AM138" s="492"/>
      <c r="AN138" s="492"/>
      <c r="AO138" s="492"/>
      <c r="AP138" s="492"/>
      <c r="AQ138" s="492"/>
      <c r="AR138" s="492"/>
      <c r="AS138" s="492"/>
      <c r="AT138" s="492"/>
      <c r="AU138" s="492"/>
      <c r="AV138" s="492"/>
      <c r="AW138" s="492"/>
      <c r="AX138" s="492"/>
      <c r="AY138" s="492"/>
      <c r="AZ138" s="492"/>
      <c r="BA138" s="492"/>
      <c r="BB138" s="492"/>
      <c r="BC138" s="492"/>
      <c r="BD138" s="492"/>
      <c r="BE138" s="492"/>
      <c r="BF138" s="2783"/>
    </row>
    <row r="139" spans="1:58" ht="22.5" customHeight="1">
      <c r="A139" s="1468"/>
      <c r="B139" s="1469"/>
      <c r="C139" s="1455"/>
      <c r="D139" s="1455"/>
      <c r="E139" s="1455"/>
      <c r="F139" s="1478"/>
      <c r="G139" s="1353" t="s">
        <v>943</v>
      </c>
      <c r="H139" s="310">
        <f>M139</f>
        <v>1000</v>
      </c>
      <c r="I139" s="310">
        <v>2000</v>
      </c>
      <c r="J139" s="1428">
        <f>H139-I139</f>
        <v>-1000</v>
      </c>
      <c r="K139" s="1481" t="s">
        <v>1588</v>
      </c>
      <c r="L139" s="1448"/>
      <c r="M139" s="1431">
        <f>SUM(M140)</f>
        <v>1000</v>
      </c>
      <c r="N139" s="1421"/>
      <c r="O139" s="492"/>
      <c r="P139" s="492"/>
      <c r="Q139" s="492"/>
      <c r="R139" s="492"/>
      <c r="S139" s="492"/>
      <c r="T139" s="492"/>
      <c r="U139" s="492"/>
      <c r="V139" s="492"/>
      <c r="W139" s="492"/>
      <c r="X139" s="492"/>
      <c r="Y139" s="492"/>
      <c r="Z139" s="492"/>
      <c r="AA139" s="492"/>
      <c r="AB139" s="492"/>
      <c r="AC139" s="492"/>
      <c r="AD139" s="492"/>
      <c r="AE139" s="492"/>
      <c r="AF139" s="492"/>
      <c r="AG139" s="492"/>
      <c r="AH139" s="492"/>
      <c r="AI139" s="492"/>
      <c r="AJ139" s="492"/>
      <c r="AK139" s="492"/>
      <c r="AL139" s="492"/>
      <c r="AM139" s="492"/>
      <c r="AN139" s="492"/>
      <c r="AO139" s="492"/>
      <c r="AP139" s="492"/>
      <c r="AQ139" s="492"/>
      <c r="AR139" s="492"/>
      <c r="AS139" s="492"/>
      <c r="AT139" s="492"/>
      <c r="AU139" s="492"/>
      <c r="AV139" s="492"/>
      <c r="AW139" s="492"/>
      <c r="AX139" s="492"/>
      <c r="AY139" s="492"/>
      <c r="AZ139" s="492"/>
      <c r="BA139" s="492"/>
      <c r="BB139" s="492"/>
      <c r="BC139" s="492"/>
      <c r="BD139" s="492"/>
      <c r="BE139" s="492"/>
      <c r="BF139" s="2783"/>
    </row>
    <row r="140" spans="1:58" ht="22.5" customHeight="1">
      <c r="A140" s="1452"/>
      <c r="B140" s="1455"/>
      <c r="C140" s="1455"/>
      <c r="D140" s="1455"/>
      <c r="E140" s="1455"/>
      <c r="F140" s="1455"/>
      <c r="G140" s="1482"/>
      <c r="H140" s="1472"/>
      <c r="I140" s="1472"/>
      <c r="J140" s="1369"/>
      <c r="K140" s="1483" t="s">
        <v>1597</v>
      </c>
      <c r="L140" s="1484" t="s">
        <v>6</v>
      </c>
      <c r="M140" s="1485">
        <v>1000</v>
      </c>
      <c r="N140" s="1421"/>
      <c r="O140" s="492"/>
      <c r="P140" s="492"/>
      <c r="Q140" s="492"/>
      <c r="R140" s="492"/>
      <c r="S140" s="492"/>
      <c r="T140" s="492"/>
      <c r="U140" s="492"/>
      <c r="V140" s="492"/>
      <c r="W140" s="492"/>
      <c r="X140" s="492"/>
      <c r="Y140" s="492"/>
      <c r="Z140" s="492"/>
      <c r="AA140" s="492"/>
      <c r="AB140" s="492"/>
      <c r="AC140" s="492"/>
      <c r="AD140" s="492"/>
      <c r="AE140" s="492"/>
      <c r="AF140" s="492"/>
      <c r="AG140" s="492"/>
      <c r="AH140" s="492"/>
      <c r="AI140" s="492"/>
      <c r="AJ140" s="492"/>
      <c r="AK140" s="492"/>
      <c r="AL140" s="492"/>
      <c r="AM140" s="492"/>
      <c r="AN140" s="492"/>
      <c r="AO140" s="492"/>
      <c r="AP140" s="492"/>
      <c r="AQ140" s="492"/>
      <c r="AR140" s="492"/>
      <c r="AS140" s="492"/>
      <c r="AT140" s="492"/>
      <c r="AU140" s="492"/>
      <c r="AV140" s="492"/>
      <c r="AW140" s="492"/>
      <c r="AX140" s="492"/>
      <c r="AY140" s="492"/>
      <c r="AZ140" s="492"/>
      <c r="BA140" s="492"/>
      <c r="BB140" s="492"/>
      <c r="BC140" s="492"/>
      <c r="BD140" s="492"/>
      <c r="BE140" s="492"/>
      <c r="BF140" s="2783"/>
    </row>
    <row r="141" spans="1:58" s="2" customFormat="1" ht="18" customHeight="1">
      <c r="A141" s="64"/>
      <c r="B141" s="22"/>
      <c r="C141" s="22"/>
      <c r="D141" s="1339" t="s">
        <v>581</v>
      </c>
      <c r="E141" s="1027"/>
      <c r="F141" s="1027"/>
      <c r="G141" s="1028"/>
      <c r="H141" s="1029">
        <f t="shared" ref="H141:I143" si="7">H142</f>
        <v>10000</v>
      </c>
      <c r="I141" s="1029">
        <f t="shared" si="7"/>
        <v>9200</v>
      </c>
      <c r="J141" s="826">
        <f t="shared" ref="J141:J142" si="8">H141-I141</f>
        <v>800</v>
      </c>
      <c r="K141" s="684"/>
      <c r="L141" s="1030"/>
      <c r="M141" s="680"/>
      <c r="N141" s="1823"/>
      <c r="O141" s="3"/>
      <c r="P141" s="68"/>
      <c r="Q141" s="1023"/>
      <c r="R141" s="1023"/>
      <c r="S141" s="1023"/>
      <c r="T141" s="1024"/>
      <c r="U141" s="1025"/>
      <c r="BF141" s="2779"/>
    </row>
    <row r="142" spans="1:58" s="2" customFormat="1" ht="18" customHeight="1">
      <c r="A142" s="64"/>
      <c r="B142" s="22"/>
      <c r="C142" s="832"/>
      <c r="D142" s="1032"/>
      <c r="E142" s="1026" t="s">
        <v>855</v>
      </c>
      <c r="F142" s="1027"/>
      <c r="G142" s="1028"/>
      <c r="H142" s="825">
        <f t="shared" si="7"/>
        <v>10000</v>
      </c>
      <c r="I142" s="825">
        <f t="shared" si="7"/>
        <v>9200</v>
      </c>
      <c r="J142" s="826">
        <f t="shared" si="8"/>
        <v>800</v>
      </c>
      <c r="K142" s="728"/>
      <c r="L142" s="827"/>
      <c r="M142" s="694">
        <f>M362+M710+M717+M720+M775</f>
        <v>0</v>
      </c>
      <c r="N142" s="1823"/>
      <c r="O142" s="3"/>
      <c r="P142" s="68"/>
      <c r="Q142" s="1023"/>
      <c r="R142" s="1023"/>
      <c r="S142" s="1023"/>
      <c r="T142" s="76"/>
      <c r="U142" s="1025"/>
      <c r="BF142" s="2779"/>
    </row>
    <row r="143" spans="1:58" ht="21.75" customHeight="1">
      <c r="A143" s="1468"/>
      <c r="B143" s="1469"/>
      <c r="C143" s="1455"/>
      <c r="D143" s="1459"/>
      <c r="E143" s="1459"/>
      <c r="F143" s="2984" t="s">
        <v>325</v>
      </c>
      <c r="G143" s="2986"/>
      <c r="H143" s="1462">
        <f t="shared" si="7"/>
        <v>10000</v>
      </c>
      <c r="I143" s="1462">
        <f t="shared" si="7"/>
        <v>9200</v>
      </c>
      <c r="J143" s="1344">
        <f>H143-I143</f>
        <v>800</v>
      </c>
      <c r="K143" s="1424"/>
      <c r="L143" s="1425"/>
      <c r="M143" s="1426">
        <f>M144</f>
        <v>10000</v>
      </c>
      <c r="N143" s="1421"/>
      <c r="O143" s="492"/>
      <c r="P143" s="492"/>
      <c r="Q143" s="492"/>
      <c r="R143" s="492"/>
      <c r="S143" s="492"/>
      <c r="T143" s="492"/>
      <c r="U143" s="492"/>
      <c r="V143" s="492"/>
      <c r="W143" s="492"/>
      <c r="X143" s="492"/>
      <c r="Y143" s="492"/>
      <c r="Z143" s="492"/>
      <c r="AA143" s="492"/>
      <c r="AB143" s="492"/>
      <c r="AC143" s="492"/>
      <c r="AD143" s="492"/>
      <c r="AE143" s="492"/>
      <c r="AF143" s="492"/>
      <c r="AG143" s="492"/>
      <c r="AH143" s="492"/>
      <c r="AI143" s="492"/>
      <c r="AJ143" s="492"/>
      <c r="AK143" s="492"/>
      <c r="AL143" s="492"/>
      <c r="AM143" s="492"/>
      <c r="AN143" s="492"/>
      <c r="AO143" s="492"/>
      <c r="AP143" s="492"/>
      <c r="AQ143" s="492"/>
      <c r="AR143" s="492"/>
      <c r="AS143" s="492"/>
      <c r="AT143" s="492"/>
      <c r="AU143" s="492"/>
      <c r="AV143" s="492"/>
      <c r="AW143" s="492"/>
      <c r="AX143" s="492"/>
      <c r="AY143" s="492"/>
      <c r="AZ143" s="492"/>
      <c r="BA143" s="492"/>
      <c r="BB143" s="492"/>
      <c r="BC143" s="492"/>
      <c r="BD143" s="492"/>
      <c r="BE143" s="492"/>
      <c r="BF143" s="2783"/>
    </row>
    <row r="144" spans="1:58" ht="21.75" customHeight="1">
      <c r="A144" s="1475"/>
      <c r="B144" s="1469"/>
      <c r="C144" s="1455"/>
      <c r="D144" s="1455"/>
      <c r="E144" s="1455"/>
      <c r="F144" s="1478"/>
      <c r="G144" s="1457" t="s">
        <v>326</v>
      </c>
      <c r="H144" s="310">
        <f>M144</f>
        <v>10000</v>
      </c>
      <c r="I144" s="310">
        <v>9200</v>
      </c>
      <c r="J144" s="1428">
        <f>H144-I144</f>
        <v>800</v>
      </c>
      <c r="K144" s="1447" t="s">
        <v>337</v>
      </c>
      <c r="L144" s="1448"/>
      <c r="M144" s="1431">
        <f>M145</f>
        <v>10000</v>
      </c>
      <c r="N144" s="1421"/>
      <c r="O144" s="492"/>
      <c r="P144" s="492"/>
      <c r="Q144" s="492"/>
      <c r="R144" s="492"/>
      <c r="S144" s="492"/>
      <c r="T144" s="492"/>
      <c r="U144" s="492"/>
      <c r="V144" s="492"/>
      <c r="W144" s="492"/>
      <c r="X144" s="492"/>
      <c r="Y144" s="492"/>
      <c r="Z144" s="492"/>
      <c r="AA144" s="492"/>
      <c r="AB144" s="492"/>
      <c r="AC144" s="492"/>
      <c r="AD144" s="492"/>
      <c r="AE144" s="492"/>
      <c r="AF144" s="492"/>
      <c r="AG144" s="492"/>
      <c r="AH144" s="492"/>
      <c r="AI144" s="492"/>
      <c r="AJ144" s="492"/>
      <c r="AK144" s="492"/>
      <c r="AL144" s="492"/>
      <c r="AM144" s="492"/>
      <c r="AN144" s="492"/>
      <c r="AO144" s="492"/>
      <c r="AP144" s="492"/>
      <c r="AQ144" s="492"/>
      <c r="AR144" s="492"/>
      <c r="AS144" s="492"/>
      <c r="AT144" s="492"/>
      <c r="AU144" s="492"/>
      <c r="AV144" s="492"/>
      <c r="AW144" s="492"/>
      <c r="AX144" s="492"/>
      <c r="AY144" s="492"/>
      <c r="AZ144" s="492"/>
      <c r="BA144" s="492"/>
      <c r="BB144" s="492"/>
      <c r="BC144" s="492"/>
      <c r="BD144" s="492"/>
      <c r="BE144" s="492"/>
      <c r="BF144" s="2783"/>
    </row>
    <row r="145" spans="1:58" ht="21.75" customHeight="1">
      <c r="A145" s="1468"/>
      <c r="B145" s="1456"/>
      <c r="C145" s="1455"/>
      <c r="D145" s="1459"/>
      <c r="E145" s="1459"/>
      <c r="F145" s="1459"/>
      <c r="G145" s="1836"/>
      <c r="H145" s="1467"/>
      <c r="I145" s="1467"/>
      <c r="J145" s="1434"/>
      <c r="K145" s="1429" t="s">
        <v>1598</v>
      </c>
      <c r="L145" s="1435" t="s">
        <v>6</v>
      </c>
      <c r="M145" s="1436">
        <v>10000</v>
      </c>
      <c r="N145" s="1421"/>
      <c r="O145" s="492"/>
      <c r="P145" s="492"/>
      <c r="Q145" s="492"/>
      <c r="R145" s="492"/>
      <c r="S145" s="492"/>
      <c r="T145" s="492"/>
      <c r="U145" s="492"/>
      <c r="V145" s="492"/>
      <c r="W145" s="492"/>
      <c r="X145" s="492"/>
      <c r="Y145" s="492"/>
      <c r="Z145" s="492"/>
      <c r="AA145" s="492"/>
      <c r="AB145" s="492"/>
      <c r="AC145" s="492"/>
      <c r="AD145" s="492"/>
      <c r="AE145" s="492"/>
      <c r="AF145" s="492"/>
      <c r="AG145" s="492"/>
      <c r="AH145" s="492"/>
      <c r="AI145" s="492"/>
      <c r="AJ145" s="492"/>
      <c r="AK145" s="492"/>
      <c r="AL145" s="492"/>
      <c r="AM145" s="492"/>
      <c r="AN145" s="492"/>
      <c r="AO145" s="492"/>
      <c r="AP145" s="492"/>
      <c r="AQ145" s="492"/>
      <c r="AR145" s="492"/>
      <c r="AS145" s="492"/>
      <c r="AT145" s="492"/>
      <c r="AU145" s="492"/>
      <c r="AV145" s="492"/>
      <c r="AW145" s="492"/>
      <c r="AX145" s="492"/>
      <c r="AY145" s="492"/>
      <c r="AZ145" s="492"/>
      <c r="BA145" s="492"/>
      <c r="BB145" s="492"/>
      <c r="BC145" s="492"/>
      <c r="BD145" s="492"/>
      <c r="BE145" s="492"/>
      <c r="BF145" s="2783"/>
    </row>
    <row r="146" spans="1:58" s="2" customFormat="1" ht="21.75" customHeight="1">
      <c r="A146" s="64"/>
      <c r="B146" s="22"/>
      <c r="C146" s="1339" t="s">
        <v>912</v>
      </c>
      <c r="D146" s="1027"/>
      <c r="E146" s="1027"/>
      <c r="F146" s="1027"/>
      <c r="G146" s="1028"/>
      <c r="H146" s="825">
        <f>H147+H204</f>
        <v>297674</v>
      </c>
      <c r="I146" s="825">
        <f>I147+I204</f>
        <v>299424</v>
      </c>
      <c r="J146" s="826">
        <f t="shared" ref="J146:J148" si="9">H146-I146</f>
        <v>-1750</v>
      </c>
      <c r="K146" s="1119"/>
      <c r="L146" s="1056"/>
      <c r="M146" s="1057"/>
      <c r="N146" s="2978"/>
      <c r="O146" s="2979"/>
      <c r="P146" s="2979"/>
      <c r="Q146" s="2979"/>
      <c r="R146" s="2979"/>
      <c r="S146" s="2979"/>
      <c r="T146" s="2979"/>
      <c r="U146" s="2979"/>
      <c r="BF146" s="2779"/>
    </row>
    <row r="147" spans="1:58" s="2" customFormat="1" ht="21.75" customHeight="1">
      <c r="A147" s="64"/>
      <c r="B147" s="22"/>
      <c r="C147" s="25"/>
      <c r="D147" s="1339" t="s">
        <v>580</v>
      </c>
      <c r="E147" s="1027"/>
      <c r="F147" s="1027"/>
      <c r="G147" s="1028"/>
      <c r="H147" s="1029">
        <f>H148+H158</f>
        <v>273218</v>
      </c>
      <c r="I147" s="1029">
        <f>I148+I158</f>
        <v>268752</v>
      </c>
      <c r="J147" s="51">
        <f t="shared" si="9"/>
        <v>4466</v>
      </c>
      <c r="K147" s="684"/>
      <c r="L147" s="1030"/>
      <c r="M147" s="680"/>
      <c r="N147" s="1823"/>
      <c r="O147" s="3"/>
      <c r="P147" s="68"/>
      <c r="Q147" s="1023"/>
      <c r="R147" s="1023"/>
      <c r="S147" s="1023"/>
      <c r="T147" s="1024"/>
      <c r="U147" s="1025"/>
      <c r="BF147" s="2779"/>
    </row>
    <row r="148" spans="1:58" s="2" customFormat="1" ht="21.75" customHeight="1">
      <c r="A148" s="64"/>
      <c r="B148" s="22"/>
      <c r="C148" s="832"/>
      <c r="D148" s="1032"/>
      <c r="E148" s="1027" t="s">
        <v>854</v>
      </c>
      <c r="F148" s="1027"/>
      <c r="G148" s="1028"/>
      <c r="H148" s="825">
        <f>H149</f>
        <v>67696</v>
      </c>
      <c r="I148" s="825">
        <f>I149</f>
        <v>64392</v>
      </c>
      <c r="J148" s="826">
        <f t="shared" si="9"/>
        <v>3304</v>
      </c>
      <c r="K148" s="728"/>
      <c r="L148" s="827"/>
      <c r="M148" s="694">
        <f>M149+M574+M581+M584+M639</f>
        <v>67696</v>
      </c>
      <c r="N148" s="1823"/>
      <c r="O148" s="3"/>
      <c r="P148" s="68"/>
      <c r="Q148" s="1023"/>
      <c r="R148" s="1023"/>
      <c r="S148" s="1023"/>
      <c r="T148" s="76"/>
      <c r="U148" s="1025"/>
      <c r="BF148" s="2779"/>
    </row>
    <row r="149" spans="1:58" s="1493" customFormat="1" ht="21.75" customHeight="1">
      <c r="A149" s="295"/>
      <c r="B149" s="1352"/>
      <c r="C149" s="1352"/>
      <c r="D149" s="1352"/>
      <c r="E149" s="496"/>
      <c r="F149" s="1487" t="s">
        <v>945</v>
      </c>
      <c r="G149" s="1488"/>
      <c r="H149" s="1489">
        <f>H150</f>
        <v>67696</v>
      </c>
      <c r="I149" s="1489">
        <f>I150</f>
        <v>64392</v>
      </c>
      <c r="J149" s="913">
        <f>H149-I149</f>
        <v>3304</v>
      </c>
      <c r="K149" s="1490"/>
      <c r="L149" s="1491"/>
      <c r="M149" s="1492">
        <f>H149</f>
        <v>67696</v>
      </c>
      <c r="N149" s="1837"/>
      <c r="O149" s="494"/>
      <c r="P149" s="495"/>
      <c r="Q149" s="495"/>
      <c r="R149" s="495"/>
      <c r="S149" s="495"/>
      <c r="T149" s="495"/>
      <c r="U149" s="495"/>
      <c r="V149" s="495"/>
      <c r="W149" s="495"/>
      <c r="X149" s="495"/>
      <c r="Y149" s="495"/>
      <c r="Z149" s="495"/>
      <c r="AA149" s="495"/>
      <c r="AB149" s="495"/>
      <c r="AC149" s="495"/>
      <c r="AD149" s="495"/>
      <c r="AE149" s="495"/>
      <c r="AF149" s="495"/>
      <c r="AG149" s="495"/>
      <c r="AH149" s="495"/>
      <c r="AI149" s="495"/>
      <c r="AJ149" s="495"/>
      <c r="AK149" s="495"/>
      <c r="AL149" s="495"/>
      <c r="AM149" s="495"/>
      <c r="AN149" s="495"/>
      <c r="AO149" s="495"/>
      <c r="AP149" s="495"/>
      <c r="AQ149" s="495"/>
      <c r="AR149" s="495"/>
      <c r="AS149" s="495"/>
      <c r="AT149" s="495"/>
      <c r="AU149" s="495"/>
      <c r="AV149" s="495"/>
      <c r="AW149" s="495"/>
      <c r="AX149" s="495"/>
      <c r="AY149" s="495"/>
      <c r="AZ149" s="495"/>
      <c r="BA149" s="495"/>
      <c r="BB149" s="495"/>
      <c r="BC149" s="495"/>
      <c r="BD149" s="495"/>
      <c r="BE149" s="495"/>
      <c r="BF149" s="2781"/>
    </row>
    <row r="150" spans="1:58" ht="21.75" customHeight="1">
      <c r="A150" s="295"/>
      <c r="B150" s="1352"/>
      <c r="C150" s="1352"/>
      <c r="D150" s="1486"/>
      <c r="E150" s="1486"/>
      <c r="F150" s="1352"/>
      <c r="G150" s="1494" t="s">
        <v>923</v>
      </c>
      <c r="H150" s="1495">
        <f>M150</f>
        <v>67696</v>
      </c>
      <c r="I150" s="1495">
        <v>64392</v>
      </c>
      <c r="J150" s="912">
        <f>H150-I150</f>
        <v>3304</v>
      </c>
      <c r="K150" s="1496" t="s">
        <v>1599</v>
      </c>
      <c r="L150" s="1497"/>
      <c r="M150" s="1498">
        <f>M151+M156</f>
        <v>67696</v>
      </c>
      <c r="N150" s="2673"/>
      <c r="O150" s="2673"/>
      <c r="P150" s="2673">
        <v>9160</v>
      </c>
      <c r="Q150" s="2673">
        <v>8</v>
      </c>
      <c r="R150" s="2673">
        <f>P150*Q150</f>
        <v>73280</v>
      </c>
      <c r="S150" s="2673"/>
      <c r="T150" s="2673"/>
      <c r="U150" s="2673"/>
      <c r="V150" s="1656"/>
      <c r="W150" s="1656"/>
      <c r="X150" s="1656"/>
      <c r="Y150" s="496"/>
      <c r="Z150" s="496"/>
      <c r="AA150" s="496"/>
      <c r="AB150" s="496"/>
      <c r="AC150" s="496"/>
      <c r="AD150" s="496"/>
      <c r="AE150" s="496"/>
      <c r="AF150" s="496"/>
      <c r="AG150" s="496"/>
      <c r="AH150" s="496"/>
      <c r="AI150" s="496"/>
      <c r="AJ150" s="496"/>
      <c r="AK150" s="496"/>
      <c r="AL150" s="496"/>
      <c r="AM150" s="496"/>
      <c r="AN150" s="496"/>
      <c r="AO150" s="496"/>
      <c r="AP150" s="496"/>
      <c r="AQ150" s="496"/>
      <c r="AR150" s="496"/>
      <c r="AS150" s="496"/>
      <c r="AT150" s="496"/>
      <c r="AU150" s="496"/>
      <c r="AV150" s="496"/>
      <c r="AW150" s="496"/>
      <c r="AX150" s="496"/>
      <c r="AY150" s="496"/>
      <c r="AZ150" s="496"/>
      <c r="BA150" s="496"/>
      <c r="BB150" s="496"/>
      <c r="BC150" s="496"/>
      <c r="BD150" s="496"/>
      <c r="BE150" s="496"/>
      <c r="BF150" s="2782"/>
    </row>
    <row r="151" spans="1:58" ht="21.75" customHeight="1">
      <c r="A151" s="295"/>
      <c r="B151" s="1352"/>
      <c r="C151" s="1352"/>
      <c r="D151" s="1486"/>
      <c r="E151" s="1486"/>
      <c r="F151" s="1499"/>
      <c r="G151" s="1499"/>
      <c r="H151" s="1065"/>
      <c r="I151" s="1065"/>
      <c r="J151" s="1500"/>
      <c r="K151" s="1839" t="s">
        <v>1600</v>
      </c>
      <c r="L151" s="2677"/>
      <c r="M151" s="1502">
        <f>M152+M153+M154+M155</f>
        <v>62421</v>
      </c>
      <c r="N151" s="2720"/>
      <c r="O151" s="2720"/>
      <c r="P151" s="2720"/>
      <c r="Q151" s="2720"/>
      <c r="R151" s="2720"/>
      <c r="S151" s="2720"/>
      <c r="T151" s="2720"/>
      <c r="U151" s="2720"/>
      <c r="V151" s="1656"/>
      <c r="W151" s="1656"/>
      <c r="X151" s="1656"/>
      <c r="Y151" s="496"/>
      <c r="Z151" s="496"/>
      <c r="AA151" s="496"/>
      <c r="AB151" s="496"/>
      <c r="AC151" s="496"/>
      <c r="AD151" s="496"/>
      <c r="AE151" s="496"/>
      <c r="AF151" s="496"/>
      <c r="AG151" s="496"/>
      <c r="AH151" s="496"/>
      <c r="AI151" s="496"/>
      <c r="AJ151" s="496"/>
      <c r="AK151" s="496"/>
      <c r="AL151" s="496"/>
      <c r="AM151" s="496"/>
      <c r="AN151" s="496"/>
      <c r="AO151" s="496"/>
      <c r="AP151" s="496"/>
      <c r="AQ151" s="496"/>
      <c r="AR151" s="496"/>
      <c r="AS151" s="496"/>
      <c r="AT151" s="496"/>
      <c r="AU151" s="496"/>
      <c r="AV151" s="496"/>
      <c r="AW151" s="496"/>
      <c r="AX151" s="496"/>
      <c r="AY151" s="496"/>
      <c r="AZ151" s="496"/>
      <c r="BA151" s="496"/>
      <c r="BB151" s="496"/>
      <c r="BC151" s="496"/>
      <c r="BD151" s="496"/>
      <c r="BE151" s="496"/>
      <c r="BF151" s="2782"/>
    </row>
    <row r="152" spans="1:58" ht="21.75" customHeight="1">
      <c r="A152" s="295"/>
      <c r="B152" s="1352"/>
      <c r="C152" s="1352"/>
      <c r="D152" s="1486"/>
      <c r="E152" s="1486"/>
      <c r="F152" s="1352"/>
      <c r="G152" s="1352"/>
      <c r="H152" s="1065"/>
      <c r="I152" s="1065"/>
      <c r="J152" s="1500"/>
      <c r="K152" s="1840" t="s">
        <v>2378</v>
      </c>
      <c r="L152" s="1501" t="s">
        <v>6</v>
      </c>
      <c r="M152" s="1592">
        <v>45718</v>
      </c>
      <c r="N152" s="2720">
        <f>87920*2*5*52</f>
        <v>45718400</v>
      </c>
      <c r="O152" s="2720">
        <v>85860</v>
      </c>
      <c r="P152" s="2720">
        <v>5</v>
      </c>
      <c r="Q152" s="2720">
        <v>2</v>
      </c>
      <c r="R152" s="2720">
        <v>52</v>
      </c>
      <c r="S152" s="2720">
        <f>O152*P152*Q152*R152</f>
        <v>44647200</v>
      </c>
      <c r="T152" s="2720"/>
      <c r="U152" s="2720"/>
      <c r="V152" s="1656"/>
      <c r="W152" s="1656"/>
      <c r="X152" s="1656"/>
      <c r="Y152" s="496"/>
      <c r="Z152" s="496"/>
      <c r="AA152" s="496"/>
      <c r="AB152" s="496"/>
      <c r="AC152" s="496"/>
      <c r="AD152" s="496"/>
      <c r="AE152" s="496"/>
      <c r="AF152" s="496"/>
      <c r="AG152" s="496"/>
      <c r="AH152" s="496"/>
      <c r="AI152" s="496"/>
      <c r="AJ152" s="496"/>
      <c r="AK152" s="496"/>
      <c r="AL152" s="496"/>
      <c r="AM152" s="496"/>
      <c r="AN152" s="496"/>
      <c r="AO152" s="496"/>
      <c r="AP152" s="496"/>
      <c r="AQ152" s="496"/>
      <c r="AR152" s="496"/>
      <c r="AS152" s="496"/>
      <c r="AT152" s="496"/>
      <c r="AU152" s="496"/>
      <c r="AV152" s="496"/>
      <c r="AW152" s="496"/>
      <c r="AX152" s="496"/>
      <c r="AY152" s="496"/>
      <c r="AZ152" s="496"/>
      <c r="BA152" s="496"/>
      <c r="BB152" s="496"/>
      <c r="BC152" s="496"/>
      <c r="BD152" s="496"/>
      <c r="BE152" s="496"/>
      <c r="BF152" s="2782"/>
    </row>
    <row r="153" spans="1:58" ht="21.75" customHeight="1">
      <c r="A153" s="295"/>
      <c r="B153" s="1352"/>
      <c r="C153" s="1352"/>
      <c r="D153" s="1486"/>
      <c r="E153" s="1486"/>
      <c r="F153" s="1352"/>
      <c r="G153" s="1352"/>
      <c r="H153" s="1065"/>
      <c r="I153" s="1065"/>
      <c r="J153" s="1500"/>
      <c r="K153" s="1840" t="s">
        <v>2379</v>
      </c>
      <c r="L153" s="1501" t="s">
        <v>6</v>
      </c>
      <c r="M153" s="1592">
        <v>9143</v>
      </c>
      <c r="N153" s="2720">
        <f>87920*2*52</f>
        <v>9143680</v>
      </c>
      <c r="O153" s="2720">
        <v>85860</v>
      </c>
      <c r="P153" s="2720">
        <v>2</v>
      </c>
      <c r="Q153" s="2720">
        <v>52</v>
      </c>
      <c r="R153" s="2720"/>
      <c r="S153" s="2720">
        <f>O153*P153*Q153</f>
        <v>8929440</v>
      </c>
      <c r="T153" s="2720"/>
      <c r="U153" s="2720"/>
      <c r="V153" s="1656"/>
      <c r="W153" s="1656"/>
      <c r="X153" s="1656"/>
      <c r="Y153" s="496"/>
      <c r="Z153" s="496"/>
      <c r="AA153" s="496"/>
      <c r="AB153" s="496"/>
      <c r="AC153" s="496"/>
      <c r="AD153" s="496"/>
      <c r="AE153" s="496"/>
      <c r="AF153" s="496"/>
      <c r="AG153" s="496"/>
      <c r="AH153" s="496"/>
      <c r="AI153" s="496"/>
      <c r="AJ153" s="496"/>
      <c r="AK153" s="496"/>
      <c r="AL153" s="496"/>
      <c r="AM153" s="496"/>
      <c r="AN153" s="496"/>
      <c r="AO153" s="496"/>
      <c r="AP153" s="496"/>
      <c r="AQ153" s="496"/>
      <c r="AR153" s="496"/>
      <c r="AS153" s="496"/>
      <c r="AT153" s="496"/>
      <c r="AU153" s="496"/>
      <c r="AV153" s="496"/>
      <c r="AW153" s="496"/>
      <c r="AX153" s="496"/>
      <c r="AY153" s="496"/>
      <c r="AZ153" s="496"/>
      <c r="BA153" s="496"/>
      <c r="BB153" s="496"/>
      <c r="BC153" s="496"/>
      <c r="BD153" s="496"/>
      <c r="BE153" s="496"/>
      <c r="BF153" s="2782"/>
    </row>
    <row r="154" spans="1:58" ht="21.75" customHeight="1">
      <c r="A154" s="295"/>
      <c r="B154" s="1352"/>
      <c r="C154" s="1352"/>
      <c r="D154" s="1486"/>
      <c r="E154" s="1486"/>
      <c r="F154" s="1352"/>
      <c r="G154" s="1352"/>
      <c r="H154" s="1065"/>
      <c r="I154" s="1065"/>
      <c r="J154" s="1500"/>
      <c r="K154" s="1840" t="s">
        <v>2380</v>
      </c>
      <c r="L154" s="1501" t="s">
        <v>6</v>
      </c>
      <c r="M154" s="1592">
        <v>5802</v>
      </c>
      <c r="N154" s="2720">
        <f>87920*2*22*1.5</f>
        <v>5802720</v>
      </c>
      <c r="O154" s="2720">
        <v>85860</v>
      </c>
      <c r="P154" s="2720">
        <v>1.5</v>
      </c>
      <c r="Q154" s="2720">
        <v>2</v>
      </c>
      <c r="R154" s="2720">
        <v>12</v>
      </c>
      <c r="S154" s="2720">
        <f>O154*P154*Q154*R154</f>
        <v>3090960</v>
      </c>
      <c r="T154" s="2720"/>
      <c r="U154" s="2720">
        <v>76960</v>
      </c>
      <c r="V154" s="1656"/>
      <c r="W154" s="1656"/>
      <c r="X154" s="1656"/>
      <c r="Y154" s="496"/>
      <c r="Z154" s="496"/>
      <c r="AA154" s="496"/>
      <c r="AB154" s="496"/>
      <c r="AC154" s="496"/>
      <c r="AD154" s="496"/>
      <c r="AE154" s="496"/>
      <c r="AF154" s="496"/>
      <c r="AG154" s="496"/>
      <c r="AH154" s="496"/>
      <c r="AI154" s="496"/>
      <c r="AJ154" s="496"/>
      <c r="AK154" s="496"/>
      <c r="AL154" s="496"/>
      <c r="AM154" s="496"/>
      <c r="AN154" s="496"/>
      <c r="AO154" s="496"/>
      <c r="AP154" s="496"/>
      <c r="AQ154" s="496"/>
      <c r="AR154" s="496"/>
      <c r="AS154" s="496"/>
      <c r="AT154" s="496"/>
      <c r="AU154" s="496"/>
      <c r="AV154" s="496"/>
      <c r="AW154" s="496"/>
      <c r="AX154" s="496"/>
      <c r="AY154" s="496"/>
      <c r="AZ154" s="496"/>
      <c r="BA154" s="496"/>
      <c r="BB154" s="496"/>
      <c r="BC154" s="496"/>
      <c r="BD154" s="496"/>
      <c r="BE154" s="496"/>
      <c r="BF154" s="2782"/>
    </row>
    <row r="155" spans="1:58" s="496" customFormat="1" ht="21.75" customHeight="1">
      <c r="A155" s="295"/>
      <c r="B155" s="1352"/>
      <c r="C155" s="1352"/>
      <c r="D155" s="1486"/>
      <c r="E155" s="1486"/>
      <c r="F155" s="1352"/>
      <c r="G155" s="1352"/>
      <c r="H155" s="1065"/>
      <c r="I155" s="1065"/>
      <c r="J155" s="1500"/>
      <c r="K155" s="1840" t="s">
        <v>2381</v>
      </c>
      <c r="L155" s="1501" t="s">
        <v>6</v>
      </c>
      <c r="M155" s="1592">
        <v>1758</v>
      </c>
      <c r="N155" s="2720">
        <f>87920*2*10</f>
        <v>1758400</v>
      </c>
      <c r="O155" s="2720">
        <v>85860</v>
      </c>
      <c r="P155" s="2720">
        <v>2</v>
      </c>
      <c r="Q155" s="2720">
        <v>5</v>
      </c>
      <c r="R155" s="2720"/>
      <c r="S155" s="2720">
        <f>O155*P155*Q155</f>
        <v>858600</v>
      </c>
      <c r="T155" s="2720"/>
      <c r="U155" s="2720"/>
      <c r="V155" s="1656"/>
      <c r="W155" s="1656"/>
      <c r="X155" s="1656"/>
      <c r="BF155" s="2782"/>
    </row>
    <row r="156" spans="1:58" ht="21.75" customHeight="1">
      <c r="A156" s="295"/>
      <c r="B156" s="1352"/>
      <c r="C156" s="1352"/>
      <c r="D156" s="1486"/>
      <c r="E156" s="1486"/>
      <c r="F156" s="1499"/>
      <c r="G156" s="1499"/>
      <c r="H156" s="1065"/>
      <c r="I156" s="1065"/>
      <c r="J156" s="1500"/>
      <c r="K156" s="1839" t="s">
        <v>1601</v>
      </c>
      <c r="L156" s="1503"/>
      <c r="M156" s="1502">
        <f>M157</f>
        <v>5275</v>
      </c>
      <c r="N156" s="2720"/>
      <c r="O156" s="2720"/>
      <c r="P156" s="2720"/>
      <c r="Q156" s="2720"/>
      <c r="R156" s="2720"/>
      <c r="S156" s="2720"/>
      <c r="T156" s="2720"/>
      <c r="U156" s="2720"/>
      <c r="V156" s="1631"/>
      <c r="W156" s="1631"/>
      <c r="X156" s="1631"/>
    </row>
    <row r="157" spans="1:58" ht="21.75" customHeight="1">
      <c r="A157" s="295"/>
      <c r="B157" s="1352"/>
      <c r="C157" s="1352"/>
      <c r="D157" s="1352"/>
      <c r="E157" s="1486"/>
      <c r="F157" s="1499"/>
      <c r="G157" s="1504"/>
      <c r="H157" s="1065"/>
      <c r="I157" s="1065"/>
      <c r="J157" s="1500"/>
      <c r="K157" s="1841" t="s">
        <v>2382</v>
      </c>
      <c r="L157" s="1503" t="s">
        <v>6</v>
      </c>
      <c r="M157" s="1592">
        <v>5275</v>
      </c>
      <c r="N157" s="2720">
        <f>87920*2*5*8</f>
        <v>7033600</v>
      </c>
      <c r="O157" s="2720">
        <v>85860</v>
      </c>
      <c r="P157" s="2720">
        <v>2</v>
      </c>
      <c r="Q157" s="2720">
        <v>5</v>
      </c>
      <c r="R157" s="2720">
        <v>8</v>
      </c>
      <c r="S157" s="2720">
        <f>O157*P157*Q157*R157</f>
        <v>6868800</v>
      </c>
      <c r="T157" s="2720"/>
      <c r="U157" s="2720"/>
      <c r="V157" s="1631"/>
      <c r="W157" s="1631"/>
      <c r="X157" s="1631"/>
    </row>
    <row r="158" spans="1:58" s="2" customFormat="1" ht="21.75" customHeight="1">
      <c r="A158" s="64"/>
      <c r="B158" s="22"/>
      <c r="C158" s="832"/>
      <c r="D158" s="832"/>
      <c r="E158" s="1026" t="s">
        <v>855</v>
      </c>
      <c r="F158" s="1027"/>
      <c r="G158" s="1028"/>
      <c r="H158" s="825">
        <f>H159+H197+H201</f>
        <v>205522</v>
      </c>
      <c r="I158" s="825">
        <f>I159+I197+I201</f>
        <v>204360</v>
      </c>
      <c r="J158" s="826">
        <f>H158-I158</f>
        <v>1162</v>
      </c>
      <c r="K158" s="728"/>
      <c r="L158" s="827"/>
      <c r="M158" s="694">
        <f>M159+M584+M591+M594+M649</f>
        <v>0</v>
      </c>
      <c r="N158" s="1838"/>
      <c r="O158" s="1838"/>
      <c r="P158" s="1838"/>
      <c r="Q158" s="1838"/>
      <c r="R158" s="1838"/>
      <c r="S158" s="1838"/>
      <c r="T158" s="1838"/>
      <c r="U158" s="1838"/>
      <c r="BF158" s="2779"/>
    </row>
    <row r="159" spans="1:58" s="1493" customFormat="1" ht="21.75" customHeight="1">
      <c r="A159" s="295"/>
      <c r="B159" s="1352"/>
      <c r="C159" s="1352"/>
      <c r="D159" s="1505"/>
      <c r="E159" s="1505"/>
      <c r="F159" s="1506" t="s">
        <v>327</v>
      </c>
      <c r="G159" s="1507"/>
      <c r="H159" s="937">
        <f>H160+H168+H170+H178+H185+H190+H195</f>
        <v>199952</v>
      </c>
      <c r="I159" s="937">
        <f>I160+I178+I185+I190+I195+I170+I168</f>
        <v>198790</v>
      </c>
      <c r="J159" s="913">
        <f>H159-I159</f>
        <v>1162</v>
      </c>
      <c r="K159" s="1508"/>
      <c r="L159" s="1509"/>
      <c r="M159" s="1510"/>
      <c r="N159" s="1838"/>
      <c r="O159" s="1838"/>
      <c r="P159" s="1838">
        <v>9640</v>
      </c>
      <c r="Q159" s="1838">
        <v>8720</v>
      </c>
      <c r="R159" s="1838">
        <f>P159-Q159</f>
        <v>920</v>
      </c>
      <c r="S159" s="1838">
        <v>8</v>
      </c>
      <c r="T159" s="1838">
        <f>R159*S159</f>
        <v>7360</v>
      </c>
      <c r="U159" s="1838"/>
      <c r="V159" s="494"/>
      <c r="W159" s="494"/>
      <c r="X159" s="494"/>
      <c r="Y159" s="494"/>
      <c r="Z159" s="494"/>
      <c r="AA159" s="494"/>
      <c r="AB159" s="494"/>
      <c r="AC159" s="494"/>
      <c r="AD159" s="494"/>
      <c r="AE159" s="494"/>
      <c r="AF159" s="494"/>
      <c r="AG159" s="494"/>
      <c r="AH159" s="494"/>
      <c r="AI159" s="494"/>
      <c r="AJ159" s="494"/>
      <c r="AK159" s="494"/>
      <c r="AL159" s="494"/>
      <c r="AM159" s="494"/>
      <c r="AN159" s="494"/>
      <c r="AO159" s="494"/>
      <c r="AP159" s="494"/>
      <c r="AQ159" s="494"/>
      <c r="AR159" s="494"/>
      <c r="AS159" s="494"/>
      <c r="AT159" s="494"/>
      <c r="AU159" s="494"/>
      <c r="AV159" s="494"/>
      <c r="AW159" s="494"/>
      <c r="AX159" s="494"/>
      <c r="AY159" s="494"/>
      <c r="AZ159" s="494"/>
      <c r="BA159" s="494"/>
      <c r="BB159" s="494"/>
      <c r="BC159" s="494"/>
      <c r="BD159" s="494"/>
      <c r="BE159" s="494"/>
      <c r="BF159" s="2778"/>
    </row>
    <row r="160" spans="1:58" ht="21.75" customHeight="1">
      <c r="A160" s="295"/>
      <c r="B160" s="1352"/>
      <c r="C160" s="1352"/>
      <c r="D160" s="1352"/>
      <c r="E160" s="1352"/>
      <c r="F160" s="1499"/>
      <c r="G160" s="1499" t="s">
        <v>328</v>
      </c>
      <c r="H160" s="1511">
        <f>M160</f>
        <v>27762</v>
      </c>
      <c r="I160" s="1511">
        <v>38145</v>
      </c>
      <c r="J160" s="1512">
        <f>H160-I160</f>
        <v>-10383</v>
      </c>
      <c r="K160" s="1513" t="s">
        <v>328</v>
      </c>
      <c r="L160" s="1514"/>
      <c r="M160" s="1515">
        <f>SUM(M161:M167)</f>
        <v>27762</v>
      </c>
      <c r="N160" s="1838"/>
      <c r="O160" s="1838"/>
      <c r="P160" s="1838">
        <v>0.05</v>
      </c>
      <c r="Q160" s="1838">
        <v>9160</v>
      </c>
      <c r="R160" s="1838"/>
      <c r="S160" s="1838"/>
      <c r="T160" s="1838"/>
      <c r="U160" s="1838"/>
    </row>
    <row r="161" spans="1:38" ht="21.75" customHeight="1">
      <c r="A161" s="295"/>
      <c r="B161" s="1352"/>
      <c r="C161" s="1352"/>
      <c r="D161" s="1352"/>
      <c r="E161" s="1352"/>
      <c r="F161" s="1499"/>
      <c r="G161" s="1499"/>
      <c r="H161" s="940"/>
      <c r="I161" s="938"/>
      <c r="J161" s="1517"/>
      <c r="K161" s="1518" t="s">
        <v>1602</v>
      </c>
      <c r="L161" s="1503" t="s">
        <v>6</v>
      </c>
      <c r="M161" s="1519">
        <v>6000</v>
      </c>
      <c r="N161" s="2720">
        <f>2000*3000</f>
        <v>6000000</v>
      </c>
      <c r="O161" s="2720"/>
      <c r="P161" s="2720">
        <f>P159+P162</f>
        <v>10122</v>
      </c>
      <c r="Q161" s="2720">
        <v>5.0999999999999997E-2</v>
      </c>
      <c r="R161" s="2720"/>
      <c r="S161" s="2720"/>
      <c r="T161" s="2720"/>
      <c r="U161" s="2720"/>
      <c r="V161" s="1631"/>
      <c r="W161" s="1631">
        <v>2000</v>
      </c>
      <c r="X161" s="1631">
        <v>3000</v>
      </c>
      <c r="Y161" s="1631"/>
      <c r="Z161" s="1631"/>
      <c r="AA161" s="1662">
        <f>W161*X161</f>
        <v>6000000</v>
      </c>
      <c r="AB161" s="1631"/>
      <c r="AC161" s="1631"/>
      <c r="AD161" s="1631"/>
      <c r="AE161" s="1631"/>
      <c r="AF161" s="1631"/>
      <c r="AG161" s="1631"/>
      <c r="AH161" s="1631"/>
      <c r="AI161" s="1631"/>
      <c r="AJ161" s="1631"/>
      <c r="AK161" s="1631"/>
      <c r="AL161" s="1631"/>
    </row>
    <row r="162" spans="1:38" ht="21.75" customHeight="1">
      <c r="A162" s="295"/>
      <c r="B162" s="1352"/>
      <c r="C162" s="1352"/>
      <c r="D162" s="1352"/>
      <c r="E162" s="1352"/>
      <c r="F162" s="1499"/>
      <c r="G162" s="1499"/>
      <c r="H162" s="940"/>
      <c r="I162" s="938"/>
      <c r="J162" s="1517"/>
      <c r="K162" s="1518" t="s">
        <v>1603</v>
      </c>
      <c r="L162" s="1503" t="s">
        <v>6</v>
      </c>
      <c r="M162" s="1519">
        <v>3960</v>
      </c>
      <c r="N162" s="2720">
        <f>1800*2200</f>
        <v>3960000</v>
      </c>
      <c r="O162" s="2720"/>
      <c r="P162" s="2720">
        <f>P159*P160</f>
        <v>482</v>
      </c>
      <c r="Q162" s="2720">
        <f>Q159*Q161</f>
        <v>444.71999999999997</v>
      </c>
      <c r="R162" s="2720"/>
      <c r="S162" s="2720"/>
      <c r="T162" s="2720"/>
      <c r="U162" s="2720"/>
      <c r="V162" s="1631"/>
      <c r="W162" s="1631">
        <v>4000</v>
      </c>
      <c r="X162" s="1631">
        <v>100</v>
      </c>
      <c r="Y162" s="1631"/>
      <c r="Z162" s="1631"/>
      <c r="AA162" s="1662">
        <f>W162*X162</f>
        <v>400000</v>
      </c>
      <c r="AB162" s="1631"/>
      <c r="AC162" s="1631"/>
      <c r="AD162" s="1631"/>
      <c r="AE162" s="1631"/>
      <c r="AF162" s="1631"/>
      <c r="AG162" s="1631"/>
      <c r="AH162" s="1631"/>
      <c r="AI162" s="1631"/>
      <c r="AJ162" s="1631"/>
      <c r="AK162" s="1631"/>
      <c r="AL162" s="1631"/>
    </row>
    <row r="163" spans="1:38" ht="21.75" customHeight="1">
      <c r="A163" s="295"/>
      <c r="B163" s="1352"/>
      <c r="C163" s="1352"/>
      <c r="D163" s="1352"/>
      <c r="E163" s="1352"/>
      <c r="F163" s="1499"/>
      <c r="G163" s="1499"/>
      <c r="H163" s="940"/>
      <c r="I163" s="938"/>
      <c r="J163" s="1517"/>
      <c r="K163" s="1518" t="s">
        <v>1604</v>
      </c>
      <c r="L163" s="1503" t="s">
        <v>6</v>
      </c>
      <c r="M163" s="1519">
        <v>3000</v>
      </c>
      <c r="N163" s="2720">
        <f>100000*1*30</f>
        <v>3000000</v>
      </c>
      <c r="O163" s="2720"/>
      <c r="P163" s="2720">
        <v>10120</v>
      </c>
      <c r="Q163" s="2720">
        <v>9160</v>
      </c>
      <c r="R163" s="2720">
        <f>P163-Q163</f>
        <v>960</v>
      </c>
      <c r="S163" s="2720">
        <v>8</v>
      </c>
      <c r="T163" s="2720">
        <f>R163*S163</f>
        <v>7680</v>
      </c>
      <c r="U163" s="2720"/>
      <c r="V163" s="1631"/>
      <c r="W163" s="1631">
        <v>1200</v>
      </c>
      <c r="X163" s="1631">
        <v>1500</v>
      </c>
      <c r="Y163" s="1631"/>
      <c r="Z163" s="1631"/>
      <c r="AA163" s="1662">
        <f>W163*X163</f>
        <v>1800000</v>
      </c>
      <c r="AB163" s="1631"/>
      <c r="AC163" s="1631"/>
      <c r="AD163" s="1631"/>
      <c r="AE163" s="1631"/>
      <c r="AF163" s="1631"/>
      <c r="AG163" s="1631"/>
      <c r="AH163" s="1631"/>
      <c r="AI163" s="1631"/>
      <c r="AJ163" s="1631"/>
      <c r="AK163" s="1631"/>
      <c r="AL163" s="1631"/>
    </row>
    <row r="164" spans="1:38" ht="21.75" customHeight="1">
      <c r="A164" s="295"/>
      <c r="B164" s="1352"/>
      <c r="C164" s="1352"/>
      <c r="D164" s="1352"/>
      <c r="E164" s="1352"/>
      <c r="F164" s="1499"/>
      <c r="G164" s="1499"/>
      <c r="H164" s="940"/>
      <c r="I164" s="938"/>
      <c r="J164" s="1517"/>
      <c r="K164" s="1518" t="s">
        <v>2429</v>
      </c>
      <c r="L164" s="1503" t="s">
        <v>6</v>
      </c>
      <c r="M164" s="1519">
        <v>1550</v>
      </c>
      <c r="N164" s="2720">
        <f>500000*4</f>
        <v>2000000</v>
      </c>
      <c r="O164" s="2720"/>
      <c r="P164" s="2720"/>
      <c r="Q164" s="2720"/>
      <c r="R164" s="2720"/>
      <c r="S164" s="2720"/>
      <c r="T164" s="2720"/>
      <c r="U164" s="2720"/>
      <c r="V164" s="1631"/>
      <c r="W164" s="1631">
        <v>120000</v>
      </c>
      <c r="X164" s="1631">
        <v>1</v>
      </c>
      <c r="Y164" s="1631">
        <v>112</v>
      </c>
      <c r="Z164" s="1631"/>
      <c r="AA164" s="1662">
        <f>W164*Y164*X164</f>
        <v>13440000</v>
      </c>
      <c r="AB164" s="1631"/>
      <c r="AC164" s="1631"/>
      <c r="AD164" s="1631"/>
      <c r="AE164" s="1631"/>
      <c r="AF164" s="1631"/>
      <c r="AG164" s="1631"/>
      <c r="AH164" s="1631"/>
      <c r="AI164" s="1631"/>
      <c r="AJ164" s="1631"/>
      <c r="AK164" s="1631"/>
      <c r="AL164" s="1631"/>
    </row>
    <row r="165" spans="1:38" ht="21.75" customHeight="1">
      <c r="A165" s="295"/>
      <c r="B165" s="1352"/>
      <c r="C165" s="1352"/>
      <c r="D165" s="1352"/>
      <c r="E165" s="1352"/>
      <c r="F165" s="1499"/>
      <c r="G165" s="1499"/>
      <c r="H165" s="940"/>
      <c r="I165" s="938"/>
      <c r="J165" s="1517"/>
      <c r="K165" s="1518" t="s">
        <v>1605</v>
      </c>
      <c r="L165" s="1503" t="s">
        <v>6</v>
      </c>
      <c r="M165" s="1519">
        <v>1200</v>
      </c>
      <c r="N165" s="2720">
        <f>200000*6</f>
        <v>1200000</v>
      </c>
      <c r="O165" s="2720"/>
      <c r="P165" s="2720">
        <v>10000</v>
      </c>
      <c r="Q165" s="2720">
        <v>4</v>
      </c>
      <c r="R165" s="2720">
        <v>25</v>
      </c>
      <c r="S165" s="2720">
        <v>10</v>
      </c>
      <c r="T165" s="2720">
        <f>P165*Q165*R165*S165</f>
        <v>10000000</v>
      </c>
      <c r="U165" s="2720"/>
      <c r="V165" s="1631"/>
      <c r="W165" s="1631">
        <v>31800</v>
      </c>
      <c r="X165" s="1631">
        <v>5</v>
      </c>
      <c r="Y165" s="1631">
        <v>12</v>
      </c>
      <c r="Z165" s="1631">
        <v>4</v>
      </c>
      <c r="AA165" s="1662">
        <f>W165*X165*Y165*Z165</f>
        <v>7632000</v>
      </c>
      <c r="AB165" s="1631"/>
      <c r="AC165" s="1631"/>
      <c r="AD165" s="1631"/>
      <c r="AE165" s="1631"/>
      <c r="AF165" s="1631"/>
      <c r="AG165" s="1631"/>
      <c r="AH165" s="1631"/>
      <c r="AI165" s="1631"/>
      <c r="AJ165" s="1631"/>
      <c r="AK165" s="1631"/>
      <c r="AL165" s="1631"/>
    </row>
    <row r="166" spans="1:38" ht="21.75" customHeight="1">
      <c r="A166" s="295"/>
      <c r="B166" s="1352"/>
      <c r="C166" s="1352"/>
      <c r="D166" s="1352"/>
      <c r="E166" s="1352"/>
      <c r="F166" s="1499"/>
      <c r="G166" s="1499"/>
      <c r="H166" s="940"/>
      <c r="I166" s="938"/>
      <c r="J166" s="1517"/>
      <c r="K166" s="1518" t="s">
        <v>1606</v>
      </c>
      <c r="L166" s="1503" t="s">
        <v>6</v>
      </c>
      <c r="M166" s="1519">
        <v>52</v>
      </c>
      <c r="N166" s="2720">
        <f>26000*2</f>
        <v>52000</v>
      </c>
      <c r="O166" s="2720"/>
      <c r="P166" s="2720" t="s">
        <v>948</v>
      </c>
      <c r="Q166" s="2720">
        <v>28000</v>
      </c>
      <c r="R166" s="2720" t="s">
        <v>949</v>
      </c>
      <c r="S166" s="2720">
        <v>12</v>
      </c>
      <c r="T166" s="2720">
        <v>4</v>
      </c>
      <c r="U166" s="2720">
        <f>Q166*S166*T166</f>
        <v>1344000</v>
      </c>
      <c r="V166" s="1631"/>
      <c r="W166" s="1631">
        <v>250000</v>
      </c>
      <c r="X166" s="1631">
        <v>6</v>
      </c>
      <c r="Y166" s="1631"/>
      <c r="Z166" s="1631"/>
      <c r="AA166" s="1662">
        <f>W166*X166</f>
        <v>1500000</v>
      </c>
      <c r="AB166" s="1631"/>
      <c r="AC166" s="1631"/>
      <c r="AD166" s="1631"/>
      <c r="AE166" s="1631"/>
      <c r="AF166" s="1631"/>
      <c r="AG166" s="1631"/>
      <c r="AH166" s="1631"/>
      <c r="AI166" s="1631"/>
      <c r="AJ166" s="1631"/>
      <c r="AK166" s="1631"/>
      <c r="AL166" s="1631"/>
    </row>
    <row r="167" spans="1:38" ht="21.75" customHeight="1">
      <c r="A167" s="295"/>
      <c r="B167" s="1352"/>
      <c r="C167" s="1352"/>
      <c r="D167" s="1352"/>
      <c r="E167" s="1352"/>
      <c r="F167" s="1499"/>
      <c r="G167" s="1499"/>
      <c r="H167" s="940"/>
      <c r="I167" s="938"/>
      <c r="J167" s="1517"/>
      <c r="K167" s="313" t="s">
        <v>1607</v>
      </c>
      <c r="L167" s="1503" t="s">
        <v>6</v>
      </c>
      <c r="M167" s="322">
        <v>12000</v>
      </c>
      <c r="N167" s="2720">
        <f>3000000*4</f>
        <v>12000000</v>
      </c>
      <c r="O167" s="2720"/>
      <c r="P167" s="2720" t="s">
        <v>950</v>
      </c>
      <c r="Q167" s="2720">
        <v>75000</v>
      </c>
      <c r="R167" s="2720" t="s">
        <v>951</v>
      </c>
      <c r="S167" s="2720">
        <v>12</v>
      </c>
      <c r="T167" s="2720">
        <v>4</v>
      </c>
      <c r="U167" s="2720">
        <f>Q167*S167*T167</f>
        <v>3600000</v>
      </c>
      <c r="V167" s="1631"/>
      <c r="W167" s="1631">
        <v>200000</v>
      </c>
      <c r="X167" s="1631">
        <v>20</v>
      </c>
      <c r="Y167" s="1631"/>
      <c r="Z167" s="1631"/>
      <c r="AA167" s="1662">
        <f>W167*X167</f>
        <v>4000000</v>
      </c>
      <c r="AB167" s="1631"/>
      <c r="AC167" s="1631"/>
      <c r="AD167" s="1631"/>
      <c r="AE167" s="1631"/>
      <c r="AF167" s="1631"/>
      <c r="AG167" s="1631"/>
      <c r="AH167" s="1631"/>
      <c r="AI167" s="1631"/>
      <c r="AJ167" s="1631"/>
      <c r="AK167" s="1631"/>
      <c r="AL167" s="1631"/>
    </row>
    <row r="168" spans="1:38" ht="21.75" customHeight="1">
      <c r="A168" s="295"/>
      <c r="B168" s="1352"/>
      <c r="C168" s="1352"/>
      <c r="D168" s="1352"/>
      <c r="E168" s="1352"/>
      <c r="F168" s="1499"/>
      <c r="G168" s="1522" t="s">
        <v>329</v>
      </c>
      <c r="H168" s="1523">
        <f>M168</f>
        <v>500</v>
      </c>
      <c r="I168" s="1523">
        <v>500</v>
      </c>
      <c r="J168" s="1524">
        <f>H168-I168</f>
        <v>0</v>
      </c>
      <c r="K168" s="1525" t="s">
        <v>329</v>
      </c>
      <c r="L168" s="1526"/>
      <c r="M168" s="1527">
        <f>SUM(M169:M169)</f>
        <v>500</v>
      </c>
      <c r="N168" s="1838"/>
      <c r="O168" s="1838"/>
      <c r="P168" s="1838"/>
      <c r="Q168" s="1838"/>
      <c r="R168" s="1838"/>
      <c r="S168" s="1838"/>
      <c r="T168" s="1838"/>
      <c r="U168" s="1838"/>
      <c r="AA168" s="1520"/>
    </row>
    <row r="169" spans="1:38" ht="21.75" customHeight="1">
      <c r="A169" s="295"/>
      <c r="B169" s="1352"/>
      <c r="C169" s="1352"/>
      <c r="D169" s="1352"/>
      <c r="E169" s="1352"/>
      <c r="F169" s="1499"/>
      <c r="G169" s="491"/>
      <c r="H169" s="1528"/>
      <c r="I169" s="1528"/>
      <c r="J169" s="1529"/>
      <c r="K169" s="1530" t="s">
        <v>952</v>
      </c>
      <c r="L169" s="1503" t="s">
        <v>292</v>
      </c>
      <c r="M169" s="320">
        <v>500</v>
      </c>
      <c r="N169" s="1838">
        <f>250000*2</f>
        <v>500000</v>
      </c>
      <c r="O169" s="1838"/>
      <c r="P169" s="1838"/>
      <c r="Q169" s="1838"/>
      <c r="R169" s="1838"/>
      <c r="S169" s="1838"/>
      <c r="T169" s="1838"/>
      <c r="U169" s="1838"/>
    </row>
    <row r="170" spans="1:38" ht="21.75" customHeight="1">
      <c r="A170" s="295"/>
      <c r="B170" s="1352"/>
      <c r="C170" s="1352"/>
      <c r="D170" s="1352"/>
      <c r="E170" s="1352"/>
      <c r="F170" s="1499"/>
      <c r="G170" s="1531" t="s">
        <v>330</v>
      </c>
      <c r="H170" s="1511">
        <f>M170</f>
        <v>28290</v>
      </c>
      <c r="I170" s="1842">
        <v>26730</v>
      </c>
      <c r="J170" s="1512">
        <f>H170-I170</f>
        <v>1560</v>
      </c>
      <c r="K170" s="1532" t="s">
        <v>330</v>
      </c>
      <c r="L170" s="1497"/>
      <c r="M170" s="1515">
        <f>M171+M172+M173+M174+M175+M176+M177</f>
        <v>28290</v>
      </c>
      <c r="N170" s="1838"/>
      <c r="O170" s="1838"/>
      <c r="P170" s="1838" t="s">
        <v>953</v>
      </c>
      <c r="Q170" s="1838">
        <v>10000</v>
      </c>
      <c r="R170" s="1838" t="s">
        <v>954</v>
      </c>
      <c r="S170" s="1838">
        <v>12</v>
      </c>
      <c r="T170" s="1838">
        <v>4</v>
      </c>
      <c r="U170" s="1838">
        <f>Q170*S170*T170</f>
        <v>480000</v>
      </c>
    </row>
    <row r="171" spans="1:38" ht="21.75" customHeight="1">
      <c r="A171" s="295"/>
      <c r="B171" s="1352"/>
      <c r="C171" s="1352"/>
      <c r="D171" s="1352"/>
      <c r="E171" s="1352"/>
      <c r="F171" s="1499"/>
      <c r="G171" s="1499"/>
      <c r="H171" s="940"/>
      <c r="I171" s="938"/>
      <c r="J171" s="1517"/>
      <c r="K171" s="1533" t="s">
        <v>1608</v>
      </c>
      <c r="L171" s="1503" t="s">
        <v>6</v>
      </c>
      <c r="M171" s="1519">
        <v>7200</v>
      </c>
      <c r="N171" s="2720">
        <f>600000*12</f>
        <v>7200000</v>
      </c>
      <c r="O171" s="2720"/>
      <c r="P171" s="2720"/>
      <c r="Q171" s="2720"/>
      <c r="R171" s="2720"/>
      <c r="S171" s="2720"/>
      <c r="T171" s="2720"/>
      <c r="U171" s="2720"/>
    </row>
    <row r="172" spans="1:38" ht="21.75" customHeight="1">
      <c r="A172" s="295"/>
      <c r="B172" s="1352"/>
      <c r="C172" s="1352"/>
      <c r="D172" s="1352"/>
      <c r="E172" s="1352"/>
      <c r="F172" s="1499"/>
      <c r="G172" s="1499"/>
      <c r="H172" s="940"/>
      <c r="I172" s="938"/>
      <c r="J172" s="1517"/>
      <c r="K172" s="1533" t="s">
        <v>1609</v>
      </c>
      <c r="L172" s="1503" t="s">
        <v>6</v>
      </c>
      <c r="M172" s="1519">
        <v>5400</v>
      </c>
      <c r="N172" s="2720">
        <f>450000*12</f>
        <v>5400000</v>
      </c>
      <c r="O172" s="2720"/>
      <c r="P172" s="2720"/>
      <c r="Q172" s="2720"/>
      <c r="R172" s="2720"/>
      <c r="S172" s="2720"/>
      <c r="T172" s="2720"/>
      <c r="U172" s="2720" t="e">
        <f>U166+U167+#REF!+#REF!+U170</f>
        <v>#REF!</v>
      </c>
    </row>
    <row r="173" spans="1:38" ht="21.75" customHeight="1">
      <c r="A173" s="1351"/>
      <c r="B173" s="1352"/>
      <c r="C173" s="1352"/>
      <c r="D173" s="1486"/>
      <c r="E173" s="1486"/>
      <c r="F173" s="1499"/>
      <c r="G173" s="1499"/>
      <c r="H173" s="940"/>
      <c r="I173" s="938"/>
      <c r="J173" s="1517"/>
      <c r="K173" s="1518" t="s">
        <v>1610</v>
      </c>
      <c r="L173" s="1503" t="s">
        <v>6</v>
      </c>
      <c r="M173" s="1519">
        <v>4200</v>
      </c>
      <c r="N173" s="2720">
        <f>350000*12</f>
        <v>4200000</v>
      </c>
      <c r="O173" s="2720"/>
      <c r="P173" s="2720"/>
      <c r="Q173" s="2720"/>
      <c r="R173" s="2720"/>
      <c r="S173" s="2720"/>
      <c r="T173" s="2720"/>
      <c r="U173" s="2720"/>
    </row>
    <row r="174" spans="1:38" ht="21.75" customHeight="1">
      <c r="A174" s="1351"/>
      <c r="B174" s="1352"/>
      <c r="C174" s="1352"/>
      <c r="D174" s="1486"/>
      <c r="E174" s="1486"/>
      <c r="F174" s="1499"/>
      <c r="G174" s="1499"/>
      <c r="H174" s="940"/>
      <c r="I174" s="938"/>
      <c r="J174" s="1517"/>
      <c r="K174" s="1518" t="s">
        <v>2430</v>
      </c>
      <c r="L174" s="1503" t="s">
        <v>6</v>
      </c>
      <c r="M174" s="1519">
        <v>3960</v>
      </c>
      <c r="N174" s="2720">
        <f>330000*12</f>
        <v>3960000</v>
      </c>
      <c r="O174" s="2720"/>
      <c r="P174" s="2720"/>
      <c r="Q174" s="2720"/>
      <c r="R174" s="2720"/>
      <c r="S174" s="2720"/>
      <c r="T174" s="2720"/>
      <c r="U174" s="2720"/>
    </row>
    <row r="175" spans="1:38" ht="21.75" customHeight="1">
      <c r="A175" s="1351"/>
      <c r="B175" s="1352"/>
      <c r="C175" s="1352"/>
      <c r="D175" s="1486"/>
      <c r="E175" s="1486"/>
      <c r="F175" s="1352"/>
      <c r="G175" s="1352"/>
      <c r="H175" s="940"/>
      <c r="I175" s="940"/>
      <c r="J175" s="1534"/>
      <c r="K175" s="1535" t="s">
        <v>1611</v>
      </c>
      <c r="L175" s="1536" t="s">
        <v>6</v>
      </c>
      <c r="M175" s="320">
        <v>7200</v>
      </c>
      <c r="N175" s="2720">
        <f>600000*12</f>
        <v>7200000</v>
      </c>
      <c r="O175" s="2720"/>
      <c r="P175" s="2720"/>
      <c r="Q175" s="2720"/>
      <c r="R175" s="2720"/>
      <c r="S175" s="2720"/>
      <c r="T175" s="2720"/>
      <c r="U175" s="2720"/>
    </row>
    <row r="176" spans="1:38" ht="21.75" hidden="1" customHeight="1">
      <c r="A176" s="1351"/>
      <c r="B176" s="1352"/>
      <c r="C176" s="1352"/>
      <c r="D176" s="1486"/>
      <c r="E176" s="1486"/>
      <c r="F176" s="1352"/>
      <c r="G176" s="1352"/>
      <c r="H176" s="940"/>
      <c r="I176" s="940"/>
      <c r="J176" s="1534"/>
      <c r="K176" s="1843"/>
      <c r="L176" s="1536" t="s">
        <v>6</v>
      </c>
      <c r="M176" s="320"/>
      <c r="N176" s="2720">
        <f>9000000*2</f>
        <v>18000000</v>
      </c>
      <c r="O176" s="2720"/>
      <c r="P176" s="2720"/>
      <c r="Q176" s="2720"/>
      <c r="R176" s="2720"/>
      <c r="S176" s="2720"/>
      <c r="T176" s="2720"/>
      <c r="U176" s="2720"/>
    </row>
    <row r="177" spans="1:58" s="494" customFormat="1" ht="21.75" customHeight="1">
      <c r="A177" s="1351"/>
      <c r="B177" s="1352"/>
      <c r="C177" s="1352"/>
      <c r="D177" s="1486"/>
      <c r="E177" s="1486"/>
      <c r="F177" s="1352"/>
      <c r="G177" s="1352"/>
      <c r="H177" s="940"/>
      <c r="I177" s="940"/>
      <c r="J177" s="1534"/>
      <c r="K177" s="1535" t="s">
        <v>955</v>
      </c>
      <c r="L177" s="1536" t="s">
        <v>292</v>
      </c>
      <c r="M177" s="320">
        <v>330</v>
      </c>
      <c r="N177" s="2720">
        <f>27500*12</f>
        <v>330000</v>
      </c>
      <c r="O177" s="2720"/>
      <c r="P177" s="2720"/>
      <c r="Q177" s="2720" t="s">
        <v>956</v>
      </c>
      <c r="R177" s="2720" t="s">
        <v>957</v>
      </c>
      <c r="S177" s="2720" t="s">
        <v>958</v>
      </c>
      <c r="T177" s="2720"/>
      <c r="U177" s="2720"/>
      <c r="BF177" s="2778"/>
    </row>
    <row r="178" spans="1:58" s="494" customFormat="1" ht="21.75" customHeight="1">
      <c r="A178" s="1351"/>
      <c r="B178" s="1352"/>
      <c r="C178" s="1352"/>
      <c r="D178" s="1486"/>
      <c r="E178" s="1486"/>
      <c r="F178" s="1352"/>
      <c r="G178" s="1494" t="s">
        <v>331</v>
      </c>
      <c r="H178" s="1511">
        <f>M178</f>
        <v>14580</v>
      </c>
      <c r="I178" s="1511">
        <v>13320</v>
      </c>
      <c r="J178" s="912">
        <f>H178-I178</f>
        <v>1260</v>
      </c>
      <c r="K178" s="1538" t="s">
        <v>331</v>
      </c>
      <c r="L178" s="1514"/>
      <c r="M178" s="1539">
        <f>SUM(M179:M184)</f>
        <v>14580</v>
      </c>
      <c r="N178" s="1838"/>
      <c r="O178" s="1838" t="s">
        <v>959</v>
      </c>
      <c r="P178" s="1838">
        <v>190000</v>
      </c>
      <c r="Q178" s="1838">
        <v>5</v>
      </c>
      <c r="R178" s="1838">
        <v>5</v>
      </c>
      <c r="S178" s="1838">
        <v>4</v>
      </c>
      <c r="T178" s="1838"/>
      <c r="U178" s="1838">
        <f>P178*Q178*R178*S178</f>
        <v>19000000</v>
      </c>
      <c r="BF178" s="2778"/>
    </row>
    <row r="179" spans="1:58" s="494" customFormat="1" ht="21.75" customHeight="1">
      <c r="A179" s="1351"/>
      <c r="B179" s="1352"/>
      <c r="C179" s="1352"/>
      <c r="D179" s="1486"/>
      <c r="E179" s="1486"/>
      <c r="F179" s="1352"/>
      <c r="G179" s="1352"/>
      <c r="H179" s="940"/>
      <c r="I179" s="940"/>
      <c r="J179" s="1500"/>
      <c r="K179" s="1535" t="s">
        <v>1612</v>
      </c>
      <c r="L179" s="1536" t="s">
        <v>6</v>
      </c>
      <c r="M179" s="1592">
        <v>5520</v>
      </c>
      <c r="N179" s="1838">
        <f>460000*12</f>
        <v>5520000</v>
      </c>
      <c r="O179" s="1838" t="s">
        <v>960</v>
      </c>
      <c r="P179" s="1838">
        <v>150000</v>
      </c>
      <c r="Q179" s="1838">
        <v>3</v>
      </c>
      <c r="R179" s="1838">
        <v>5</v>
      </c>
      <c r="S179" s="1838">
        <v>4</v>
      </c>
      <c r="T179" s="1838"/>
      <c r="U179" s="1838">
        <f>P179*Q179*R179*S179</f>
        <v>9000000</v>
      </c>
      <c r="BF179" s="2778"/>
    </row>
    <row r="180" spans="1:58" s="494" customFormat="1" ht="21.75" customHeight="1">
      <c r="A180" s="1351"/>
      <c r="B180" s="1352"/>
      <c r="C180" s="1352"/>
      <c r="D180" s="1486"/>
      <c r="E180" s="1486"/>
      <c r="F180" s="1352"/>
      <c r="G180" s="1352"/>
      <c r="H180" s="940"/>
      <c r="I180" s="940"/>
      <c r="J180" s="1534"/>
      <c r="K180" s="1535" t="s">
        <v>1613</v>
      </c>
      <c r="L180" s="1536" t="s">
        <v>6</v>
      </c>
      <c r="M180" s="320">
        <v>5640</v>
      </c>
      <c r="N180" s="1838">
        <f>470000*12</f>
        <v>5640000</v>
      </c>
      <c r="O180" s="1838" t="s">
        <v>960</v>
      </c>
      <c r="P180" s="1838">
        <v>150000</v>
      </c>
      <c r="Q180" s="1838">
        <v>3</v>
      </c>
      <c r="R180" s="1838">
        <v>5</v>
      </c>
      <c r="S180" s="1838">
        <v>4</v>
      </c>
      <c r="T180" s="1838"/>
      <c r="U180" s="1838">
        <f>P180*Q180*R180*S180</f>
        <v>9000000</v>
      </c>
      <c r="BF180" s="2778"/>
    </row>
    <row r="181" spans="1:58" s="494" customFormat="1" ht="21.75" customHeight="1">
      <c r="A181" s="1351"/>
      <c r="B181" s="1352"/>
      <c r="C181" s="1352"/>
      <c r="D181" s="1486"/>
      <c r="E181" s="1486"/>
      <c r="F181" s="1352"/>
      <c r="G181" s="1352"/>
      <c r="H181" s="940"/>
      <c r="I181" s="940"/>
      <c r="J181" s="1534"/>
      <c r="K181" s="1535" t="s">
        <v>1614</v>
      </c>
      <c r="L181" s="1536" t="s">
        <v>6</v>
      </c>
      <c r="M181" s="320">
        <v>2160</v>
      </c>
      <c r="N181" s="1838">
        <f>180000*12</f>
        <v>2160000</v>
      </c>
      <c r="O181" s="1838"/>
      <c r="P181" s="1838"/>
      <c r="Q181" s="1838"/>
      <c r="R181" s="1838"/>
      <c r="S181" s="1838"/>
      <c r="T181" s="1838"/>
      <c r="U181" s="1838"/>
      <c r="BF181" s="2778"/>
    </row>
    <row r="182" spans="1:58" s="494" customFormat="1" ht="21.75" customHeight="1">
      <c r="A182" s="1351"/>
      <c r="B182" s="1352"/>
      <c r="C182" s="1352"/>
      <c r="D182" s="1486"/>
      <c r="E182" s="1486"/>
      <c r="F182" s="1352"/>
      <c r="G182" s="1352"/>
      <c r="H182" s="940"/>
      <c r="I182" s="940"/>
      <c r="J182" s="1534"/>
      <c r="K182" s="1535" t="s">
        <v>1615</v>
      </c>
      <c r="L182" s="1536" t="s">
        <v>6</v>
      </c>
      <c r="M182" s="320">
        <v>420</v>
      </c>
      <c r="N182" s="1838">
        <f>35000*12</f>
        <v>420000</v>
      </c>
      <c r="O182" s="1838"/>
      <c r="P182" s="1838"/>
      <c r="Q182" s="1838"/>
      <c r="R182" s="1838"/>
      <c r="S182" s="1838"/>
      <c r="T182" s="1838"/>
      <c r="U182" s="1838"/>
      <c r="BF182" s="2778"/>
    </row>
    <row r="183" spans="1:58" s="494" customFormat="1" ht="21.75" customHeight="1">
      <c r="A183" s="1351"/>
      <c r="B183" s="1352"/>
      <c r="C183" s="1352"/>
      <c r="D183" s="1486"/>
      <c r="E183" s="1486"/>
      <c r="F183" s="1352"/>
      <c r="G183" s="1352"/>
      <c r="H183" s="940"/>
      <c r="I183" s="940"/>
      <c r="J183" s="1534"/>
      <c r="K183" s="1535" t="s">
        <v>1616</v>
      </c>
      <c r="L183" s="1536" t="s">
        <v>6</v>
      </c>
      <c r="M183" s="320">
        <v>420</v>
      </c>
      <c r="N183" s="1838">
        <f>35000*12</f>
        <v>420000</v>
      </c>
      <c r="O183" s="1838" t="s">
        <v>961</v>
      </c>
      <c r="P183" s="1838">
        <v>81000</v>
      </c>
      <c r="Q183" s="1838">
        <v>1</v>
      </c>
      <c r="R183" s="1838">
        <v>5</v>
      </c>
      <c r="S183" s="1838">
        <v>4</v>
      </c>
      <c r="T183" s="1838"/>
      <c r="U183" s="1838">
        <f>P183*Q183*R183*S183</f>
        <v>1620000</v>
      </c>
      <c r="BF183" s="2778"/>
    </row>
    <row r="184" spans="1:58" s="494" customFormat="1" ht="21.75" customHeight="1">
      <c r="A184" s="1351"/>
      <c r="B184" s="1352"/>
      <c r="C184" s="1352"/>
      <c r="D184" s="1486"/>
      <c r="E184" s="1486"/>
      <c r="F184" s="1352"/>
      <c r="G184" s="1352"/>
      <c r="H184" s="940"/>
      <c r="I184" s="940"/>
      <c r="J184" s="1534"/>
      <c r="K184" s="1535" t="s">
        <v>1617</v>
      </c>
      <c r="L184" s="1536" t="s">
        <v>6</v>
      </c>
      <c r="M184" s="320">
        <v>420</v>
      </c>
      <c r="N184" s="1838">
        <f>35000*12</f>
        <v>420000</v>
      </c>
      <c r="O184" s="1838"/>
      <c r="P184" s="1838"/>
      <c r="Q184" s="1838"/>
      <c r="R184" s="1838"/>
      <c r="S184" s="1838"/>
      <c r="T184" s="1838"/>
      <c r="U184" s="1838"/>
      <c r="BF184" s="2778"/>
    </row>
    <row r="185" spans="1:58" s="494" customFormat="1" ht="21.75" customHeight="1">
      <c r="A185" s="1351"/>
      <c r="B185" s="1352"/>
      <c r="C185" s="1352"/>
      <c r="D185" s="1486"/>
      <c r="E185" s="1486"/>
      <c r="F185" s="1352"/>
      <c r="G185" s="1494" t="s">
        <v>332</v>
      </c>
      <c r="H185" s="1511">
        <f>M185</f>
        <v>5040</v>
      </c>
      <c r="I185" s="1511">
        <v>2960</v>
      </c>
      <c r="J185" s="1512">
        <f>H185-I185</f>
        <v>2080</v>
      </c>
      <c r="K185" s="1538" t="s">
        <v>332</v>
      </c>
      <c r="L185" s="1514"/>
      <c r="M185" s="1539">
        <f>M186+M187</f>
        <v>5040</v>
      </c>
      <c r="N185" s="1838"/>
      <c r="O185" s="1838"/>
      <c r="P185" s="1838"/>
      <c r="Q185" s="1838"/>
      <c r="R185" s="1838"/>
      <c r="S185" s="1838"/>
      <c r="T185" s="1838"/>
      <c r="U185" s="1838"/>
      <c r="BF185" s="2778"/>
    </row>
    <row r="186" spans="1:58" s="494" customFormat="1" ht="21.75" customHeight="1">
      <c r="A186" s="1351"/>
      <c r="B186" s="1352"/>
      <c r="C186" s="1352"/>
      <c r="D186" s="1486"/>
      <c r="E186" s="1486"/>
      <c r="F186" s="1352"/>
      <c r="G186" s="1352"/>
      <c r="H186" s="940"/>
      <c r="I186" s="940"/>
      <c r="J186" s="1534"/>
      <c r="K186" s="1541" t="s">
        <v>1618</v>
      </c>
      <c r="L186" s="1503" t="s">
        <v>6</v>
      </c>
      <c r="M186" s="1519">
        <v>1080</v>
      </c>
      <c r="N186" s="2720">
        <f>9000*10*12</f>
        <v>1080000</v>
      </c>
      <c r="O186" s="2720"/>
      <c r="P186" s="2720"/>
      <c r="Q186" s="2720"/>
      <c r="R186" s="2720"/>
      <c r="S186" s="2720"/>
      <c r="T186" s="2720"/>
      <c r="U186" s="2720"/>
      <c r="BF186" s="2778"/>
    </row>
    <row r="187" spans="1:58" s="494" customFormat="1" ht="21.75" customHeight="1">
      <c r="A187" s="1351"/>
      <c r="B187" s="1352"/>
      <c r="C187" s="1352"/>
      <c r="D187" s="1486"/>
      <c r="E187" s="1486"/>
      <c r="F187" s="1352"/>
      <c r="G187" s="1352"/>
      <c r="H187" s="940"/>
      <c r="I187" s="940"/>
      <c r="J187" s="1844"/>
      <c r="K187" s="307" t="s">
        <v>1619</v>
      </c>
      <c r="L187" s="1845"/>
      <c r="M187" s="1846">
        <v>3960</v>
      </c>
      <c r="N187" s="1847"/>
      <c r="O187" s="2720"/>
      <c r="P187" s="2720"/>
      <c r="Q187" s="2720"/>
      <c r="R187" s="2720"/>
      <c r="S187" s="2720"/>
      <c r="T187" s="2720"/>
      <c r="U187" s="2720"/>
      <c r="BF187" s="2778"/>
    </row>
    <row r="188" spans="1:58" s="494" customFormat="1" ht="21.75" customHeight="1">
      <c r="A188" s="1351"/>
      <c r="B188" s="1352"/>
      <c r="C188" s="1352"/>
      <c r="D188" s="1486"/>
      <c r="E188" s="1486"/>
      <c r="F188" s="1352"/>
      <c r="G188" s="1352"/>
      <c r="H188" s="940"/>
      <c r="I188" s="940"/>
      <c r="J188" s="1534"/>
      <c r="K188" s="1391" t="s">
        <v>2431</v>
      </c>
      <c r="L188" s="1398" t="s">
        <v>292</v>
      </c>
      <c r="M188" s="1519">
        <v>1560</v>
      </c>
      <c r="N188" s="2720">
        <f>150000*12*2</f>
        <v>3600000</v>
      </c>
      <c r="O188" s="2720"/>
      <c r="P188" s="2720"/>
      <c r="Q188" s="2720"/>
      <c r="R188" s="2720"/>
      <c r="S188" s="2720"/>
      <c r="T188" s="2720"/>
      <c r="U188" s="2720"/>
      <c r="BF188" s="2778"/>
    </row>
    <row r="189" spans="1:58" s="494" customFormat="1" ht="21.75" customHeight="1">
      <c r="A189" s="1351"/>
      <c r="B189" s="1352"/>
      <c r="C189" s="1352"/>
      <c r="D189" s="1486"/>
      <c r="E189" s="1486"/>
      <c r="F189" s="1352"/>
      <c r="G189" s="1542"/>
      <c r="H189" s="1061"/>
      <c r="I189" s="1061"/>
      <c r="J189" s="1543"/>
      <c r="K189" s="1395" t="s">
        <v>2432</v>
      </c>
      <c r="L189" s="1398" t="s">
        <v>292</v>
      </c>
      <c r="M189" s="1848">
        <v>2400</v>
      </c>
      <c r="N189" s="2720">
        <f>300000*12</f>
        <v>3600000</v>
      </c>
      <c r="O189" s="2720"/>
      <c r="P189" s="2720"/>
      <c r="Q189" s="2720"/>
      <c r="R189" s="2720"/>
      <c r="S189" s="2720"/>
      <c r="T189" s="2720"/>
      <c r="U189" s="2720"/>
      <c r="BF189" s="2778"/>
    </row>
    <row r="190" spans="1:58" s="494" customFormat="1" ht="21.75" customHeight="1">
      <c r="A190" s="1351"/>
      <c r="B190" s="1352"/>
      <c r="C190" s="1352"/>
      <c r="D190" s="1486"/>
      <c r="E190" s="1486"/>
      <c r="F190" s="1352"/>
      <c r="G190" s="1352" t="s">
        <v>333</v>
      </c>
      <c r="H190" s="940">
        <f>M190</f>
        <v>122100</v>
      </c>
      <c r="I190" s="940">
        <v>115536</v>
      </c>
      <c r="J190" s="1534">
        <f>H190-I190</f>
        <v>6564</v>
      </c>
      <c r="K190" s="1546" t="s">
        <v>334</v>
      </c>
      <c r="L190" s="1514"/>
      <c r="M190" s="1502">
        <f>SUM(M191:M194)</f>
        <v>122100</v>
      </c>
      <c r="N190" s="1838"/>
      <c r="O190" s="1838"/>
      <c r="P190" s="1838"/>
      <c r="Q190" s="1838"/>
      <c r="R190" s="1838"/>
      <c r="S190" s="1838">
        <f>7200+4800+4200+3600+6600+330</f>
        <v>26730</v>
      </c>
      <c r="T190" s="1838"/>
      <c r="U190" s="1838"/>
      <c r="BF190" s="2778"/>
    </row>
    <row r="191" spans="1:58" s="494" customFormat="1" ht="21.75" customHeight="1">
      <c r="A191" s="1351"/>
      <c r="B191" s="1352"/>
      <c r="C191" s="1352"/>
      <c r="D191" s="1486"/>
      <c r="E191" s="1486"/>
      <c r="F191" s="1352"/>
      <c r="G191" s="1352"/>
      <c r="H191" s="940"/>
      <c r="I191" s="940"/>
      <c r="J191" s="1534"/>
      <c r="K191" s="1535" t="s">
        <v>2433</v>
      </c>
      <c r="L191" s="1503" t="s">
        <v>6</v>
      </c>
      <c r="M191" s="320">
        <v>12000</v>
      </c>
      <c r="N191" s="2720">
        <f>1200000*12</f>
        <v>14400000</v>
      </c>
      <c r="O191" s="2720"/>
      <c r="P191" s="2720"/>
      <c r="Q191" s="2720"/>
      <c r="R191" s="2720"/>
      <c r="S191" s="2720"/>
      <c r="T191" s="2720"/>
      <c r="U191" s="2720"/>
      <c r="BF191" s="2778"/>
    </row>
    <row r="192" spans="1:58" s="494" customFormat="1" ht="21.75" customHeight="1">
      <c r="A192" s="1351"/>
      <c r="B192" s="1352"/>
      <c r="C192" s="1352"/>
      <c r="D192" s="1486"/>
      <c r="E192" s="1486"/>
      <c r="F192" s="1352"/>
      <c r="G192" s="1352"/>
      <c r="H192" s="940"/>
      <c r="I192" s="940"/>
      <c r="J192" s="1534"/>
      <c r="K192" s="1530" t="s">
        <v>2434</v>
      </c>
      <c r="L192" s="1503" t="s">
        <v>6</v>
      </c>
      <c r="M192" s="320">
        <v>102000</v>
      </c>
      <c r="N192" s="2720">
        <f>9000000*12</f>
        <v>108000000</v>
      </c>
      <c r="O192" s="2720"/>
      <c r="P192" s="2720"/>
      <c r="Q192" s="2720"/>
      <c r="R192" s="2720"/>
      <c r="S192" s="2720"/>
      <c r="T192" s="2720"/>
      <c r="U192" s="2720"/>
      <c r="BF192" s="2778"/>
    </row>
    <row r="193" spans="1:58" s="494" customFormat="1" ht="21.75" customHeight="1">
      <c r="A193" s="1351"/>
      <c r="B193" s="1352"/>
      <c r="C193" s="1352"/>
      <c r="D193" s="1486"/>
      <c r="E193" s="1486"/>
      <c r="F193" s="1352"/>
      <c r="G193" s="1352"/>
      <c r="H193" s="940"/>
      <c r="I193" s="940"/>
      <c r="J193" s="1534"/>
      <c r="K193" s="1518" t="s">
        <v>1620</v>
      </c>
      <c r="L193" s="1503" t="s">
        <v>6</v>
      </c>
      <c r="M193" s="320">
        <v>7200</v>
      </c>
      <c r="N193" s="2720">
        <f>600000*12</f>
        <v>7200000</v>
      </c>
      <c r="O193" s="2720"/>
      <c r="P193" s="2720"/>
      <c r="Q193" s="2720"/>
      <c r="R193" s="2720"/>
      <c r="S193" s="2720"/>
      <c r="T193" s="2720"/>
      <c r="U193" s="2720"/>
      <c r="BF193" s="2778"/>
    </row>
    <row r="194" spans="1:58" s="494" customFormat="1" ht="21.75" customHeight="1">
      <c r="A194" s="1351"/>
      <c r="B194" s="1352"/>
      <c r="C194" s="1352"/>
      <c r="D194" s="1486"/>
      <c r="E194" s="1486"/>
      <c r="F194" s="1352"/>
      <c r="G194" s="1352"/>
      <c r="H194" s="940"/>
      <c r="I194" s="940"/>
      <c r="J194" s="1534"/>
      <c r="K194" s="1849" t="s">
        <v>1621</v>
      </c>
      <c r="L194" s="1845" t="s">
        <v>6</v>
      </c>
      <c r="M194" s="1592">
        <v>900</v>
      </c>
      <c r="N194" s="2720">
        <f>75000*12</f>
        <v>900000</v>
      </c>
      <c r="O194" s="2720"/>
      <c r="P194" s="2720"/>
      <c r="Q194" s="2720"/>
      <c r="R194" s="2720"/>
      <c r="S194" s="2720"/>
      <c r="T194" s="2720"/>
      <c r="U194" s="2720"/>
      <c r="BF194" s="2778"/>
    </row>
    <row r="195" spans="1:58" s="494" customFormat="1" ht="21.75" customHeight="1">
      <c r="A195" s="1351"/>
      <c r="B195" s="1352"/>
      <c r="C195" s="1352"/>
      <c r="D195" s="1486"/>
      <c r="E195" s="1486"/>
      <c r="F195" s="1352"/>
      <c r="G195" s="1494" t="s">
        <v>962</v>
      </c>
      <c r="H195" s="1511">
        <f>M195</f>
        <v>1680</v>
      </c>
      <c r="I195" s="1511">
        <v>1599</v>
      </c>
      <c r="J195" s="1512">
        <f>H195-I195</f>
        <v>81</v>
      </c>
      <c r="K195" s="1547" t="s">
        <v>962</v>
      </c>
      <c r="L195" s="1497"/>
      <c r="M195" s="1539">
        <f>SUM(M196:M196)</f>
        <v>1680</v>
      </c>
      <c r="N195" s="1838"/>
      <c r="O195" s="1838"/>
      <c r="P195" s="1838"/>
      <c r="Q195" s="1838"/>
      <c r="R195" s="1838"/>
      <c r="S195" s="1838"/>
      <c r="T195" s="1838"/>
      <c r="U195" s="1838"/>
      <c r="BF195" s="2778"/>
    </row>
    <row r="196" spans="1:58" s="494" customFormat="1" ht="21.75" customHeight="1">
      <c r="A196" s="1351"/>
      <c r="B196" s="1352"/>
      <c r="C196" s="1352"/>
      <c r="D196" s="1486"/>
      <c r="E196" s="1486"/>
      <c r="F196" s="1352"/>
      <c r="G196" s="1352"/>
      <c r="H196" s="940"/>
      <c r="I196" s="940"/>
      <c r="J196" s="1534"/>
      <c r="K196" s="1530" t="s">
        <v>1622</v>
      </c>
      <c r="L196" s="1503" t="s">
        <v>6</v>
      </c>
      <c r="M196" s="320">
        <v>1680</v>
      </c>
      <c r="N196" s="1838">
        <f>140000*12</f>
        <v>1680000</v>
      </c>
      <c r="O196" s="1838">
        <f>120000*9</f>
        <v>1080000</v>
      </c>
      <c r="P196" s="1838"/>
      <c r="Q196" s="1838"/>
      <c r="R196" s="1838"/>
      <c r="S196" s="1838"/>
      <c r="T196" s="1838"/>
      <c r="U196" s="1838"/>
      <c r="BF196" s="2778"/>
    </row>
    <row r="197" spans="1:58" s="494" customFormat="1" ht="21.75" customHeight="1">
      <c r="A197" s="1351"/>
      <c r="B197" s="1352"/>
      <c r="C197" s="1352"/>
      <c r="D197" s="1352"/>
      <c r="E197" s="1352"/>
      <c r="F197" s="1487" t="s">
        <v>335</v>
      </c>
      <c r="G197" s="1488"/>
      <c r="H197" s="1548">
        <f>H198</f>
        <v>2570</v>
      </c>
      <c r="I197" s="1548">
        <f>I198</f>
        <v>2570</v>
      </c>
      <c r="J197" s="1549">
        <f>H197-I197</f>
        <v>0</v>
      </c>
      <c r="K197" s="1550"/>
      <c r="L197" s="1551"/>
      <c r="M197" s="1510"/>
      <c r="N197" s="1838"/>
      <c r="O197" s="1838"/>
      <c r="P197" s="1838"/>
      <c r="Q197" s="1838"/>
      <c r="R197" s="1838"/>
      <c r="S197" s="1838"/>
      <c r="T197" s="1838"/>
      <c r="U197" s="1838"/>
      <c r="BF197" s="2778"/>
    </row>
    <row r="198" spans="1:58" s="494" customFormat="1" ht="21.75" customHeight="1">
      <c r="A198" s="1351"/>
      <c r="B198" s="1352"/>
      <c r="C198" s="1352"/>
      <c r="D198" s="1352"/>
      <c r="E198" s="1352"/>
      <c r="F198" s="1505"/>
      <c r="G198" s="1494" t="s">
        <v>963</v>
      </c>
      <c r="H198" s="940">
        <f>M198</f>
        <v>2570</v>
      </c>
      <c r="I198" s="940">
        <v>2570</v>
      </c>
      <c r="J198" s="1534">
        <f>H198-I198</f>
        <v>0</v>
      </c>
      <c r="K198" s="1552" t="s">
        <v>963</v>
      </c>
      <c r="L198" s="1536"/>
      <c r="M198" s="1553">
        <f>SUM(M199:M200)</f>
        <v>2570</v>
      </c>
      <c r="N198" s="1838"/>
      <c r="O198" s="1838"/>
      <c r="P198" s="1838"/>
      <c r="Q198" s="1838"/>
      <c r="R198" s="1838"/>
      <c r="S198" s="1838"/>
      <c r="T198" s="1838"/>
      <c r="U198" s="1838"/>
      <c r="BF198" s="2778"/>
    </row>
    <row r="199" spans="1:58" s="494" customFormat="1" ht="21.75" customHeight="1">
      <c r="A199" s="1351"/>
      <c r="B199" s="1352"/>
      <c r="C199" s="1352"/>
      <c r="D199" s="1352"/>
      <c r="E199" s="1352"/>
      <c r="F199" s="1505"/>
      <c r="G199" s="1352"/>
      <c r="H199" s="940"/>
      <c r="I199" s="940"/>
      <c r="J199" s="1534"/>
      <c r="K199" s="323" t="s">
        <v>1623</v>
      </c>
      <c r="L199" s="324" t="s">
        <v>6</v>
      </c>
      <c r="M199" s="1554">
        <v>2400</v>
      </c>
      <c r="N199" s="1838">
        <f>20000*10*12</f>
        <v>2400000</v>
      </c>
      <c r="O199" s="1838">
        <v>20000</v>
      </c>
      <c r="P199" s="1838">
        <v>10</v>
      </c>
      <c r="Q199" s="1838">
        <v>12</v>
      </c>
      <c r="R199" s="1838">
        <f>O199*P199*Q199</f>
        <v>2400000</v>
      </c>
      <c r="S199" s="1838"/>
      <c r="T199" s="1838"/>
      <c r="U199" s="1838"/>
      <c r="BF199" s="2778"/>
    </row>
    <row r="200" spans="1:58" s="494" customFormat="1" ht="21.75" customHeight="1">
      <c r="A200" s="1351"/>
      <c r="B200" s="1352"/>
      <c r="C200" s="1352"/>
      <c r="D200" s="1352"/>
      <c r="E200" s="1352"/>
      <c r="F200" s="1555"/>
      <c r="G200" s="1542"/>
      <c r="H200" s="1061"/>
      <c r="I200" s="1850"/>
      <c r="J200" s="1543"/>
      <c r="K200" s="1544" t="s">
        <v>1624</v>
      </c>
      <c r="L200" s="1654" t="s">
        <v>6</v>
      </c>
      <c r="M200" s="1664">
        <v>170</v>
      </c>
      <c r="N200" s="1838">
        <f>85000*2</f>
        <v>170000</v>
      </c>
      <c r="O200" s="1838">
        <v>85000</v>
      </c>
      <c r="P200" s="1838">
        <v>3</v>
      </c>
      <c r="Q200" s="1838">
        <v>1</v>
      </c>
      <c r="R200" s="1838">
        <f>O200*P200*Q200</f>
        <v>255000</v>
      </c>
      <c r="S200" s="1838"/>
      <c r="T200" s="1838"/>
      <c r="U200" s="1838"/>
      <c r="BF200" s="2778"/>
    </row>
    <row r="201" spans="1:58" s="494" customFormat="1" ht="21.75" customHeight="1">
      <c r="A201" s="1351"/>
      <c r="B201" s="1352"/>
      <c r="C201" s="1352"/>
      <c r="D201" s="1352"/>
      <c r="E201" s="1352"/>
      <c r="F201" s="1556" t="s">
        <v>964</v>
      </c>
      <c r="G201" s="1089"/>
      <c r="H201" s="1557">
        <f>H202</f>
        <v>3000</v>
      </c>
      <c r="I201" s="1528">
        <f>I202</f>
        <v>3000</v>
      </c>
      <c r="J201" s="1558">
        <f t="shared" ref="J201" si="10">H201-I201</f>
        <v>0</v>
      </c>
      <c r="K201" s="1530"/>
      <c r="L201" s="1503"/>
      <c r="M201" s="320"/>
      <c r="N201" s="1838"/>
      <c r="O201" s="1838"/>
      <c r="P201" s="1838"/>
      <c r="Q201" s="1838"/>
      <c r="R201" s="1838"/>
      <c r="S201" s="1838"/>
      <c r="T201" s="1838"/>
      <c r="U201" s="1838"/>
      <c r="BF201" s="2778"/>
    </row>
    <row r="202" spans="1:58" s="494" customFormat="1" ht="21.75" customHeight="1">
      <c r="A202" s="1351"/>
      <c r="B202" s="1352"/>
      <c r="C202" s="1352"/>
      <c r="D202" s="1352"/>
      <c r="E202" s="1352"/>
      <c r="F202" s="1559"/>
      <c r="G202" s="1851" t="s">
        <v>965</v>
      </c>
      <c r="H202" s="1557">
        <f>M202</f>
        <v>3000</v>
      </c>
      <c r="I202" s="1557">
        <v>3000</v>
      </c>
      <c r="J202" s="1558">
        <f>H202-I202</f>
        <v>0</v>
      </c>
      <c r="K202" s="1852" t="s">
        <v>965</v>
      </c>
      <c r="L202" s="1551"/>
      <c r="M202" s="1853">
        <f>M203</f>
        <v>3000</v>
      </c>
      <c r="N202" s="1838"/>
      <c r="O202" s="1838"/>
      <c r="P202" s="1838"/>
      <c r="Q202" s="1838"/>
      <c r="R202" s="1838"/>
      <c r="S202" s="1838"/>
      <c r="T202" s="1838"/>
      <c r="U202" s="1838"/>
      <c r="BF202" s="2778"/>
    </row>
    <row r="203" spans="1:58" s="494" customFormat="1" ht="21.75" customHeight="1">
      <c r="A203" s="295"/>
      <c r="B203" s="1352"/>
      <c r="C203" s="1352"/>
      <c r="D203" s="1352"/>
      <c r="E203" s="1352"/>
      <c r="F203" s="1559"/>
      <c r="G203" s="491"/>
      <c r="H203" s="1528"/>
      <c r="I203" s="1528"/>
      <c r="J203" s="1529"/>
      <c r="K203" s="1854" t="s">
        <v>1625</v>
      </c>
      <c r="L203" s="1551" t="s">
        <v>6</v>
      </c>
      <c r="M203" s="1855">
        <v>3000</v>
      </c>
      <c r="N203" s="1838">
        <f>250000*12</f>
        <v>3000000</v>
      </c>
      <c r="O203" s="1838"/>
      <c r="P203" s="1838"/>
      <c r="Q203" s="1838"/>
      <c r="R203" s="1838"/>
      <c r="S203" s="1838"/>
      <c r="T203" s="1838"/>
      <c r="U203" s="1838"/>
      <c r="BF203" s="2778"/>
    </row>
    <row r="204" spans="1:58" s="2" customFormat="1" ht="21.75" customHeight="1">
      <c r="A204" s="64"/>
      <c r="B204" s="22"/>
      <c r="C204" s="22"/>
      <c r="D204" s="1339" t="s">
        <v>582</v>
      </c>
      <c r="E204" s="1027"/>
      <c r="F204" s="1027"/>
      <c r="G204" s="1028"/>
      <c r="H204" s="1029">
        <f t="shared" ref="H204:I206" si="11">H205</f>
        <v>24456</v>
      </c>
      <c r="I204" s="1029">
        <f t="shared" si="11"/>
        <v>30672</v>
      </c>
      <c r="J204" s="826">
        <f>H204-I204</f>
        <v>-6216</v>
      </c>
      <c r="K204" s="684"/>
      <c r="L204" s="1030"/>
      <c r="M204" s="680"/>
      <c r="N204" s="1838"/>
      <c r="O204" s="1838"/>
      <c r="P204" s="1838"/>
      <c r="Q204" s="1838"/>
      <c r="R204" s="1838"/>
      <c r="S204" s="1838"/>
      <c r="T204" s="1838"/>
      <c r="U204" s="1838"/>
      <c r="BF204" s="2779"/>
    </row>
    <row r="205" spans="1:58" s="2" customFormat="1" ht="21.75" customHeight="1">
      <c r="A205" s="64"/>
      <c r="B205" s="22"/>
      <c r="C205" s="832"/>
      <c r="D205" s="1032"/>
      <c r="E205" s="1026" t="s">
        <v>857</v>
      </c>
      <c r="F205" s="1027"/>
      <c r="G205" s="1028"/>
      <c r="H205" s="825">
        <f t="shared" si="11"/>
        <v>24456</v>
      </c>
      <c r="I205" s="825">
        <f t="shared" si="11"/>
        <v>30672</v>
      </c>
      <c r="J205" s="826">
        <f>H205-I205</f>
        <v>-6216</v>
      </c>
      <c r="K205" s="728"/>
      <c r="L205" s="827"/>
      <c r="M205" s="694">
        <f>M512+M665+M671+M674+M729</f>
        <v>0</v>
      </c>
      <c r="N205" s="1838"/>
      <c r="O205" s="1838"/>
      <c r="P205" s="1838"/>
      <c r="Q205" s="1838"/>
      <c r="R205" s="1838"/>
      <c r="S205" s="1838"/>
      <c r="T205" s="1838"/>
      <c r="U205" s="1838"/>
      <c r="BF205" s="2779"/>
    </row>
    <row r="206" spans="1:58" s="494" customFormat="1" ht="21.75" customHeight="1">
      <c r="A206" s="1351"/>
      <c r="B206" s="1352"/>
      <c r="C206" s="1352"/>
      <c r="D206" s="1352"/>
      <c r="E206" s="1352"/>
      <c r="F206" s="1561" t="s">
        <v>336</v>
      </c>
      <c r="G206" s="1562"/>
      <c r="H206" s="1557">
        <f t="shared" si="11"/>
        <v>24456</v>
      </c>
      <c r="I206" s="1557">
        <f t="shared" si="11"/>
        <v>30672</v>
      </c>
      <c r="J206" s="1558">
        <f>H206-I206</f>
        <v>-6216</v>
      </c>
      <c r="K206" s="1563"/>
      <c r="L206" s="1564"/>
      <c r="M206" s="1565"/>
      <c r="N206" s="1838"/>
      <c r="O206" s="1838"/>
      <c r="P206" s="1838"/>
      <c r="Q206" s="1838"/>
      <c r="R206" s="1838"/>
      <c r="S206" s="1838"/>
      <c r="T206" s="1838"/>
      <c r="U206" s="1838"/>
      <c r="BF206" s="2778"/>
    </row>
    <row r="207" spans="1:58" s="494" customFormat="1" ht="21.75" customHeight="1">
      <c r="A207" s="1351"/>
      <c r="B207" s="1352"/>
      <c r="C207" s="1486"/>
      <c r="D207" s="1352"/>
      <c r="E207" s="1352"/>
      <c r="F207" s="1559"/>
      <c r="G207" s="1522" t="s">
        <v>337</v>
      </c>
      <c r="H207" s="1528">
        <f>M207</f>
        <v>24456</v>
      </c>
      <c r="I207" s="1528">
        <v>30672</v>
      </c>
      <c r="J207" s="1529">
        <f>H207-I207</f>
        <v>-6216</v>
      </c>
      <c r="K207" s="1566" t="s">
        <v>337</v>
      </c>
      <c r="L207" s="1567"/>
      <c r="M207" s="1568">
        <f>SUM(M208:M209)</f>
        <v>24456</v>
      </c>
      <c r="N207" s="1838"/>
      <c r="O207" s="1838"/>
      <c r="P207" s="1838"/>
      <c r="Q207" s="1838"/>
      <c r="R207" s="1838"/>
      <c r="S207" s="1838"/>
      <c r="T207" s="1838"/>
      <c r="U207" s="1838"/>
      <c r="BF207" s="2778"/>
    </row>
    <row r="208" spans="1:58" s="494" customFormat="1" ht="21.75" customHeight="1">
      <c r="A208" s="1351"/>
      <c r="B208" s="1352"/>
      <c r="C208" s="1486"/>
      <c r="D208" s="1352"/>
      <c r="E208" s="1352"/>
      <c r="F208" s="1559"/>
      <c r="G208" s="491"/>
      <c r="H208" s="1528"/>
      <c r="I208" s="1528"/>
      <c r="J208" s="1529"/>
      <c r="K208" s="1530" t="s">
        <v>2435</v>
      </c>
      <c r="L208" s="1503" t="s">
        <v>6</v>
      </c>
      <c r="M208" s="320">
        <v>24000</v>
      </c>
      <c r="N208" s="2720">
        <f>2500000*12</f>
        <v>30000000</v>
      </c>
      <c r="O208" s="2720"/>
      <c r="P208" s="2720"/>
      <c r="Q208" s="2720"/>
      <c r="R208" s="2720"/>
      <c r="S208" s="2720"/>
      <c r="T208" s="2720"/>
      <c r="U208" s="2720"/>
      <c r="BF208" s="2778"/>
    </row>
    <row r="209" spans="1:58" s="494" customFormat="1" ht="21.75" customHeight="1">
      <c r="A209" s="1351"/>
      <c r="B209" s="1352"/>
      <c r="C209" s="1486"/>
      <c r="D209" s="1352"/>
      <c r="E209" s="1352"/>
      <c r="F209" s="1556"/>
      <c r="G209" s="1569"/>
      <c r="H209" s="1570"/>
      <c r="I209" s="1570"/>
      <c r="J209" s="1571"/>
      <c r="K209" s="1572" t="s">
        <v>2436</v>
      </c>
      <c r="L209" s="1545" t="s">
        <v>6</v>
      </c>
      <c r="M209" s="1573">
        <v>456</v>
      </c>
      <c r="N209" s="2720">
        <f>2100*40*8</f>
        <v>672000</v>
      </c>
      <c r="O209" s="2720"/>
      <c r="P209" s="2720"/>
      <c r="Q209" s="2720"/>
      <c r="R209" s="2720"/>
      <c r="S209" s="2720"/>
      <c r="T209" s="2720"/>
      <c r="U209" s="2720"/>
      <c r="BF209" s="2778"/>
    </row>
    <row r="210" spans="1:58" s="2" customFormat="1" ht="18" customHeight="1">
      <c r="A210" s="64"/>
      <c r="B210" s="22"/>
      <c r="C210" s="1451" t="s">
        <v>1626</v>
      </c>
      <c r="D210" s="1027"/>
      <c r="E210" s="1027"/>
      <c r="F210" s="1027"/>
      <c r="G210" s="1028"/>
      <c r="H210" s="825">
        <f>H211+H273</f>
        <v>185000</v>
      </c>
      <c r="I210" s="825">
        <v>0</v>
      </c>
      <c r="J210" s="826">
        <f t="shared" ref="J210:J212" si="12">H210-I210</f>
        <v>185000</v>
      </c>
      <c r="K210" s="1119"/>
      <c r="L210" s="1056"/>
      <c r="M210" s="1057"/>
      <c r="N210" s="2978"/>
      <c r="O210" s="2979"/>
      <c r="P210" s="2979"/>
      <c r="Q210" s="2979"/>
      <c r="R210" s="2979"/>
      <c r="S210" s="2979"/>
      <c r="T210" s="2979"/>
      <c r="U210" s="2979"/>
      <c r="AB210" s="2673"/>
      <c r="BF210" s="2779"/>
    </row>
    <row r="211" spans="1:58" s="2" customFormat="1" ht="18" customHeight="1">
      <c r="A211" s="64"/>
      <c r="B211" s="22"/>
      <c r="C211" s="25"/>
      <c r="D211" s="1339" t="s">
        <v>1627</v>
      </c>
      <c r="E211" s="1027"/>
      <c r="F211" s="1027"/>
      <c r="G211" s="1028"/>
      <c r="H211" s="1029">
        <f>H212+H225</f>
        <v>169301</v>
      </c>
      <c r="I211" s="1029">
        <v>0</v>
      </c>
      <c r="J211" s="51">
        <f t="shared" si="12"/>
        <v>169301</v>
      </c>
      <c r="K211" s="684"/>
      <c r="L211" s="1030"/>
      <c r="M211" s="680"/>
      <c r="N211" s="1022"/>
      <c r="O211" s="3"/>
      <c r="P211" s="68"/>
      <c r="Q211" s="1023"/>
      <c r="R211" s="1023"/>
      <c r="S211" s="1023"/>
      <c r="T211" s="1024"/>
      <c r="U211" s="1856"/>
      <c r="AB211" s="2673"/>
      <c r="BF211" s="2779"/>
    </row>
    <row r="212" spans="1:58" s="2" customFormat="1" ht="18" customHeight="1">
      <c r="A212" s="64"/>
      <c r="B212" s="22"/>
      <c r="C212" s="832"/>
      <c r="D212" s="1032"/>
      <c r="E212" s="1027" t="s">
        <v>854</v>
      </c>
      <c r="F212" s="1027"/>
      <c r="G212" s="1028"/>
      <c r="H212" s="825">
        <f>H213</f>
        <v>60909</v>
      </c>
      <c r="I212" s="825">
        <f>I213</f>
        <v>0</v>
      </c>
      <c r="J212" s="826">
        <f t="shared" si="12"/>
        <v>60909</v>
      </c>
      <c r="K212" s="728"/>
      <c r="L212" s="827"/>
      <c r="M212" s="694">
        <f>M213+M631+M638+M641+M696</f>
        <v>60909</v>
      </c>
      <c r="N212" s="1022"/>
      <c r="O212" s="3"/>
      <c r="P212" s="68"/>
      <c r="Q212" s="1023"/>
      <c r="R212" s="1023"/>
      <c r="S212" s="1023"/>
      <c r="T212" s="76"/>
      <c r="U212" s="1856"/>
      <c r="AB212" s="2673"/>
      <c r="BF212" s="2779"/>
    </row>
    <row r="213" spans="1:58" s="1493" customFormat="1" ht="20.25" customHeight="1">
      <c r="A213" s="295"/>
      <c r="B213" s="1352"/>
      <c r="C213" s="1352"/>
      <c r="D213" s="1352"/>
      <c r="E213" s="496"/>
      <c r="F213" s="1487" t="s">
        <v>945</v>
      </c>
      <c r="G213" s="1488"/>
      <c r="H213" s="1489">
        <f>H214</f>
        <v>60909</v>
      </c>
      <c r="I213" s="1489">
        <v>0</v>
      </c>
      <c r="J213" s="913">
        <f>H213-I213</f>
        <v>60909</v>
      </c>
      <c r="K213" s="1490"/>
      <c r="L213" s="1491"/>
      <c r="M213" s="1492">
        <f>H213</f>
        <v>60909</v>
      </c>
      <c r="N213" s="495"/>
      <c r="O213" s="494"/>
      <c r="P213" s="495"/>
      <c r="Q213" s="495"/>
      <c r="R213" s="495"/>
      <c r="S213" s="495"/>
      <c r="T213" s="495"/>
      <c r="U213" s="344"/>
      <c r="V213" s="495"/>
      <c r="W213" s="495"/>
      <c r="X213" s="495"/>
      <c r="Y213" s="495"/>
      <c r="Z213" s="495"/>
      <c r="AA213" s="495"/>
      <c r="AB213" s="2673"/>
      <c r="AC213" s="495"/>
      <c r="AD213" s="495"/>
      <c r="AE213" s="495"/>
      <c r="AF213" s="495"/>
      <c r="AG213" s="495"/>
      <c r="AH213" s="495"/>
      <c r="AI213" s="495"/>
      <c r="AJ213" s="495"/>
      <c r="AK213" s="495"/>
      <c r="AL213" s="495"/>
      <c r="AM213" s="495"/>
      <c r="AN213" s="495"/>
      <c r="AO213" s="495"/>
      <c r="AP213" s="495"/>
      <c r="AQ213" s="495"/>
      <c r="AR213" s="495"/>
      <c r="AS213" s="495"/>
      <c r="AT213" s="495"/>
      <c r="AU213" s="495"/>
      <c r="AV213" s="495"/>
      <c r="AW213" s="495"/>
      <c r="AX213" s="495"/>
      <c r="AY213" s="495"/>
      <c r="AZ213" s="495"/>
      <c r="BA213" s="495"/>
      <c r="BB213" s="495"/>
      <c r="BC213" s="495"/>
      <c r="BD213" s="495"/>
      <c r="BE213" s="495"/>
      <c r="BF213" s="2781"/>
    </row>
    <row r="214" spans="1:58" ht="17.25" customHeight="1">
      <c r="A214" s="295"/>
      <c r="B214" s="1352"/>
      <c r="C214" s="1352"/>
      <c r="D214" s="1486"/>
      <c r="E214" s="1486"/>
      <c r="F214" s="1352"/>
      <c r="G214" s="1494" t="s">
        <v>923</v>
      </c>
      <c r="H214" s="1495">
        <f>M214</f>
        <v>60909</v>
      </c>
      <c r="I214" s="1495">
        <v>0</v>
      </c>
      <c r="J214" s="912">
        <f>H214-I214</f>
        <v>60909</v>
      </c>
      <c r="K214" s="1496" t="s">
        <v>923</v>
      </c>
      <c r="L214" s="1497"/>
      <c r="M214" s="1498">
        <f>M215+M221</f>
        <v>60909</v>
      </c>
      <c r="N214" s="1656"/>
      <c r="O214" s="1656"/>
      <c r="P214" s="1657">
        <v>9160</v>
      </c>
      <c r="Q214" s="1656">
        <v>8</v>
      </c>
      <c r="R214" s="1658">
        <f>P214*Q214</f>
        <v>73280</v>
      </c>
      <c r="S214" s="1656"/>
      <c r="T214" s="1656"/>
      <c r="U214" s="1857"/>
      <c r="V214" s="1656"/>
      <c r="W214" s="1656"/>
      <c r="X214" s="1656"/>
      <c r="Y214" s="496"/>
      <c r="Z214" s="496"/>
      <c r="AA214" s="496"/>
      <c r="AB214" s="2673"/>
      <c r="AC214" s="496"/>
      <c r="AD214" s="496"/>
      <c r="AE214" s="496"/>
      <c r="AF214" s="496"/>
      <c r="AG214" s="496"/>
      <c r="AH214" s="496"/>
      <c r="AI214" s="496"/>
      <c r="AJ214" s="496"/>
      <c r="AK214" s="496"/>
      <c r="AL214" s="496"/>
      <c r="AM214" s="496"/>
      <c r="AN214" s="496"/>
      <c r="AO214" s="496"/>
      <c r="AP214" s="496"/>
      <c r="AQ214" s="496"/>
      <c r="AR214" s="496"/>
      <c r="AS214" s="496"/>
      <c r="AT214" s="496"/>
      <c r="AU214" s="496"/>
      <c r="AV214" s="496"/>
      <c r="AW214" s="496"/>
      <c r="AX214" s="496"/>
      <c r="AY214" s="496"/>
      <c r="AZ214" s="496"/>
      <c r="BA214" s="496"/>
      <c r="BB214" s="496"/>
      <c r="BC214" s="496"/>
      <c r="BD214" s="496"/>
      <c r="BE214" s="496"/>
      <c r="BF214" s="2782"/>
    </row>
    <row r="215" spans="1:58" ht="17.25" customHeight="1">
      <c r="A215" s="295"/>
      <c r="B215" s="1352"/>
      <c r="C215" s="1352"/>
      <c r="D215" s="1486"/>
      <c r="E215" s="1486"/>
      <c r="F215" s="1499"/>
      <c r="G215" s="1499"/>
      <c r="H215" s="1065"/>
      <c r="I215" s="1065"/>
      <c r="J215" s="1500"/>
      <c r="K215" s="307" t="s">
        <v>1628</v>
      </c>
      <c r="L215" s="1858"/>
      <c r="M215" s="1859">
        <f>SUM(M216:M220)</f>
        <v>46753</v>
      </c>
      <c r="N215" s="1656"/>
      <c r="O215" s="1656"/>
      <c r="P215" s="1656"/>
      <c r="Q215" s="1656"/>
      <c r="R215" s="1656"/>
      <c r="S215" s="1656"/>
      <c r="T215" s="1656"/>
      <c r="U215" s="1857"/>
      <c r="V215" s="1656"/>
      <c r="W215" s="1656"/>
      <c r="X215" s="1656"/>
      <c r="Y215" s="496"/>
      <c r="Z215" s="496"/>
      <c r="AA215" s="496"/>
      <c r="AB215" s="2673"/>
      <c r="AC215" s="496"/>
      <c r="AD215" s="496"/>
      <c r="AE215" s="496"/>
      <c r="AF215" s="496"/>
      <c r="AG215" s="496"/>
      <c r="AH215" s="496"/>
      <c r="AI215" s="496"/>
      <c r="AJ215" s="496"/>
      <c r="AK215" s="496"/>
      <c r="AL215" s="496"/>
      <c r="AM215" s="496"/>
      <c r="AN215" s="496"/>
      <c r="AO215" s="496"/>
      <c r="AP215" s="496"/>
      <c r="AQ215" s="496"/>
      <c r="AR215" s="496"/>
      <c r="AS215" s="496"/>
      <c r="AT215" s="496"/>
      <c r="AU215" s="496"/>
      <c r="AV215" s="496"/>
      <c r="AW215" s="496"/>
      <c r="AX215" s="496"/>
      <c r="AY215" s="496"/>
      <c r="AZ215" s="496"/>
      <c r="BA215" s="496"/>
      <c r="BB215" s="496"/>
      <c r="BC215" s="496"/>
      <c r="BD215" s="496"/>
      <c r="BE215" s="496"/>
      <c r="BF215" s="2782"/>
    </row>
    <row r="216" spans="1:58" ht="17.25" customHeight="1">
      <c r="A216" s="295"/>
      <c r="B216" s="1352"/>
      <c r="C216" s="1352"/>
      <c r="D216" s="1486"/>
      <c r="E216" s="1486"/>
      <c r="F216" s="1352"/>
      <c r="G216" s="1352"/>
      <c r="H216" s="1065"/>
      <c r="I216" s="1065"/>
      <c r="J216" s="1500"/>
      <c r="K216" s="2678" t="s">
        <v>2499</v>
      </c>
      <c r="L216" s="1858" t="s">
        <v>292</v>
      </c>
      <c r="M216" s="1592">
        <v>34289</v>
      </c>
      <c r="N216" s="1656"/>
      <c r="O216" s="1657">
        <v>85680</v>
      </c>
      <c r="P216" s="1656">
        <v>8</v>
      </c>
      <c r="Q216" s="1658">
        <v>5</v>
      </c>
      <c r="R216" s="1656">
        <v>26</v>
      </c>
      <c r="S216" s="1659">
        <f>O216*P216*Q216*R216</f>
        <v>89107200</v>
      </c>
      <c r="T216" s="1656"/>
      <c r="U216" s="1857"/>
      <c r="V216" s="1656"/>
      <c r="W216" s="1656"/>
      <c r="X216" s="1656"/>
      <c r="Y216" s="496"/>
      <c r="Z216" s="496"/>
      <c r="AA216" s="496"/>
      <c r="AB216" s="2673">
        <f>87920*2*7*52</f>
        <v>64005760</v>
      </c>
      <c r="AC216" s="496"/>
      <c r="AD216" s="496"/>
      <c r="AE216" s="496"/>
      <c r="AF216" s="496"/>
      <c r="AG216" s="496"/>
      <c r="AH216" s="496"/>
      <c r="AI216" s="496"/>
      <c r="AJ216" s="496"/>
      <c r="AK216" s="496"/>
      <c r="AL216" s="496"/>
      <c r="AM216" s="496"/>
      <c r="AN216" s="496"/>
      <c r="AO216" s="496"/>
      <c r="AP216" s="496"/>
      <c r="AQ216" s="496"/>
      <c r="AR216" s="496"/>
      <c r="AS216" s="496"/>
      <c r="AT216" s="496"/>
      <c r="AU216" s="496"/>
      <c r="AV216" s="496"/>
      <c r="AW216" s="496"/>
      <c r="AX216" s="496"/>
      <c r="AY216" s="496"/>
      <c r="AZ216" s="496"/>
      <c r="BA216" s="496"/>
      <c r="BB216" s="496">
        <v>87920</v>
      </c>
      <c r="BC216" s="496">
        <v>3</v>
      </c>
      <c r="BD216" s="496">
        <v>5</v>
      </c>
      <c r="BE216" s="496">
        <v>26</v>
      </c>
      <c r="BF216" s="2782">
        <f t="shared" ref="BF216:BF224" si="13">BB216*BC216*BD216*BE216</f>
        <v>34288800</v>
      </c>
    </row>
    <row r="217" spans="1:58" ht="17.25" customHeight="1">
      <c r="A217" s="295"/>
      <c r="B217" s="1352"/>
      <c r="C217" s="1352"/>
      <c r="D217" s="1486"/>
      <c r="E217" s="1486"/>
      <c r="F217" s="1352"/>
      <c r="G217" s="1352"/>
      <c r="H217" s="1065"/>
      <c r="I217" s="1065"/>
      <c r="J217" s="1500"/>
      <c r="K217" s="2678" t="s">
        <v>2500</v>
      </c>
      <c r="L217" s="1858" t="s">
        <v>292</v>
      </c>
      <c r="M217" s="1592">
        <v>6858</v>
      </c>
      <c r="N217" s="1656"/>
      <c r="O217" s="1657">
        <v>85680</v>
      </c>
      <c r="P217" s="1656">
        <v>8</v>
      </c>
      <c r="Q217" s="1656">
        <v>26</v>
      </c>
      <c r="R217" s="1656"/>
      <c r="S217" s="1659">
        <f>O217*P217*Q217</f>
        <v>17821440</v>
      </c>
      <c r="T217" s="1656"/>
      <c r="U217" s="1857"/>
      <c r="V217" s="1656"/>
      <c r="W217" s="1656"/>
      <c r="X217" s="1656"/>
      <c r="Y217" s="496"/>
      <c r="Z217" s="496"/>
      <c r="AA217" s="496"/>
      <c r="AB217" s="2673">
        <f>87920*3*52</f>
        <v>13715520</v>
      </c>
      <c r="AC217" s="496"/>
      <c r="AD217" s="496"/>
      <c r="AE217" s="496"/>
      <c r="AF217" s="496"/>
      <c r="AG217" s="496"/>
      <c r="AH217" s="496"/>
      <c r="AI217" s="496"/>
      <c r="AJ217" s="496"/>
      <c r="AK217" s="496"/>
      <c r="AL217" s="496"/>
      <c r="AM217" s="496"/>
      <c r="AN217" s="496"/>
      <c r="AO217" s="496"/>
      <c r="AP217" s="496"/>
      <c r="AQ217" s="496"/>
      <c r="AR217" s="496"/>
      <c r="AS217" s="496"/>
      <c r="AT217" s="496"/>
      <c r="AU217" s="496"/>
      <c r="AV217" s="496"/>
      <c r="AW217" s="496"/>
      <c r="AX217" s="496"/>
      <c r="AY217" s="496"/>
      <c r="AZ217" s="496"/>
      <c r="BA217" s="496"/>
      <c r="BB217" s="496">
        <v>87920</v>
      </c>
      <c r="BC217" s="496">
        <v>3</v>
      </c>
      <c r="BD217" s="496">
        <v>26</v>
      </c>
      <c r="BE217" s="496">
        <v>1</v>
      </c>
      <c r="BF217" s="2782">
        <f t="shared" si="13"/>
        <v>6857760</v>
      </c>
    </row>
    <row r="218" spans="1:58" ht="17.25" customHeight="1">
      <c r="A218" s="295"/>
      <c r="B218" s="1352"/>
      <c r="C218" s="1352"/>
      <c r="D218" s="1486"/>
      <c r="E218" s="1486"/>
      <c r="F218" s="1352"/>
      <c r="G218" s="1352"/>
      <c r="H218" s="1065"/>
      <c r="I218" s="1065"/>
      <c r="J218" s="1500"/>
      <c r="K218" s="2678" t="s">
        <v>2501</v>
      </c>
      <c r="L218" s="1858" t="s">
        <v>292</v>
      </c>
      <c r="M218" s="1592">
        <v>1319</v>
      </c>
      <c r="N218" s="1656"/>
      <c r="O218" s="1657">
        <v>85680</v>
      </c>
      <c r="P218" s="1660">
        <v>1.5</v>
      </c>
      <c r="Q218" s="1656">
        <v>8</v>
      </c>
      <c r="R218" s="1656">
        <v>6</v>
      </c>
      <c r="S218" s="1659">
        <f>O218*P218*Q218*R218</f>
        <v>6168960</v>
      </c>
      <c r="T218" s="1656"/>
      <c r="U218" s="1857">
        <v>76960</v>
      </c>
      <c r="V218" s="1656"/>
      <c r="W218" s="1656"/>
      <c r="X218" s="1656"/>
      <c r="Y218" s="496"/>
      <c r="Z218" s="496"/>
      <c r="AA218" s="496"/>
      <c r="AB218" s="2673">
        <f>87920*2*10*1.5</f>
        <v>2637600</v>
      </c>
      <c r="AC218" s="496"/>
      <c r="AD218" s="496"/>
      <c r="AE218" s="496"/>
      <c r="AF218" s="496"/>
      <c r="AG218" s="496"/>
      <c r="AH218" s="496"/>
      <c r="AI218" s="496"/>
      <c r="AJ218" s="496"/>
      <c r="AK218" s="496"/>
      <c r="AL218" s="496"/>
      <c r="AM218" s="496"/>
      <c r="AN218" s="496"/>
      <c r="AO218" s="496"/>
      <c r="AP218" s="496"/>
      <c r="AQ218" s="496"/>
      <c r="AR218" s="496"/>
      <c r="AS218" s="496"/>
      <c r="AT218" s="496"/>
      <c r="AU218" s="496"/>
      <c r="AV218" s="496"/>
      <c r="AW218" s="496"/>
      <c r="AX218" s="496"/>
      <c r="AY218" s="496"/>
      <c r="AZ218" s="496"/>
      <c r="BA218" s="496"/>
      <c r="BB218" s="496">
        <v>87920</v>
      </c>
      <c r="BC218" s="496">
        <v>2</v>
      </c>
      <c r="BD218" s="496">
        <v>5</v>
      </c>
      <c r="BE218" s="496">
        <v>1.5</v>
      </c>
      <c r="BF218" s="2782">
        <f t="shared" si="13"/>
        <v>1318800</v>
      </c>
    </row>
    <row r="219" spans="1:58" s="496" customFormat="1" ht="17.25" customHeight="1">
      <c r="A219" s="295"/>
      <c r="B219" s="1352"/>
      <c r="C219" s="1352"/>
      <c r="D219" s="1486"/>
      <c r="E219" s="1486"/>
      <c r="F219" s="1352"/>
      <c r="G219" s="1352"/>
      <c r="H219" s="1065"/>
      <c r="I219" s="1065"/>
      <c r="J219" s="1500"/>
      <c r="K219" s="2678" t="s">
        <v>2505</v>
      </c>
      <c r="L219" s="1858" t="s">
        <v>292</v>
      </c>
      <c r="M219" s="1592">
        <v>2968</v>
      </c>
      <c r="N219" s="1656"/>
      <c r="O219" s="1657">
        <v>85680</v>
      </c>
      <c r="P219" s="1656">
        <v>8</v>
      </c>
      <c r="Q219" s="1656">
        <v>3</v>
      </c>
      <c r="R219" s="1656"/>
      <c r="S219" s="1659">
        <f>O219*P219*Q219</f>
        <v>2056320</v>
      </c>
      <c r="T219" s="1656"/>
      <c r="U219" s="1857"/>
      <c r="V219" s="1656"/>
      <c r="W219" s="1656"/>
      <c r="X219" s="1656"/>
      <c r="AB219" s="2673">
        <f>10990*0.5*3*30*12</f>
        <v>5934600</v>
      </c>
      <c r="BB219" s="496">
        <v>10990</v>
      </c>
      <c r="BC219" s="496">
        <v>0.5</v>
      </c>
      <c r="BD219" s="496">
        <v>3</v>
      </c>
      <c r="BE219" s="496">
        <v>180</v>
      </c>
      <c r="BF219" s="2782">
        <f t="shared" si="13"/>
        <v>2967300</v>
      </c>
    </row>
    <row r="220" spans="1:58" s="496" customFormat="1" ht="17.25" customHeight="1">
      <c r="A220" s="295"/>
      <c r="B220" s="1352"/>
      <c r="C220" s="1352"/>
      <c r="D220" s="1486"/>
      <c r="E220" s="1486"/>
      <c r="F220" s="1352"/>
      <c r="G220" s="1352"/>
      <c r="H220" s="1065"/>
      <c r="I220" s="1065"/>
      <c r="J220" s="1500"/>
      <c r="K220" s="2678" t="s">
        <v>2506</v>
      </c>
      <c r="L220" s="1858" t="s">
        <v>292</v>
      </c>
      <c r="M220" s="1592">
        <v>1319</v>
      </c>
      <c r="N220" s="1656"/>
      <c r="O220" s="1657"/>
      <c r="P220" s="1656"/>
      <c r="Q220" s="1656"/>
      <c r="R220" s="1656"/>
      <c r="S220" s="1659"/>
      <c r="T220" s="1656"/>
      <c r="U220" s="1857"/>
      <c r="V220" s="1656"/>
      <c r="W220" s="1656"/>
      <c r="X220" s="1656"/>
      <c r="AB220" s="2673">
        <f>87920*3*10</f>
        <v>2637600</v>
      </c>
      <c r="BB220" s="496">
        <v>87920</v>
      </c>
      <c r="BC220" s="496">
        <v>3</v>
      </c>
      <c r="BD220" s="496">
        <v>5</v>
      </c>
      <c r="BE220" s="496">
        <v>1</v>
      </c>
      <c r="BF220" s="2782">
        <f t="shared" si="13"/>
        <v>1318800</v>
      </c>
    </row>
    <row r="221" spans="1:58" ht="17.25" customHeight="1">
      <c r="A221" s="295"/>
      <c r="B221" s="1352"/>
      <c r="C221" s="1352"/>
      <c r="D221" s="1486"/>
      <c r="E221" s="1486"/>
      <c r="F221" s="1499"/>
      <c r="G221" s="1499"/>
      <c r="H221" s="1065"/>
      <c r="I221" s="1065"/>
      <c r="J221" s="1500"/>
      <c r="K221" s="307" t="s">
        <v>1629</v>
      </c>
      <c r="L221" s="1858"/>
      <c r="M221" s="1859">
        <f>SUM(M222:M224)</f>
        <v>14156</v>
      </c>
      <c r="N221" s="1656"/>
      <c r="O221" s="1656"/>
      <c r="P221" s="1656"/>
      <c r="Q221" s="1656"/>
      <c r="R221" s="1656"/>
      <c r="S221" s="1656"/>
      <c r="T221" s="1656"/>
      <c r="U221" s="1857"/>
      <c r="V221" s="1656"/>
      <c r="W221" s="1656"/>
      <c r="X221" s="1656"/>
      <c r="Y221" s="496"/>
      <c r="Z221" s="496"/>
      <c r="AA221" s="496"/>
      <c r="AB221" s="2673"/>
      <c r="AC221" s="496"/>
      <c r="AD221" s="496"/>
      <c r="AE221" s="496"/>
      <c r="AF221" s="496"/>
      <c r="AG221" s="496"/>
      <c r="AH221" s="496"/>
      <c r="AI221" s="496"/>
      <c r="AJ221" s="496"/>
      <c r="AK221" s="496"/>
      <c r="AL221" s="496"/>
      <c r="AM221" s="496"/>
      <c r="AN221" s="496"/>
      <c r="AO221" s="496"/>
      <c r="AP221" s="496"/>
      <c r="AQ221" s="496"/>
      <c r="AR221" s="496"/>
      <c r="AS221" s="496"/>
      <c r="AT221" s="496"/>
      <c r="AU221" s="496"/>
      <c r="AV221" s="496"/>
      <c r="AW221" s="496"/>
      <c r="AX221" s="496"/>
      <c r="AY221" s="496"/>
      <c r="AZ221" s="496"/>
      <c r="BA221" s="496"/>
      <c r="BB221" s="496"/>
      <c r="BC221" s="496"/>
      <c r="BD221" s="496"/>
      <c r="BE221" s="496"/>
      <c r="BF221" s="2782">
        <f t="shared" si="13"/>
        <v>0</v>
      </c>
    </row>
    <row r="222" spans="1:58" ht="17.25" customHeight="1">
      <c r="A222" s="295"/>
      <c r="B222" s="1352"/>
      <c r="C222" s="1352"/>
      <c r="D222" s="1486"/>
      <c r="E222" s="1486"/>
      <c r="F222" s="1352"/>
      <c r="G222" s="1352"/>
      <c r="H222" s="1065"/>
      <c r="I222" s="1065"/>
      <c r="J222" s="1500"/>
      <c r="K222" s="2678" t="s">
        <v>2502</v>
      </c>
      <c r="L222" s="1858" t="s">
        <v>292</v>
      </c>
      <c r="M222" s="1592">
        <v>11430</v>
      </c>
      <c r="N222" s="1656"/>
      <c r="O222" s="1657">
        <v>42804</v>
      </c>
      <c r="P222" s="1656">
        <v>3</v>
      </c>
      <c r="Q222" s="1658">
        <v>5</v>
      </c>
      <c r="R222" s="1656">
        <v>26</v>
      </c>
      <c r="S222" s="1659">
        <f>O222*P222*Q222*R222</f>
        <v>16693560</v>
      </c>
      <c r="T222" s="1656"/>
      <c r="U222" s="1857"/>
      <c r="V222" s="1656"/>
      <c r="W222" s="1656"/>
      <c r="X222" s="1656"/>
      <c r="Y222" s="496"/>
      <c r="Z222" s="496"/>
      <c r="AA222" s="496"/>
      <c r="AB222" s="2673">
        <f>87920*2*7*52</f>
        <v>64005760</v>
      </c>
      <c r="AC222" s="496"/>
      <c r="AD222" s="496"/>
      <c r="AE222" s="496"/>
      <c r="AF222" s="496"/>
      <c r="AG222" s="496"/>
      <c r="AH222" s="496"/>
      <c r="AI222" s="496"/>
      <c r="AJ222" s="496"/>
      <c r="AK222" s="496"/>
      <c r="AL222" s="496"/>
      <c r="AM222" s="496"/>
      <c r="AN222" s="496"/>
      <c r="AO222" s="496"/>
      <c r="AP222" s="496"/>
      <c r="AQ222" s="496"/>
      <c r="AR222" s="496"/>
      <c r="AS222" s="496"/>
      <c r="AT222" s="496"/>
      <c r="AU222" s="496"/>
      <c r="AV222" s="496"/>
      <c r="AW222" s="496"/>
      <c r="AX222" s="496"/>
      <c r="AY222" s="496"/>
      <c r="AZ222" s="496"/>
      <c r="BA222" s="496"/>
      <c r="BB222" s="496">
        <v>87920</v>
      </c>
      <c r="BC222" s="496">
        <v>1</v>
      </c>
      <c r="BD222" s="496">
        <v>5</v>
      </c>
      <c r="BE222" s="496">
        <v>26</v>
      </c>
      <c r="BF222" s="2782">
        <f t="shared" si="13"/>
        <v>11429600</v>
      </c>
    </row>
    <row r="223" spans="1:58" ht="17.25" customHeight="1">
      <c r="A223" s="295"/>
      <c r="B223" s="1352"/>
      <c r="C223" s="1352"/>
      <c r="D223" s="1486"/>
      <c r="E223" s="1486"/>
      <c r="F223" s="1352"/>
      <c r="G223" s="1352"/>
      <c r="H223" s="1065"/>
      <c r="I223" s="1065"/>
      <c r="J223" s="1500"/>
      <c r="K223" s="2678" t="s">
        <v>2503</v>
      </c>
      <c r="L223" s="1858" t="s">
        <v>292</v>
      </c>
      <c r="M223" s="1592">
        <v>2286</v>
      </c>
      <c r="N223" s="1656"/>
      <c r="O223" s="1657">
        <v>42804</v>
      </c>
      <c r="P223" s="1656">
        <v>3</v>
      </c>
      <c r="Q223" s="1656">
        <v>26</v>
      </c>
      <c r="R223" s="1656"/>
      <c r="S223" s="1659">
        <f>O223*P223*Q223</f>
        <v>3338712</v>
      </c>
      <c r="T223" s="1656"/>
      <c r="U223" s="1857"/>
      <c r="V223" s="1656"/>
      <c r="W223" s="1656"/>
      <c r="X223" s="1656"/>
      <c r="Y223" s="496"/>
      <c r="Z223" s="496"/>
      <c r="AA223" s="496"/>
      <c r="AB223" s="2673">
        <f>87920*3*52</f>
        <v>13715520</v>
      </c>
      <c r="AC223" s="496"/>
      <c r="AD223" s="496"/>
      <c r="AE223" s="496"/>
      <c r="AF223" s="496"/>
      <c r="AG223" s="496"/>
      <c r="AH223" s="496"/>
      <c r="AI223" s="496"/>
      <c r="AJ223" s="496"/>
      <c r="AK223" s="496"/>
      <c r="AL223" s="496"/>
      <c r="AM223" s="496"/>
      <c r="AN223" s="496"/>
      <c r="AO223" s="496"/>
      <c r="AP223" s="496"/>
      <c r="AQ223" s="496"/>
      <c r="AR223" s="496"/>
      <c r="AS223" s="496"/>
      <c r="AT223" s="496"/>
      <c r="AU223" s="496"/>
      <c r="AV223" s="496"/>
      <c r="AW223" s="496"/>
      <c r="AX223" s="496"/>
      <c r="AY223" s="496"/>
      <c r="AZ223" s="496"/>
      <c r="BA223" s="496"/>
      <c r="BB223" s="496">
        <v>87920</v>
      </c>
      <c r="BC223" s="496">
        <v>1</v>
      </c>
      <c r="BD223" s="496">
        <v>1</v>
      </c>
      <c r="BE223" s="496">
        <v>26</v>
      </c>
      <c r="BF223" s="2782">
        <f t="shared" si="13"/>
        <v>2285920</v>
      </c>
    </row>
    <row r="224" spans="1:58" s="496" customFormat="1" ht="17.25" customHeight="1">
      <c r="A224" s="295"/>
      <c r="B224" s="1352"/>
      <c r="C224" s="1352"/>
      <c r="D224" s="1486"/>
      <c r="E224" s="1486"/>
      <c r="F224" s="1352"/>
      <c r="G224" s="1352"/>
      <c r="H224" s="1065"/>
      <c r="I224" s="1065"/>
      <c r="J224" s="1500"/>
      <c r="K224" s="2678" t="s">
        <v>2504</v>
      </c>
      <c r="L224" s="1858" t="s">
        <v>292</v>
      </c>
      <c r="M224" s="1592">
        <v>440</v>
      </c>
      <c r="N224" s="1656"/>
      <c r="O224" s="1657"/>
      <c r="P224" s="1656"/>
      <c r="Q224" s="1656"/>
      <c r="R224" s="1656"/>
      <c r="S224" s="1659"/>
      <c r="T224" s="1656"/>
      <c r="U224" s="1857"/>
      <c r="V224" s="1656"/>
      <c r="W224" s="1656"/>
      <c r="X224" s="1656"/>
      <c r="AB224" s="2673">
        <f>87920*3*10</f>
        <v>2637600</v>
      </c>
      <c r="BB224" s="496">
        <v>87920</v>
      </c>
      <c r="BC224" s="496">
        <v>1</v>
      </c>
      <c r="BD224" s="496">
        <v>5</v>
      </c>
      <c r="BE224" s="496">
        <v>1</v>
      </c>
      <c r="BF224" s="2782">
        <f t="shared" si="13"/>
        <v>439600</v>
      </c>
    </row>
    <row r="225" spans="1:58" s="2" customFormat="1" ht="18" customHeight="1">
      <c r="A225" s="64"/>
      <c r="B225" s="22"/>
      <c r="C225" s="832"/>
      <c r="D225" s="832"/>
      <c r="E225" s="1026" t="s">
        <v>855</v>
      </c>
      <c r="F225" s="1027"/>
      <c r="G225" s="1028"/>
      <c r="H225" s="825">
        <f>H226+H263+H267+H270</f>
        <v>108392</v>
      </c>
      <c r="I225" s="825">
        <v>0</v>
      </c>
      <c r="J225" s="826">
        <f t="shared" ref="J225" si="14">H225-I225</f>
        <v>108392</v>
      </c>
      <c r="K225" s="728"/>
      <c r="L225" s="827"/>
      <c r="M225" s="694">
        <f>M226+M641+M648+M651+M706</f>
        <v>0</v>
      </c>
      <c r="N225" s="1022"/>
      <c r="O225" s="3"/>
      <c r="P225" s="68"/>
      <c r="Q225" s="1023"/>
      <c r="R225" s="1023"/>
      <c r="S225" s="1023"/>
      <c r="T225" s="76"/>
      <c r="U225" s="1856"/>
      <c r="AB225" s="2673"/>
      <c r="BF225" s="2779"/>
    </row>
    <row r="226" spans="1:58" s="1493" customFormat="1" ht="20.25" customHeight="1">
      <c r="A226" s="295"/>
      <c r="B226" s="1352"/>
      <c r="C226" s="1352"/>
      <c r="D226" s="1505"/>
      <c r="E226" s="1505"/>
      <c r="F226" s="1506" t="s">
        <v>327</v>
      </c>
      <c r="G226" s="1507"/>
      <c r="H226" s="937">
        <f>H227+H246+H250+H255+H261+H238+H236</f>
        <v>99512</v>
      </c>
      <c r="I226" s="937">
        <v>0</v>
      </c>
      <c r="J226" s="913">
        <f>H226-I226</f>
        <v>99512</v>
      </c>
      <c r="K226" s="1508"/>
      <c r="L226" s="1509"/>
      <c r="M226" s="1510"/>
      <c r="N226" s="494"/>
      <c r="O226" s="494"/>
      <c r="P226" s="494">
        <v>9640</v>
      </c>
      <c r="Q226" s="494">
        <v>8720</v>
      </c>
      <c r="R226" s="494">
        <f>P226-Q226</f>
        <v>920</v>
      </c>
      <c r="S226" s="494">
        <v>8</v>
      </c>
      <c r="T226" s="494">
        <f>R226*S226</f>
        <v>7360</v>
      </c>
      <c r="U226" s="1860"/>
      <c r="V226" s="494"/>
      <c r="W226" s="494"/>
      <c r="X226" s="494"/>
      <c r="Y226" s="494"/>
      <c r="Z226" s="494"/>
      <c r="AA226" s="494"/>
      <c r="AB226" s="2673"/>
      <c r="AC226" s="494"/>
      <c r="AD226" s="494"/>
      <c r="AE226" s="494"/>
      <c r="AF226" s="494"/>
      <c r="AG226" s="494"/>
      <c r="AH226" s="494"/>
      <c r="AI226" s="494"/>
      <c r="AJ226" s="494"/>
      <c r="AK226" s="494"/>
      <c r="AL226" s="494"/>
      <c r="AM226" s="494"/>
      <c r="AN226" s="494"/>
      <c r="AO226" s="494"/>
      <c r="AP226" s="494"/>
      <c r="AQ226" s="494"/>
      <c r="AR226" s="494"/>
      <c r="AS226" s="494"/>
      <c r="AT226" s="494"/>
      <c r="AU226" s="494"/>
      <c r="AV226" s="494"/>
      <c r="AW226" s="494"/>
      <c r="AX226" s="494"/>
      <c r="AY226" s="494"/>
      <c r="AZ226" s="494"/>
      <c r="BA226" s="494"/>
      <c r="BB226" s="494"/>
      <c r="BC226" s="494"/>
      <c r="BD226" s="494"/>
      <c r="BE226" s="494"/>
      <c r="BF226" s="2778"/>
    </row>
    <row r="227" spans="1:58" ht="20.25" customHeight="1">
      <c r="A227" s="295"/>
      <c r="B227" s="1352"/>
      <c r="C227" s="1352"/>
      <c r="D227" s="1352"/>
      <c r="E227" s="1352"/>
      <c r="F227" s="1499"/>
      <c r="G227" s="1499" t="s">
        <v>328</v>
      </c>
      <c r="H227" s="1511">
        <f>M227</f>
        <v>14914</v>
      </c>
      <c r="I227" s="1511">
        <v>0</v>
      </c>
      <c r="J227" s="1512">
        <f>H227-I227</f>
        <v>14914</v>
      </c>
      <c r="K227" s="1513" t="s">
        <v>328</v>
      </c>
      <c r="L227" s="1514"/>
      <c r="M227" s="1515">
        <f>SUM(M228:M235)</f>
        <v>14914</v>
      </c>
      <c r="N227" s="494"/>
      <c r="P227" s="1516">
        <v>0.05</v>
      </c>
      <c r="Q227" s="494">
        <v>9160</v>
      </c>
      <c r="U227" s="1860"/>
      <c r="AB227" s="2673"/>
    </row>
    <row r="228" spans="1:58" ht="20.25" customHeight="1">
      <c r="A228" s="295"/>
      <c r="B228" s="1352"/>
      <c r="C228" s="1352"/>
      <c r="D228" s="1352"/>
      <c r="E228" s="1352"/>
      <c r="F228" s="1499"/>
      <c r="G228" s="1499"/>
      <c r="H228" s="940"/>
      <c r="I228" s="940"/>
      <c r="J228" s="1517"/>
      <c r="K228" s="1849" t="s">
        <v>946</v>
      </c>
      <c r="L228" s="1845" t="s">
        <v>292</v>
      </c>
      <c r="M228" s="1861">
        <v>6000</v>
      </c>
      <c r="N228" s="1631"/>
      <c r="O228" s="1631"/>
      <c r="P228" s="1631" t="e">
        <f>P226+#REF!</f>
        <v>#REF!</v>
      </c>
      <c r="Q228" s="1661">
        <v>5.0999999999999997E-2</v>
      </c>
      <c r="R228" s="1631"/>
      <c r="S228" s="1631"/>
      <c r="T228" s="1631"/>
      <c r="U228" s="948"/>
      <c r="V228" s="1631"/>
      <c r="W228" s="1631">
        <v>2000</v>
      </c>
      <c r="X228" s="1631">
        <v>3000</v>
      </c>
      <c r="Y228" s="1631"/>
      <c r="Z228" s="1631"/>
      <c r="AA228" s="1662">
        <f t="shared" ref="AA228:AA234" si="15">W228*X228</f>
        <v>6000000</v>
      </c>
      <c r="AB228" s="2673">
        <f>2000*3000</f>
        <v>6000000</v>
      </c>
      <c r="AC228" s="1631"/>
      <c r="AD228" s="1631"/>
      <c r="AE228" s="1631"/>
      <c r="AF228" s="1631"/>
      <c r="AG228" s="1631"/>
      <c r="AH228" s="1631"/>
      <c r="AI228" s="1631"/>
      <c r="AJ228" s="1631"/>
      <c r="AK228" s="1631"/>
      <c r="AL228" s="1631"/>
    </row>
    <row r="229" spans="1:58" ht="20.25" customHeight="1">
      <c r="A229" s="295"/>
      <c r="B229" s="1352"/>
      <c r="C229" s="1352"/>
      <c r="D229" s="1352"/>
      <c r="E229" s="1352"/>
      <c r="F229" s="1499"/>
      <c r="G229" s="1499"/>
      <c r="H229" s="940"/>
      <c r="I229" s="940"/>
      <c r="J229" s="1517"/>
      <c r="K229" s="1849" t="s">
        <v>947</v>
      </c>
      <c r="L229" s="1845" t="s">
        <v>292</v>
      </c>
      <c r="M229" s="1861">
        <v>1800</v>
      </c>
      <c r="N229" s="1631"/>
      <c r="O229" s="1631"/>
      <c r="P229" s="1663">
        <v>10120</v>
      </c>
      <c r="Q229" s="1663">
        <v>9160</v>
      </c>
      <c r="R229" s="1663">
        <f>P229-Q229</f>
        <v>960</v>
      </c>
      <c r="S229" s="1663">
        <v>8</v>
      </c>
      <c r="T229" s="1663">
        <f>R229*S229</f>
        <v>7680</v>
      </c>
      <c r="U229" s="1862"/>
      <c r="V229" s="1631"/>
      <c r="W229" s="1631">
        <v>1200</v>
      </c>
      <c r="X229" s="1631">
        <v>1500</v>
      </c>
      <c r="Y229" s="1631"/>
      <c r="Z229" s="1631"/>
      <c r="AA229" s="1662">
        <f t="shared" si="15"/>
        <v>1800000</v>
      </c>
      <c r="AB229" s="2673">
        <f>1200*1500</f>
        <v>1800000</v>
      </c>
      <c r="AC229" s="1631"/>
      <c r="AD229" s="1631"/>
      <c r="AE229" s="1631"/>
      <c r="AF229" s="1631"/>
      <c r="AG229" s="1631"/>
      <c r="AH229" s="1631"/>
      <c r="AI229" s="1631"/>
      <c r="AJ229" s="1631"/>
      <c r="AK229" s="1631"/>
      <c r="AL229" s="1631"/>
    </row>
    <row r="230" spans="1:58" ht="20.25" customHeight="1">
      <c r="A230" s="295"/>
      <c r="B230" s="1352"/>
      <c r="C230" s="1352"/>
      <c r="D230" s="1352"/>
      <c r="E230" s="1352"/>
      <c r="F230" s="1499"/>
      <c r="G230" s="1499"/>
      <c r="H230" s="940"/>
      <c r="I230" s="940"/>
      <c r="J230" s="1517"/>
      <c r="K230" s="1849" t="s">
        <v>2496</v>
      </c>
      <c r="L230" s="1845" t="s">
        <v>292</v>
      </c>
      <c r="M230" s="1861">
        <v>1200</v>
      </c>
      <c r="N230" s="1631"/>
      <c r="O230" s="1631"/>
      <c r="P230" s="1631">
        <v>200000</v>
      </c>
      <c r="Q230" s="1631">
        <v>6</v>
      </c>
      <c r="R230" s="1631">
        <v>1</v>
      </c>
      <c r="S230" s="1631">
        <v>1</v>
      </c>
      <c r="T230" s="1631">
        <v>1</v>
      </c>
      <c r="U230" s="948">
        <f>P230*Q230*R230*S230*T230</f>
        <v>1200000</v>
      </c>
      <c r="V230" s="1631"/>
      <c r="W230" s="1631">
        <v>250000</v>
      </c>
      <c r="X230" s="1631">
        <v>6</v>
      </c>
      <c r="Y230" s="1631"/>
      <c r="Z230" s="1631"/>
      <c r="AA230" s="1662">
        <f t="shared" si="15"/>
        <v>1500000</v>
      </c>
      <c r="AB230" s="2673">
        <f>200000*6</f>
        <v>1200000</v>
      </c>
      <c r="AC230" s="1631"/>
      <c r="AD230" s="1631"/>
      <c r="AE230" s="1631"/>
      <c r="AF230" s="1631"/>
      <c r="AG230" s="1631"/>
      <c r="AH230" s="1631"/>
      <c r="AI230" s="1631"/>
      <c r="AJ230" s="1631"/>
      <c r="AK230" s="1631"/>
      <c r="AL230" s="1631"/>
    </row>
    <row r="231" spans="1:58" ht="20.25" customHeight="1">
      <c r="A231" s="295"/>
      <c r="B231" s="1352"/>
      <c r="C231" s="1352"/>
      <c r="D231" s="1352"/>
      <c r="E231" s="1352"/>
      <c r="F231" s="1499"/>
      <c r="G231" s="1499"/>
      <c r="H231" s="940"/>
      <c r="I231" s="940"/>
      <c r="J231" s="1517"/>
      <c r="K231" s="313" t="s">
        <v>1630</v>
      </c>
      <c r="L231" s="483" t="s">
        <v>292</v>
      </c>
      <c r="M231" s="317">
        <v>1600</v>
      </c>
      <c r="N231" s="1631"/>
      <c r="O231" s="1631"/>
      <c r="P231" s="1631"/>
      <c r="Q231" s="1631"/>
      <c r="R231" s="1631"/>
      <c r="S231" s="1631"/>
      <c r="T231" s="1631"/>
      <c r="U231" s="1863"/>
      <c r="V231" s="1631"/>
      <c r="W231" s="1631">
        <v>200000</v>
      </c>
      <c r="X231" s="1631">
        <v>20</v>
      </c>
      <c r="Y231" s="1631"/>
      <c r="Z231" s="1631"/>
      <c r="AA231" s="1662">
        <f t="shared" si="15"/>
        <v>4000000</v>
      </c>
      <c r="AB231" s="2673">
        <f>400000*4</f>
        <v>1600000</v>
      </c>
      <c r="AC231" s="1631"/>
      <c r="AD231" s="1631"/>
      <c r="AE231" s="1631"/>
      <c r="AF231" s="1631"/>
      <c r="AG231" s="1631"/>
      <c r="AH231" s="1631"/>
      <c r="AI231" s="1631"/>
      <c r="AJ231" s="1631"/>
      <c r="AK231" s="1631"/>
      <c r="AL231" s="1631"/>
    </row>
    <row r="232" spans="1:58" ht="20.25" customHeight="1">
      <c r="A232" s="295"/>
      <c r="B232" s="1352"/>
      <c r="C232" s="1352"/>
      <c r="D232" s="1352"/>
      <c r="E232" s="1352"/>
      <c r="F232" s="1499"/>
      <c r="G232" s="1499"/>
      <c r="H232" s="940"/>
      <c r="I232" s="940"/>
      <c r="J232" s="1517"/>
      <c r="K232" s="1849" t="s">
        <v>1631</v>
      </c>
      <c r="L232" s="1845" t="s">
        <v>292</v>
      </c>
      <c r="M232" s="1861">
        <v>44</v>
      </c>
      <c r="N232" s="1631"/>
      <c r="O232" s="1631"/>
      <c r="P232" s="1631"/>
      <c r="Q232" s="1631"/>
      <c r="R232" s="1631"/>
      <c r="S232" s="1631"/>
      <c r="T232" s="1631"/>
      <c r="U232" s="1863"/>
      <c r="V232" s="1631"/>
      <c r="W232" s="1631">
        <v>26000</v>
      </c>
      <c r="X232" s="1631">
        <v>2</v>
      </c>
      <c r="Y232" s="1631"/>
      <c r="Z232" s="1631"/>
      <c r="AA232" s="1662">
        <f t="shared" si="15"/>
        <v>52000</v>
      </c>
      <c r="AB232" s="2673">
        <f>22000*2</f>
        <v>44000</v>
      </c>
      <c r="AC232" s="1631"/>
      <c r="AD232" s="1631"/>
      <c r="AE232" s="1631"/>
      <c r="AF232" s="1631"/>
      <c r="AG232" s="1631"/>
      <c r="AH232" s="1631"/>
      <c r="AI232" s="1631"/>
      <c r="AJ232" s="1631"/>
      <c r="AK232" s="1631"/>
      <c r="AL232" s="1631"/>
    </row>
    <row r="233" spans="1:58" ht="20.25" customHeight="1">
      <c r="A233" s="295"/>
      <c r="B233" s="1352"/>
      <c r="C233" s="1352"/>
      <c r="D233" s="1352"/>
      <c r="E233" s="1352"/>
      <c r="F233" s="1499"/>
      <c r="G233" s="1499"/>
      <c r="H233" s="940"/>
      <c r="I233" s="940"/>
      <c r="J233" s="1517"/>
      <c r="K233" s="1849" t="s">
        <v>1632</v>
      </c>
      <c r="L233" s="1845" t="s">
        <v>292</v>
      </c>
      <c r="M233" s="1861">
        <v>1800</v>
      </c>
      <c r="N233" s="1631"/>
      <c r="O233" s="1631"/>
      <c r="P233" s="1631"/>
      <c r="Q233" s="1631"/>
      <c r="R233" s="1631"/>
      <c r="S233" s="1631"/>
      <c r="T233" s="1631"/>
      <c r="U233" s="1863"/>
      <c r="V233" s="1631"/>
      <c r="W233" s="1631">
        <v>300000</v>
      </c>
      <c r="X233" s="1631">
        <v>6</v>
      </c>
      <c r="Y233" s="1631"/>
      <c r="Z233" s="1631"/>
      <c r="AA233" s="1662">
        <f t="shared" si="15"/>
        <v>1800000</v>
      </c>
      <c r="AB233" s="2673">
        <f>300000*6</f>
        <v>1800000</v>
      </c>
      <c r="AC233" s="1631"/>
      <c r="AD233" s="1631"/>
      <c r="AE233" s="1631"/>
      <c r="AF233" s="1631"/>
      <c r="AG233" s="1631"/>
      <c r="AH233" s="1631"/>
      <c r="AI233" s="1631"/>
      <c r="AJ233" s="1631"/>
      <c r="AK233" s="1631"/>
      <c r="AL233" s="1631"/>
    </row>
    <row r="234" spans="1:58" ht="20.25" customHeight="1">
      <c r="A234" s="295"/>
      <c r="B234" s="1352"/>
      <c r="C234" s="1352"/>
      <c r="D234" s="1352"/>
      <c r="E234" s="1352"/>
      <c r="F234" s="1499"/>
      <c r="G234" s="1499"/>
      <c r="H234" s="940"/>
      <c r="I234" s="940"/>
      <c r="J234" s="1517"/>
      <c r="K234" s="1849" t="s">
        <v>1633</v>
      </c>
      <c r="L234" s="1845" t="s">
        <v>292</v>
      </c>
      <c r="M234" s="1861">
        <v>1800</v>
      </c>
      <c r="N234" s="1631"/>
      <c r="O234" s="1631"/>
      <c r="P234" s="1631"/>
      <c r="Q234" s="1631"/>
      <c r="R234" s="1631"/>
      <c r="S234" s="1631"/>
      <c r="T234" s="1631"/>
      <c r="U234" s="1863"/>
      <c r="V234" s="1631"/>
      <c r="W234" s="1631">
        <v>300000</v>
      </c>
      <c r="X234" s="1631">
        <v>6</v>
      </c>
      <c r="Y234" s="1631"/>
      <c r="Z234" s="1631"/>
      <c r="AA234" s="1662">
        <f t="shared" si="15"/>
        <v>1800000</v>
      </c>
      <c r="AB234" s="2673">
        <f>300000*6</f>
        <v>1800000</v>
      </c>
      <c r="AC234" s="1631"/>
      <c r="AD234" s="1631"/>
      <c r="AE234" s="1631"/>
      <c r="AF234" s="1631"/>
      <c r="AG234" s="1631"/>
      <c r="AH234" s="1631"/>
      <c r="AI234" s="1631"/>
      <c r="AJ234" s="1631"/>
      <c r="AK234" s="1631"/>
      <c r="AL234" s="1631"/>
    </row>
    <row r="235" spans="1:58" ht="20.25" customHeight="1">
      <c r="A235" s="295"/>
      <c r="B235" s="1352"/>
      <c r="C235" s="1352"/>
      <c r="D235" s="1352"/>
      <c r="E235" s="1352"/>
      <c r="F235" s="1499"/>
      <c r="G235" s="1499"/>
      <c r="H235" s="940"/>
      <c r="I235" s="940"/>
      <c r="J235" s="1517"/>
      <c r="K235" s="1864" t="s">
        <v>1634</v>
      </c>
      <c r="L235" s="1845" t="s">
        <v>752</v>
      </c>
      <c r="M235" s="1861">
        <v>670</v>
      </c>
      <c r="N235" s="1631"/>
      <c r="O235" s="1631"/>
      <c r="P235" s="1631"/>
      <c r="Q235" s="1631"/>
      <c r="R235" s="1631"/>
      <c r="S235" s="1631"/>
      <c r="T235" s="1631"/>
      <c r="U235" s="1863"/>
      <c r="V235" s="1631"/>
      <c r="W235" s="1631"/>
      <c r="X235" s="1631"/>
      <c r="Y235" s="1631"/>
      <c r="Z235" s="1631"/>
      <c r="AA235" s="1662"/>
      <c r="AB235" s="2673"/>
      <c r="AC235" s="1631"/>
      <c r="AD235" s="1631"/>
      <c r="AE235" s="1631"/>
      <c r="AF235" s="1631"/>
      <c r="AG235" s="1631"/>
      <c r="AH235" s="1631"/>
      <c r="AI235" s="1631"/>
      <c r="AJ235" s="1631"/>
      <c r="AK235" s="1631"/>
      <c r="AL235" s="1631"/>
    </row>
    <row r="236" spans="1:58" ht="20.25" customHeight="1">
      <c r="A236" s="295"/>
      <c r="B236" s="1352"/>
      <c r="C236" s="1352"/>
      <c r="D236" s="1352"/>
      <c r="E236" s="1352"/>
      <c r="F236" s="1499"/>
      <c r="G236" s="1522" t="s">
        <v>329</v>
      </c>
      <c r="H236" s="1523">
        <f>M236</f>
        <v>500</v>
      </c>
      <c r="I236" s="1523">
        <v>0</v>
      </c>
      <c r="J236" s="1524">
        <f>H236-I236</f>
        <v>500</v>
      </c>
      <c r="K236" s="1525" t="s">
        <v>329</v>
      </c>
      <c r="L236" s="1526"/>
      <c r="M236" s="1527">
        <f>SUM(M237:M237)</f>
        <v>500</v>
      </c>
      <c r="N236" s="494"/>
      <c r="U236" s="1865"/>
      <c r="AA236" s="1520"/>
      <c r="AB236" s="2673"/>
    </row>
    <row r="237" spans="1:58" ht="20.25" customHeight="1">
      <c r="A237" s="295"/>
      <c r="B237" s="1352"/>
      <c r="C237" s="1352"/>
      <c r="D237" s="1352"/>
      <c r="E237" s="1352"/>
      <c r="F237" s="1499"/>
      <c r="G237" s="491"/>
      <c r="H237" s="1528"/>
      <c r="I237" s="1528"/>
      <c r="J237" s="1529"/>
      <c r="K237" s="1866" t="s">
        <v>952</v>
      </c>
      <c r="L237" s="1845" t="s">
        <v>292</v>
      </c>
      <c r="M237" s="1592">
        <v>500</v>
      </c>
      <c r="N237" s="494"/>
      <c r="U237" s="1865"/>
      <c r="AB237" s="2673">
        <f>250000*2</f>
        <v>500000</v>
      </c>
    </row>
    <row r="238" spans="1:58" ht="20.25" customHeight="1">
      <c r="A238" s="295"/>
      <c r="B238" s="1352"/>
      <c r="C238" s="1352"/>
      <c r="D238" s="1352"/>
      <c r="E238" s="1352"/>
      <c r="F238" s="1499"/>
      <c r="G238" s="1531" t="s">
        <v>330</v>
      </c>
      <c r="H238" s="1511">
        <f>M238</f>
        <v>17930</v>
      </c>
      <c r="I238" s="1511">
        <v>0</v>
      </c>
      <c r="J238" s="1512">
        <f>H238-I238</f>
        <v>17930</v>
      </c>
      <c r="K238" s="1867" t="s">
        <v>330</v>
      </c>
      <c r="L238" s="1868"/>
      <c r="M238" s="1869">
        <f>M239+M240+M241+M242+M243+M244+M245</f>
        <v>17930</v>
      </c>
      <c r="N238" s="494"/>
      <c r="U238" s="1865"/>
      <c r="AB238" s="2673"/>
    </row>
    <row r="239" spans="1:58" ht="20.25" customHeight="1">
      <c r="A239" s="295"/>
      <c r="B239" s="1352"/>
      <c r="C239" s="1352"/>
      <c r="D239" s="1352"/>
      <c r="E239" s="1352"/>
      <c r="F239" s="1499"/>
      <c r="G239" s="1499"/>
      <c r="H239" s="940"/>
      <c r="I239" s="940"/>
      <c r="J239" s="1517"/>
      <c r="K239" s="1870" t="s">
        <v>2507</v>
      </c>
      <c r="L239" s="1845" t="s">
        <v>292</v>
      </c>
      <c r="M239" s="1861">
        <v>8000</v>
      </c>
      <c r="N239" s="494"/>
      <c r="U239" s="1865"/>
      <c r="AB239" s="2673">
        <f>4000000*4</f>
        <v>16000000</v>
      </c>
    </row>
    <row r="240" spans="1:58" ht="20.25" customHeight="1">
      <c r="A240" s="295"/>
      <c r="B240" s="1352"/>
      <c r="C240" s="1352"/>
      <c r="D240" s="1352"/>
      <c r="E240" s="1352"/>
      <c r="F240" s="1499"/>
      <c r="G240" s="1499"/>
      <c r="H240" s="940"/>
      <c r="I240" s="940"/>
      <c r="J240" s="1517"/>
      <c r="K240" s="1870" t="s">
        <v>2508</v>
      </c>
      <c r="L240" s="1845" t="s">
        <v>292</v>
      </c>
      <c r="M240" s="1861">
        <f>600*6</f>
        <v>3600</v>
      </c>
      <c r="N240" s="494"/>
      <c r="U240" s="1865"/>
      <c r="AB240" s="2673">
        <f>600000*12</f>
        <v>7200000</v>
      </c>
    </row>
    <row r="241" spans="1:58" ht="20.25" customHeight="1">
      <c r="A241" s="295"/>
      <c r="B241" s="1352"/>
      <c r="C241" s="1352"/>
      <c r="D241" s="1352"/>
      <c r="E241" s="1352"/>
      <c r="F241" s="1499"/>
      <c r="G241" s="1499"/>
      <c r="H241" s="940"/>
      <c r="I241" s="940"/>
      <c r="J241" s="1517"/>
      <c r="K241" s="1870" t="s">
        <v>2509</v>
      </c>
      <c r="L241" s="1845" t="s">
        <v>292</v>
      </c>
      <c r="M241" s="1861">
        <f>300*6</f>
        <v>1800</v>
      </c>
      <c r="N241" s="494"/>
      <c r="U241" s="1865"/>
      <c r="AB241" s="2673">
        <f>300000*12</f>
        <v>3600000</v>
      </c>
    </row>
    <row r="242" spans="1:58" ht="20.25" customHeight="1">
      <c r="A242" s="1351"/>
      <c r="B242" s="1352"/>
      <c r="C242" s="1352"/>
      <c r="D242" s="1486"/>
      <c r="E242" s="1486"/>
      <c r="F242" s="1499"/>
      <c r="G242" s="1499"/>
      <c r="H242" s="940"/>
      <c r="I242" s="940"/>
      <c r="J242" s="1517"/>
      <c r="K242" s="1849" t="s">
        <v>2510</v>
      </c>
      <c r="L242" s="1845" t="s">
        <v>292</v>
      </c>
      <c r="M242" s="1861">
        <f>200*6</f>
        <v>1200</v>
      </c>
      <c r="N242" s="494"/>
      <c r="U242" s="1860"/>
      <c r="AB242" s="2673">
        <f>200000*12</f>
        <v>2400000</v>
      </c>
      <c r="AC242" s="1871"/>
    </row>
    <row r="243" spans="1:58" ht="20.25" customHeight="1">
      <c r="A243" s="1351"/>
      <c r="B243" s="1352"/>
      <c r="C243" s="1352"/>
      <c r="D243" s="1486"/>
      <c r="E243" s="1486"/>
      <c r="F243" s="1352"/>
      <c r="G243" s="1352"/>
      <c r="H243" s="940"/>
      <c r="I243" s="940"/>
      <c r="J243" s="1534"/>
      <c r="K243" s="1872" t="s">
        <v>2511</v>
      </c>
      <c r="L243" s="1873" t="s">
        <v>292</v>
      </c>
      <c r="M243" s="1592">
        <f>250*6</f>
        <v>1500</v>
      </c>
      <c r="N243" s="494"/>
      <c r="U243" s="1860"/>
      <c r="AB243" s="2673">
        <f>250000*12</f>
        <v>3000000</v>
      </c>
    </row>
    <row r="244" spans="1:58" ht="20.25" customHeight="1">
      <c r="A244" s="1351"/>
      <c r="B244" s="1352"/>
      <c r="C244" s="1352"/>
      <c r="D244" s="1486"/>
      <c r="E244" s="1486"/>
      <c r="F244" s="1352"/>
      <c r="G244" s="1352"/>
      <c r="H244" s="940"/>
      <c r="I244" s="940"/>
      <c r="J244" s="1534"/>
      <c r="K244" s="1872" t="s">
        <v>2512</v>
      </c>
      <c r="L244" s="1873" t="s">
        <v>292</v>
      </c>
      <c r="M244" s="1592">
        <f>250*6</f>
        <v>1500</v>
      </c>
      <c r="N244" s="494"/>
      <c r="U244" s="1860"/>
      <c r="AB244" s="2673">
        <f>250000*12</f>
        <v>3000000</v>
      </c>
    </row>
    <row r="245" spans="1:58" s="494" customFormat="1" ht="20.25" customHeight="1">
      <c r="A245" s="1351"/>
      <c r="B245" s="1352"/>
      <c r="C245" s="1352"/>
      <c r="D245" s="1486"/>
      <c r="E245" s="1486"/>
      <c r="F245" s="1352"/>
      <c r="G245" s="1352"/>
      <c r="H245" s="940"/>
      <c r="I245" s="940"/>
      <c r="J245" s="1534"/>
      <c r="K245" s="1872" t="s">
        <v>2513</v>
      </c>
      <c r="L245" s="1873" t="s">
        <v>292</v>
      </c>
      <c r="M245" s="1592">
        <f>27500*2*6/1000</f>
        <v>330</v>
      </c>
      <c r="Q245" s="1537"/>
      <c r="R245" s="1537"/>
      <c r="S245" s="1537"/>
      <c r="U245" s="1860"/>
      <c r="AB245" s="2673">
        <f>27500*2*12</f>
        <v>660000</v>
      </c>
      <c r="BF245" s="2778"/>
    </row>
    <row r="246" spans="1:58" s="494" customFormat="1" ht="20.25" customHeight="1">
      <c r="A246" s="1351"/>
      <c r="B246" s="1352"/>
      <c r="C246" s="1352"/>
      <c r="D246" s="1486"/>
      <c r="E246" s="1486"/>
      <c r="F246" s="1352"/>
      <c r="G246" s="1494" t="s">
        <v>331</v>
      </c>
      <c r="H246" s="1511">
        <f>M246</f>
        <v>11760</v>
      </c>
      <c r="I246" s="1511">
        <v>0</v>
      </c>
      <c r="J246" s="912">
        <f>H246-I246</f>
        <v>11760</v>
      </c>
      <c r="K246" s="1874" t="s">
        <v>331</v>
      </c>
      <c r="L246" s="1875"/>
      <c r="M246" s="1876">
        <f>SUM(M247:M249)</f>
        <v>11760</v>
      </c>
      <c r="O246" s="1537"/>
      <c r="P246" s="1540"/>
      <c r="Q246" s="1537"/>
      <c r="R246" s="1537"/>
      <c r="S246" s="1537"/>
      <c r="T246" s="1537"/>
      <c r="U246" s="1877">
        <f>P246*Q246*R246*S246</f>
        <v>0</v>
      </c>
      <c r="AB246" s="2673"/>
      <c r="BF246" s="2778"/>
    </row>
    <row r="247" spans="1:58" s="494" customFormat="1" ht="20.25" customHeight="1">
      <c r="A247" s="1351"/>
      <c r="B247" s="1352"/>
      <c r="C247" s="1352"/>
      <c r="D247" s="1486"/>
      <c r="E247" s="1486"/>
      <c r="F247" s="1352"/>
      <c r="G247" s="1352"/>
      <c r="H247" s="940"/>
      <c r="I247" s="940"/>
      <c r="J247" s="1534"/>
      <c r="K247" s="1872" t="s">
        <v>2497</v>
      </c>
      <c r="L247" s="1873" t="s">
        <v>292</v>
      </c>
      <c r="M247" s="1592">
        <f>110*12</f>
        <v>1320</v>
      </c>
      <c r="O247" s="1537"/>
      <c r="P247" s="1540"/>
      <c r="Q247" s="1537"/>
      <c r="R247" s="1537"/>
      <c r="S247" s="1537"/>
      <c r="T247" s="1537"/>
      <c r="U247" s="1877">
        <f>P247*Q247*R247*S247</f>
        <v>0</v>
      </c>
      <c r="AB247" s="2673">
        <f>200000*12</f>
        <v>2400000</v>
      </c>
      <c r="BF247" s="2778"/>
    </row>
    <row r="248" spans="1:58" s="494" customFormat="1" ht="20.25" customHeight="1">
      <c r="A248" s="1351"/>
      <c r="B248" s="1352"/>
      <c r="C248" s="1352"/>
      <c r="D248" s="1486"/>
      <c r="E248" s="1486"/>
      <c r="F248" s="1352"/>
      <c r="G248" s="1352"/>
      <c r="H248" s="940"/>
      <c r="I248" s="940"/>
      <c r="J248" s="1500"/>
      <c r="K248" s="1872" t="s">
        <v>1635</v>
      </c>
      <c r="L248" s="1873" t="s">
        <v>292</v>
      </c>
      <c r="M248" s="1592">
        <v>9600</v>
      </c>
      <c r="O248" s="1537"/>
      <c r="P248" s="1540"/>
      <c r="Q248" s="1537"/>
      <c r="R248" s="1537"/>
      <c r="S248" s="1537"/>
      <c r="T248" s="1537"/>
      <c r="U248" s="1877">
        <f>P248*Q248*R248*S248</f>
        <v>0</v>
      </c>
      <c r="AB248" s="2673">
        <f>800000*12</f>
        <v>9600000</v>
      </c>
      <c r="BF248" s="2778"/>
    </row>
    <row r="249" spans="1:58" s="494" customFormat="1" ht="20.25" customHeight="1">
      <c r="A249" s="1351"/>
      <c r="B249" s="1352"/>
      <c r="C249" s="1352"/>
      <c r="D249" s="1486"/>
      <c r="E249" s="1486"/>
      <c r="F249" s="1352"/>
      <c r="G249" s="1352"/>
      <c r="H249" s="940"/>
      <c r="I249" s="940"/>
      <c r="J249" s="1534"/>
      <c r="K249" s="1872" t="s">
        <v>1636</v>
      </c>
      <c r="L249" s="1873" t="s">
        <v>292</v>
      </c>
      <c r="M249" s="1592">
        <v>840</v>
      </c>
      <c r="U249" s="1860"/>
      <c r="AB249" s="2673">
        <f>35000*12*2</f>
        <v>840000</v>
      </c>
      <c r="BF249" s="2778"/>
    </row>
    <row r="250" spans="1:58" s="494" customFormat="1" ht="20.25" customHeight="1">
      <c r="A250" s="1351"/>
      <c r="B250" s="1352"/>
      <c r="C250" s="1352"/>
      <c r="D250" s="1486"/>
      <c r="E250" s="1486"/>
      <c r="F250" s="1352"/>
      <c r="G250" s="1494" t="s">
        <v>332</v>
      </c>
      <c r="H250" s="1511">
        <f>M250</f>
        <v>6540</v>
      </c>
      <c r="I250" s="1511">
        <v>0</v>
      </c>
      <c r="J250" s="1512">
        <f>H250-I250</f>
        <v>6540</v>
      </c>
      <c r="K250" s="1874" t="s">
        <v>332</v>
      </c>
      <c r="L250" s="1875"/>
      <c r="M250" s="1876">
        <f>M251+M252</f>
        <v>6540</v>
      </c>
      <c r="U250" s="1860"/>
      <c r="AB250" s="2673"/>
      <c r="BF250" s="2778"/>
    </row>
    <row r="251" spans="1:58" s="494" customFormat="1" ht="20.25" customHeight="1">
      <c r="A251" s="1351"/>
      <c r="B251" s="1352"/>
      <c r="C251" s="1352"/>
      <c r="D251" s="1486"/>
      <c r="E251" s="1486"/>
      <c r="F251" s="1352"/>
      <c r="G251" s="1352"/>
      <c r="H251" s="940"/>
      <c r="I251" s="940"/>
      <c r="J251" s="1534"/>
      <c r="K251" s="1872" t="s">
        <v>2498</v>
      </c>
      <c r="L251" s="1873" t="s">
        <v>6</v>
      </c>
      <c r="M251" s="1592">
        <f>9*5*12</f>
        <v>540</v>
      </c>
      <c r="U251" s="1860"/>
      <c r="AB251" s="2673">
        <f>9000*10*12</f>
        <v>1080000</v>
      </c>
      <c r="BF251" s="2778"/>
    </row>
    <row r="252" spans="1:58" s="494" customFormat="1" ht="20.25" customHeight="1">
      <c r="A252" s="1351"/>
      <c r="B252" s="1352"/>
      <c r="C252" s="1352"/>
      <c r="D252" s="1486"/>
      <c r="E252" s="1486"/>
      <c r="F252" s="1352"/>
      <c r="G252" s="1352"/>
      <c r="H252" s="940"/>
      <c r="I252" s="940"/>
      <c r="J252" s="1534"/>
      <c r="K252" s="307" t="s">
        <v>1637</v>
      </c>
      <c r="L252" s="1845"/>
      <c r="M252" s="1861">
        <f>M253+M254</f>
        <v>6000</v>
      </c>
      <c r="U252" s="1860"/>
      <c r="AB252" s="2673"/>
      <c r="BF252" s="2778"/>
    </row>
    <row r="253" spans="1:58" s="494" customFormat="1" ht="20.25" customHeight="1">
      <c r="A253" s="1351"/>
      <c r="B253" s="1352"/>
      <c r="C253" s="1352"/>
      <c r="D253" s="1486"/>
      <c r="E253" s="1486"/>
      <c r="F253" s="1352"/>
      <c r="G253" s="1352"/>
      <c r="H253" s="940"/>
      <c r="I253" s="940"/>
      <c r="J253" s="1534"/>
      <c r="K253" s="1872" t="s">
        <v>1638</v>
      </c>
      <c r="L253" s="1873" t="s">
        <v>6</v>
      </c>
      <c r="M253" s="1592">
        <v>3000</v>
      </c>
      <c r="U253" s="1860"/>
      <c r="AB253" s="2673">
        <f>150000*10*2</f>
        <v>3000000</v>
      </c>
      <c r="BF253" s="2778"/>
    </row>
    <row r="254" spans="1:58" s="494" customFormat="1" ht="20.25" customHeight="1">
      <c r="A254" s="1351"/>
      <c r="B254" s="1352"/>
      <c r="C254" s="1352"/>
      <c r="D254" s="1486"/>
      <c r="E254" s="1486"/>
      <c r="F254" s="1352"/>
      <c r="G254" s="1542"/>
      <c r="H254" s="1061"/>
      <c r="I254" s="1061"/>
      <c r="J254" s="1543"/>
      <c r="K254" s="1878" t="s">
        <v>1639</v>
      </c>
      <c r="L254" s="1879" t="s">
        <v>6</v>
      </c>
      <c r="M254" s="1848">
        <v>3000</v>
      </c>
      <c r="U254" s="1860"/>
      <c r="AB254" s="2673"/>
      <c r="BF254" s="2778"/>
    </row>
    <row r="255" spans="1:58" s="494" customFormat="1" ht="20.25" customHeight="1">
      <c r="A255" s="1351"/>
      <c r="B255" s="1352"/>
      <c r="C255" s="1352"/>
      <c r="D255" s="1486"/>
      <c r="E255" s="1486"/>
      <c r="F255" s="1352"/>
      <c r="G255" s="1352" t="s">
        <v>333</v>
      </c>
      <c r="H255" s="940">
        <f>M255</f>
        <v>46428</v>
      </c>
      <c r="I255" s="940">
        <v>0</v>
      </c>
      <c r="J255" s="1534">
        <f>H255-I255</f>
        <v>46428</v>
      </c>
      <c r="K255" s="1880" t="s">
        <v>334</v>
      </c>
      <c r="L255" s="1873"/>
      <c r="M255" s="1859">
        <f>SUM(M256:M260)</f>
        <v>46428</v>
      </c>
      <c r="S255" s="494">
        <f>7200+4800+4200+3600+6600+330</f>
        <v>26730</v>
      </c>
      <c r="U255" s="1860"/>
      <c r="AB255" s="2673"/>
      <c r="BF255" s="2778"/>
    </row>
    <row r="256" spans="1:58" s="494" customFormat="1" ht="20.25" customHeight="1">
      <c r="A256" s="1351"/>
      <c r="B256" s="1352"/>
      <c r="C256" s="1352"/>
      <c r="D256" s="1486"/>
      <c r="E256" s="1486"/>
      <c r="F256" s="1352"/>
      <c r="G256" s="1352"/>
      <c r="H256" s="940"/>
      <c r="I256" s="940"/>
      <c r="J256" s="1534"/>
      <c r="K256" s="1872" t="s">
        <v>1640</v>
      </c>
      <c r="L256" s="1845" t="s">
        <v>292</v>
      </c>
      <c r="M256" s="1592">
        <v>9600</v>
      </c>
      <c r="U256" s="1860"/>
      <c r="AB256" s="2673">
        <f>800000*12</f>
        <v>9600000</v>
      </c>
      <c r="BF256" s="2778"/>
    </row>
    <row r="257" spans="1:58" s="494" customFormat="1" ht="20.25" customHeight="1">
      <c r="A257" s="1351"/>
      <c r="B257" s="1352"/>
      <c r="C257" s="1352"/>
      <c r="D257" s="1486"/>
      <c r="E257" s="1486"/>
      <c r="F257" s="1352"/>
      <c r="G257" s="1352"/>
      <c r="H257" s="940"/>
      <c r="I257" s="940"/>
      <c r="J257" s="1534"/>
      <c r="K257" s="2679" t="s">
        <v>2383</v>
      </c>
      <c r="L257" s="1845" t="s">
        <v>292</v>
      </c>
      <c r="M257" s="1592">
        <v>32400</v>
      </c>
      <c r="U257" s="1860"/>
      <c r="AB257" s="2673">
        <f>2700000*12</f>
        <v>32400000</v>
      </c>
      <c r="BF257" s="2778"/>
    </row>
    <row r="258" spans="1:58" s="494" customFormat="1" ht="20.25" customHeight="1">
      <c r="A258" s="1351"/>
      <c r="B258" s="1352"/>
      <c r="C258" s="1352"/>
      <c r="D258" s="1486"/>
      <c r="E258" s="1486"/>
      <c r="F258" s="1352"/>
      <c r="G258" s="1352"/>
      <c r="H258" s="940"/>
      <c r="I258" s="940"/>
      <c r="J258" s="1534"/>
      <c r="K258" s="1849" t="s">
        <v>1641</v>
      </c>
      <c r="L258" s="1845" t="s">
        <v>292</v>
      </c>
      <c r="M258" s="1592">
        <v>3600</v>
      </c>
      <c r="U258" s="1860"/>
      <c r="AB258" s="2673">
        <f>300000*12</f>
        <v>3600000</v>
      </c>
      <c r="BF258" s="2778"/>
    </row>
    <row r="259" spans="1:58" s="494" customFormat="1" ht="20.25" customHeight="1">
      <c r="A259" s="1351"/>
      <c r="B259" s="1352"/>
      <c r="C259" s="1352"/>
      <c r="D259" s="1486"/>
      <c r="E259" s="1486"/>
      <c r="F259" s="1352"/>
      <c r="G259" s="1352"/>
      <c r="H259" s="940"/>
      <c r="I259" s="940"/>
      <c r="J259" s="1534"/>
      <c r="K259" s="1849" t="s">
        <v>1642</v>
      </c>
      <c r="L259" s="1845" t="s">
        <v>292</v>
      </c>
      <c r="M259" s="1592">
        <v>468</v>
      </c>
      <c r="U259" s="1860"/>
      <c r="AB259" s="2673">
        <f>3000*13*12</f>
        <v>468000</v>
      </c>
      <c r="BF259" s="2778"/>
    </row>
    <row r="260" spans="1:58" s="494" customFormat="1" ht="20.25" customHeight="1">
      <c r="A260" s="1351"/>
      <c r="B260" s="1352"/>
      <c r="C260" s="1352"/>
      <c r="D260" s="1486"/>
      <c r="E260" s="1486"/>
      <c r="F260" s="1352"/>
      <c r="G260" s="1352"/>
      <c r="H260" s="940"/>
      <c r="I260" s="940"/>
      <c r="J260" s="1534"/>
      <c r="K260" s="1849" t="s">
        <v>1643</v>
      </c>
      <c r="L260" s="1845" t="s">
        <v>292</v>
      </c>
      <c r="M260" s="1592">
        <v>360</v>
      </c>
      <c r="U260" s="1860"/>
      <c r="AB260" s="2673">
        <f>30000*12</f>
        <v>360000</v>
      </c>
      <c r="BF260" s="2778"/>
    </row>
    <row r="261" spans="1:58" s="494" customFormat="1" ht="20.25" customHeight="1">
      <c r="A261" s="1351"/>
      <c r="B261" s="1352"/>
      <c r="C261" s="1352"/>
      <c r="D261" s="1486"/>
      <c r="E261" s="1486"/>
      <c r="F261" s="1352"/>
      <c r="G261" s="1494" t="s">
        <v>962</v>
      </c>
      <c r="H261" s="1511">
        <f>M261</f>
        <v>1440</v>
      </c>
      <c r="I261" s="1511">
        <v>0</v>
      </c>
      <c r="J261" s="1511">
        <f>H261-I261</f>
        <v>1440</v>
      </c>
      <c r="K261" s="1547" t="s">
        <v>962</v>
      </c>
      <c r="L261" s="1868"/>
      <c r="M261" s="1876">
        <f>SUM(M262:M262)</f>
        <v>1440</v>
      </c>
      <c r="U261" s="1860"/>
      <c r="AB261" s="2673"/>
      <c r="BF261" s="2778"/>
    </row>
    <row r="262" spans="1:58" s="494" customFormat="1" ht="20.25" customHeight="1">
      <c r="A262" s="1351"/>
      <c r="B262" s="1352"/>
      <c r="C262" s="1352"/>
      <c r="D262" s="1486"/>
      <c r="E262" s="1486"/>
      <c r="F262" s="1352"/>
      <c r="G262" s="1352"/>
      <c r="H262" s="940"/>
      <c r="I262" s="940"/>
      <c r="J262" s="1534"/>
      <c r="K262" s="1866" t="s">
        <v>1644</v>
      </c>
      <c r="L262" s="1845" t="s">
        <v>292</v>
      </c>
      <c r="M262" s="1592">
        <v>1440</v>
      </c>
      <c r="O262" s="494">
        <v>2100</v>
      </c>
      <c r="P262" s="494">
        <v>55</v>
      </c>
      <c r="Q262" s="494">
        <v>1.5</v>
      </c>
      <c r="R262" s="494">
        <v>3</v>
      </c>
      <c r="S262" s="321">
        <f>O262*P262*Q262*R262</f>
        <v>519750</v>
      </c>
      <c r="U262" s="1860"/>
      <c r="AB262" s="2673">
        <f>120000*12</f>
        <v>1440000</v>
      </c>
      <c r="BF262" s="2778"/>
    </row>
    <row r="263" spans="1:58" s="494" customFormat="1" ht="20.25" customHeight="1">
      <c r="A263" s="1351"/>
      <c r="B263" s="1352"/>
      <c r="C263" s="1352"/>
      <c r="D263" s="1352"/>
      <c r="E263" s="1352"/>
      <c r="F263" s="1487" t="s">
        <v>335</v>
      </c>
      <c r="G263" s="1488"/>
      <c r="H263" s="1548">
        <f>H264</f>
        <v>6480</v>
      </c>
      <c r="I263" s="1548">
        <v>0</v>
      </c>
      <c r="J263" s="1549">
        <f>H263-I263</f>
        <v>6480</v>
      </c>
      <c r="K263" s="1881"/>
      <c r="L263" s="1882"/>
      <c r="M263" s="1883"/>
      <c r="U263" s="1860"/>
      <c r="AB263" s="2673"/>
      <c r="BF263" s="2778"/>
    </row>
    <row r="264" spans="1:58" s="494" customFormat="1" ht="20.25" customHeight="1">
      <c r="A264" s="1351"/>
      <c r="B264" s="1352"/>
      <c r="C264" s="1352"/>
      <c r="D264" s="1352"/>
      <c r="E264" s="1352"/>
      <c r="F264" s="1505"/>
      <c r="G264" s="1494" t="s">
        <v>963</v>
      </c>
      <c r="H264" s="940">
        <f>M264</f>
        <v>6480</v>
      </c>
      <c r="I264" s="940">
        <v>0</v>
      </c>
      <c r="J264" s="1534">
        <f>H264-I264</f>
        <v>6480</v>
      </c>
      <c r="K264" s="1884" t="s">
        <v>963</v>
      </c>
      <c r="L264" s="1873"/>
      <c r="M264" s="1885">
        <f>SUM(M265:M266)</f>
        <v>6480</v>
      </c>
      <c r="U264" s="1860"/>
      <c r="AB264" s="2673"/>
      <c r="BF264" s="2778"/>
    </row>
    <row r="265" spans="1:58" s="494" customFormat="1" ht="20.25" customHeight="1">
      <c r="A265" s="1351"/>
      <c r="B265" s="1352"/>
      <c r="C265" s="1352"/>
      <c r="D265" s="1352"/>
      <c r="E265" s="1352"/>
      <c r="F265" s="1505"/>
      <c r="G265" s="1352"/>
      <c r="H265" s="940"/>
      <c r="I265" s="940"/>
      <c r="J265" s="1534"/>
      <c r="K265" s="307" t="s">
        <v>1645</v>
      </c>
      <c r="L265" s="303" t="s">
        <v>292</v>
      </c>
      <c r="M265" s="1861">
        <v>2400</v>
      </c>
      <c r="U265" s="1860"/>
      <c r="AB265" s="2673">
        <f>2000*10*12</f>
        <v>240000</v>
      </c>
      <c r="BF265" s="2778"/>
    </row>
    <row r="266" spans="1:58" s="494" customFormat="1" ht="20.25" customHeight="1">
      <c r="A266" s="1351"/>
      <c r="B266" s="1352"/>
      <c r="C266" s="1352"/>
      <c r="D266" s="1352"/>
      <c r="E266" s="1352"/>
      <c r="F266" s="1555"/>
      <c r="G266" s="1542"/>
      <c r="H266" s="1061"/>
      <c r="I266" s="1061"/>
      <c r="J266" s="1543"/>
      <c r="K266" s="1878" t="s">
        <v>1646</v>
      </c>
      <c r="L266" s="1886" t="s">
        <v>292</v>
      </c>
      <c r="M266" s="1418">
        <v>4080</v>
      </c>
      <c r="O266" s="494">
        <v>85000</v>
      </c>
      <c r="P266" s="494">
        <v>1</v>
      </c>
      <c r="Q266" s="494">
        <v>4</v>
      </c>
      <c r="R266" s="494">
        <v>6</v>
      </c>
      <c r="S266" s="321">
        <f>O266*P266*Q266*R266</f>
        <v>2040000</v>
      </c>
      <c r="U266" s="1860"/>
      <c r="AB266" s="2673">
        <f>85000*4*12</f>
        <v>4080000</v>
      </c>
      <c r="BF266" s="2778"/>
    </row>
    <row r="267" spans="1:58" s="2" customFormat="1" ht="18" customHeight="1">
      <c r="A267" s="64"/>
      <c r="B267" s="22"/>
      <c r="C267" s="22"/>
      <c r="D267" s="22"/>
      <c r="E267" s="22"/>
      <c r="F267" s="2937" t="s">
        <v>24</v>
      </c>
      <c r="G267" s="2937"/>
      <c r="H267" s="755">
        <f>H268</f>
        <v>0</v>
      </c>
      <c r="I267" s="755">
        <v>0</v>
      </c>
      <c r="J267" s="1560">
        <f>H267-I267</f>
        <v>0</v>
      </c>
      <c r="K267" s="1887"/>
      <c r="L267" s="1888"/>
      <c r="M267" s="1889">
        <f>M268</f>
        <v>0</v>
      </c>
      <c r="N267" s="84"/>
      <c r="O267" s="4"/>
      <c r="P267" s="39"/>
      <c r="Q267" s="6"/>
      <c r="R267" s="6"/>
      <c r="S267" s="6"/>
      <c r="T267" s="14"/>
      <c r="U267" s="5"/>
      <c r="AB267" s="2673"/>
      <c r="BF267" s="2779"/>
    </row>
    <row r="268" spans="1:58" s="2" customFormat="1" ht="18" customHeight="1">
      <c r="A268" s="64"/>
      <c r="B268" s="22"/>
      <c r="C268" s="22"/>
      <c r="D268" s="22"/>
      <c r="E268" s="22"/>
      <c r="F268" s="2672"/>
      <c r="G268" s="25" t="s">
        <v>42</v>
      </c>
      <c r="H268" s="757">
        <f>M268</f>
        <v>0</v>
      </c>
      <c r="I268" s="757">
        <v>0</v>
      </c>
      <c r="J268" s="1560">
        <f>H268-I268</f>
        <v>0</v>
      </c>
      <c r="K268" s="1890" t="s">
        <v>1585</v>
      </c>
      <c r="L268" s="1891"/>
      <c r="M268" s="1892">
        <f>M269</f>
        <v>0</v>
      </c>
      <c r="N268" s="84"/>
      <c r="O268" s="4"/>
      <c r="P268" s="39"/>
      <c r="Q268" s="6"/>
      <c r="R268" s="6"/>
      <c r="S268" s="6"/>
      <c r="T268" s="14"/>
      <c r="U268" s="5"/>
      <c r="AB268" s="2673"/>
      <c r="BF268" s="2779"/>
    </row>
    <row r="269" spans="1:58" s="2" customFormat="1" ht="18" customHeight="1">
      <c r="A269" s="64"/>
      <c r="B269" s="22"/>
      <c r="C269" s="22"/>
      <c r="D269" s="22"/>
      <c r="E269" s="22"/>
      <c r="F269" s="2672"/>
      <c r="G269" s="22"/>
      <c r="H269" s="756"/>
      <c r="I269" s="756"/>
      <c r="J269" s="21"/>
      <c r="K269" s="806"/>
      <c r="L269" s="807"/>
      <c r="M269" s="788"/>
      <c r="N269" s="4"/>
      <c r="O269" s="4"/>
      <c r="P269" s="39"/>
      <c r="Q269" s="6"/>
      <c r="R269" s="6"/>
      <c r="S269" s="6"/>
      <c r="T269" s="45"/>
      <c r="U269" s="5"/>
      <c r="V269" s="59"/>
      <c r="W269" s="59"/>
      <c r="X269" s="59"/>
      <c r="AB269" s="2673"/>
      <c r="BF269" s="2779"/>
    </row>
    <row r="270" spans="1:58" s="494" customFormat="1" ht="20.25" customHeight="1">
      <c r="A270" s="1351"/>
      <c r="B270" s="1352"/>
      <c r="C270" s="1352"/>
      <c r="D270" s="1352"/>
      <c r="E270" s="1352"/>
      <c r="F270" s="1561" t="s">
        <v>964</v>
      </c>
      <c r="G270" s="1562"/>
      <c r="H270" s="1557">
        <f>H271</f>
        <v>2400</v>
      </c>
      <c r="I270" s="1557">
        <v>0</v>
      </c>
      <c r="J270" s="1558">
        <f t="shared" ref="J270" si="16">H270-I270</f>
        <v>2400</v>
      </c>
      <c r="K270" s="1881"/>
      <c r="L270" s="1882"/>
      <c r="M270" s="1492"/>
      <c r="U270" s="1860"/>
      <c r="AB270" s="2673"/>
      <c r="BF270" s="2778"/>
    </row>
    <row r="271" spans="1:58" s="494" customFormat="1" ht="20.25" customHeight="1">
      <c r="A271" s="1351"/>
      <c r="B271" s="1352"/>
      <c r="C271" s="1352"/>
      <c r="D271" s="1352"/>
      <c r="E271" s="1352"/>
      <c r="F271" s="1559"/>
      <c r="G271" s="1522" t="s">
        <v>965</v>
      </c>
      <c r="H271" s="1523">
        <f>M271</f>
        <v>2400</v>
      </c>
      <c r="I271" s="1523">
        <v>0</v>
      </c>
      <c r="J271" s="1560">
        <f>H271-I271</f>
        <v>2400</v>
      </c>
      <c r="K271" s="1893" t="s">
        <v>965</v>
      </c>
      <c r="L271" s="1868"/>
      <c r="M271" s="1876">
        <f>M272</f>
        <v>2400</v>
      </c>
      <c r="U271" s="1860"/>
      <c r="AB271" s="2673"/>
      <c r="BF271" s="2778"/>
    </row>
    <row r="272" spans="1:58" s="494" customFormat="1" ht="20.25" customHeight="1">
      <c r="A272" s="295"/>
      <c r="B272" s="1352"/>
      <c r="C272" s="1352"/>
      <c r="D272" s="1352"/>
      <c r="E272" s="1352"/>
      <c r="F272" s="1559"/>
      <c r="G272" s="491"/>
      <c r="H272" s="1528"/>
      <c r="I272" s="1528"/>
      <c r="J272" s="1529"/>
      <c r="K272" s="1866" t="s">
        <v>1647</v>
      </c>
      <c r="L272" s="1845" t="s">
        <v>292</v>
      </c>
      <c r="M272" s="1592">
        <v>2400</v>
      </c>
      <c r="U272" s="1860"/>
      <c r="AB272" s="2673">
        <f>200000*12</f>
        <v>2400000</v>
      </c>
      <c r="BF272" s="2778"/>
    </row>
    <row r="273" spans="1:82" s="2" customFormat="1" ht="18" customHeight="1">
      <c r="A273" s="64"/>
      <c r="B273" s="22"/>
      <c r="C273" s="22"/>
      <c r="D273" s="1339" t="s">
        <v>1648</v>
      </c>
      <c r="E273" s="1027"/>
      <c r="F273" s="1027"/>
      <c r="G273" s="1028"/>
      <c r="H273" s="1029">
        <f>H274</f>
        <v>15699</v>
      </c>
      <c r="I273" s="1029">
        <v>0</v>
      </c>
      <c r="J273" s="826">
        <f>H273-I273</f>
        <v>15699</v>
      </c>
      <c r="K273" s="1894"/>
      <c r="L273" s="1895"/>
      <c r="M273" s="1896"/>
      <c r="N273" s="1022"/>
      <c r="O273" s="3"/>
      <c r="P273" s="68"/>
      <c r="Q273" s="1023"/>
      <c r="R273" s="1023"/>
      <c r="S273" s="1023"/>
      <c r="T273" s="1024"/>
      <c r="U273" s="1856"/>
      <c r="AB273" s="2673"/>
      <c r="BF273" s="2779"/>
    </row>
    <row r="274" spans="1:82" s="2" customFormat="1" ht="18" customHeight="1">
      <c r="A274" s="64"/>
      <c r="B274" s="22"/>
      <c r="C274" s="832"/>
      <c r="D274" s="1032"/>
      <c r="E274" s="1026" t="s">
        <v>855</v>
      </c>
      <c r="F274" s="1027"/>
      <c r="G274" s="1028"/>
      <c r="H274" s="755">
        <f>H275</f>
        <v>15699</v>
      </c>
      <c r="I274" s="755">
        <v>0</v>
      </c>
      <c r="J274" s="477">
        <f>H274-I274</f>
        <v>15699</v>
      </c>
      <c r="K274" s="1897"/>
      <c r="L274" s="1898"/>
      <c r="M274" s="1889">
        <f>M569+M722+M728+M731+M786</f>
        <v>0</v>
      </c>
      <c r="N274" s="1022"/>
      <c r="O274" s="3"/>
      <c r="P274" s="68"/>
      <c r="Q274" s="1023"/>
      <c r="R274" s="1023"/>
      <c r="S274" s="1023"/>
      <c r="T274" s="76"/>
      <c r="U274" s="1856"/>
      <c r="AB274" s="2673"/>
      <c r="BF274" s="2779"/>
    </row>
    <row r="275" spans="1:82" s="494" customFormat="1" ht="20.25" customHeight="1">
      <c r="A275" s="1351"/>
      <c r="B275" s="1352"/>
      <c r="C275" s="1352"/>
      <c r="D275" s="1352"/>
      <c r="E275" s="1352"/>
      <c r="F275" s="1561" t="s">
        <v>336</v>
      </c>
      <c r="G275" s="1562"/>
      <c r="H275" s="1557">
        <f>H276</f>
        <v>15699</v>
      </c>
      <c r="I275" s="1557">
        <v>0</v>
      </c>
      <c r="J275" s="1558">
        <f>H275-I275</f>
        <v>15699</v>
      </c>
      <c r="K275" s="1899"/>
      <c r="L275" s="1900"/>
      <c r="M275" s="1901"/>
      <c r="U275" s="1860"/>
      <c r="AB275" s="2673"/>
      <c r="BF275" s="2778"/>
    </row>
    <row r="276" spans="1:82" s="494" customFormat="1" ht="21" customHeight="1">
      <c r="A276" s="1351"/>
      <c r="B276" s="1352"/>
      <c r="C276" s="1486"/>
      <c r="D276" s="1352"/>
      <c r="E276" s="1352"/>
      <c r="F276" s="1559"/>
      <c r="G276" s="1522" t="s">
        <v>337</v>
      </c>
      <c r="H276" s="1528">
        <f>M276</f>
        <v>15699</v>
      </c>
      <c r="I276" s="1528">
        <v>0</v>
      </c>
      <c r="J276" s="1529">
        <f>H276-I276</f>
        <v>15699</v>
      </c>
      <c r="K276" s="1902" t="s">
        <v>337</v>
      </c>
      <c r="L276" s="1903"/>
      <c r="M276" s="1904">
        <f>SUM(M278:M279)</f>
        <v>15699</v>
      </c>
      <c r="U276" s="1860"/>
      <c r="AB276" s="2673"/>
      <c r="BF276" s="2778"/>
    </row>
    <row r="277" spans="1:82" s="494" customFormat="1" ht="21" customHeight="1">
      <c r="A277" s="1351"/>
      <c r="B277" s="1352"/>
      <c r="C277" s="1486"/>
      <c r="D277" s="1486"/>
      <c r="E277" s="1486"/>
      <c r="F277" s="1089"/>
      <c r="G277" s="1089"/>
      <c r="H277" s="1528"/>
      <c r="I277" s="1528"/>
      <c r="J277" s="1529"/>
      <c r="K277" s="1866" t="s">
        <v>1649</v>
      </c>
      <c r="L277" s="1903"/>
      <c r="M277" s="1905"/>
      <c r="U277" s="1860"/>
      <c r="AB277" s="2673"/>
      <c r="BF277" s="2778"/>
    </row>
    <row r="278" spans="1:82" s="494" customFormat="1" ht="21" customHeight="1">
      <c r="A278" s="1351"/>
      <c r="B278" s="1352"/>
      <c r="C278" s="1486"/>
      <c r="D278" s="1486"/>
      <c r="E278" s="1486"/>
      <c r="F278" s="1089"/>
      <c r="G278" s="1089"/>
      <c r="H278" s="1528"/>
      <c r="I278" s="1528"/>
      <c r="J278" s="1529"/>
      <c r="K278" s="2678" t="s">
        <v>2514</v>
      </c>
      <c r="L278" s="1903" t="s">
        <v>752</v>
      </c>
      <c r="M278" s="1905">
        <v>14999</v>
      </c>
      <c r="U278" s="1860"/>
      <c r="AB278" s="2673"/>
      <c r="BF278" s="2778"/>
    </row>
    <row r="279" spans="1:82" s="494" customFormat="1" ht="21" customHeight="1" thickBot="1">
      <c r="A279" s="1351"/>
      <c r="B279" s="1906"/>
      <c r="C279" s="1907"/>
      <c r="D279" s="1907"/>
      <c r="E279" s="1907"/>
      <c r="F279" s="1908"/>
      <c r="G279" s="1089"/>
      <c r="H279" s="1528"/>
      <c r="I279" s="1528"/>
      <c r="J279" s="1529"/>
      <c r="K279" s="1840" t="s">
        <v>1650</v>
      </c>
      <c r="L279" s="1903" t="s">
        <v>752</v>
      </c>
      <c r="M279" s="1905">
        <v>700</v>
      </c>
      <c r="U279" s="1860"/>
      <c r="AB279" s="2673"/>
      <c r="BF279" s="2778"/>
    </row>
    <row r="280" spans="1:82" s="2" customFormat="1" ht="21.75" customHeight="1">
      <c r="A280" s="1709" t="s">
        <v>205</v>
      </c>
      <c r="B280" s="1019"/>
      <c r="C280" s="1020"/>
      <c r="D280" s="1020"/>
      <c r="E280" s="1020"/>
      <c r="F280" s="1020"/>
      <c r="G280" s="1021"/>
      <c r="H280" s="968">
        <f>H281:H281</f>
        <v>166750</v>
      </c>
      <c r="I280" s="968">
        <f>I281:I281</f>
        <v>127500</v>
      </c>
      <c r="J280" s="480">
        <f t="shared" ref="J280:J291" si="17">H280-I280</f>
        <v>39250</v>
      </c>
      <c r="K280" s="1081"/>
      <c r="L280" s="1082"/>
      <c r="M280" s="1083"/>
      <c r="N280" s="1838"/>
      <c r="O280" s="1838"/>
      <c r="P280" s="1838"/>
      <c r="Q280" s="1838"/>
      <c r="R280" s="1838"/>
      <c r="S280" s="1838"/>
      <c r="T280" s="1838"/>
      <c r="U280" s="1838"/>
      <c r="BF280" s="2779"/>
    </row>
    <row r="281" spans="1:82" s="2" customFormat="1" ht="21.75" customHeight="1">
      <c r="A281" s="1711"/>
      <c r="B281" s="1026" t="s">
        <v>966</v>
      </c>
      <c r="C281" s="1026"/>
      <c r="D281" s="1027"/>
      <c r="E281" s="1027"/>
      <c r="F281" s="1027"/>
      <c r="G281" s="1028"/>
      <c r="H281" s="825">
        <f>H282+H289+H296</f>
        <v>166750</v>
      </c>
      <c r="I281" s="825">
        <f>I282+I289+I296</f>
        <v>127500</v>
      </c>
      <c r="J281" s="826">
        <f t="shared" si="17"/>
        <v>39250</v>
      </c>
      <c r="K281" s="678"/>
      <c r="L281" s="679"/>
      <c r="M281" s="680"/>
      <c r="N281" s="1838"/>
      <c r="O281" s="1838"/>
      <c r="P281" s="1838"/>
      <c r="Q281" s="1838"/>
      <c r="R281" s="1838"/>
      <c r="S281" s="1838"/>
      <c r="T281" s="1838"/>
      <c r="U281" s="1838"/>
      <c r="BF281" s="2779"/>
    </row>
    <row r="282" spans="1:82" s="2" customFormat="1" ht="21.75" customHeight="1">
      <c r="A282" s="64"/>
      <c r="B282" s="25"/>
      <c r="C282" s="1339" t="s">
        <v>910</v>
      </c>
      <c r="D282" s="1027"/>
      <c r="E282" s="1027"/>
      <c r="F282" s="1027"/>
      <c r="G282" s="1028"/>
      <c r="H282" s="825">
        <f t="shared" ref="H282:I284" si="18">H283</f>
        <v>150000</v>
      </c>
      <c r="I282" s="825">
        <f t="shared" si="18"/>
        <v>127500</v>
      </c>
      <c r="J282" s="826">
        <f t="shared" si="17"/>
        <v>22500</v>
      </c>
      <c r="K282" s="678"/>
      <c r="L282" s="679"/>
      <c r="M282" s="680"/>
      <c r="N282" s="2981"/>
      <c r="O282" s="2981"/>
      <c r="P282" s="2981"/>
      <c r="Q282" s="2981"/>
      <c r="R282" s="2981"/>
      <c r="S282" s="2981"/>
      <c r="T282" s="2981"/>
      <c r="U282" s="2981"/>
      <c r="BF282" s="2779"/>
    </row>
    <row r="283" spans="1:82" s="2" customFormat="1" ht="21.75" customHeight="1">
      <c r="A283" s="64"/>
      <c r="B283" s="22"/>
      <c r="C283" s="25"/>
      <c r="D283" s="1339" t="s">
        <v>605</v>
      </c>
      <c r="E283" s="1027"/>
      <c r="F283" s="1027"/>
      <c r="G283" s="1028"/>
      <c r="H283" s="825">
        <f t="shared" si="18"/>
        <v>150000</v>
      </c>
      <c r="I283" s="825">
        <f t="shared" si="18"/>
        <v>127500</v>
      </c>
      <c r="J283" s="826">
        <f t="shared" si="17"/>
        <v>22500</v>
      </c>
      <c r="K283" s="684"/>
      <c r="L283" s="1030"/>
      <c r="M283" s="680"/>
      <c r="N283" s="1838"/>
      <c r="O283" s="1838"/>
      <c r="P283" s="1838"/>
      <c r="Q283" s="1838"/>
      <c r="R283" s="1838"/>
      <c r="S283" s="1838"/>
      <c r="T283" s="1838"/>
      <c r="U283" s="1838"/>
      <c r="BF283" s="2779"/>
    </row>
    <row r="284" spans="1:82" s="2" customFormat="1" ht="21.75" customHeight="1">
      <c r="A284" s="64"/>
      <c r="B284" s="22"/>
      <c r="C284" s="832"/>
      <c r="D284" s="1032"/>
      <c r="E284" s="1026" t="s">
        <v>795</v>
      </c>
      <c r="F284" s="1027"/>
      <c r="G284" s="1028"/>
      <c r="H284" s="825">
        <f t="shared" si="18"/>
        <v>150000</v>
      </c>
      <c r="I284" s="825">
        <f t="shared" si="18"/>
        <v>127500</v>
      </c>
      <c r="J284" s="826">
        <f t="shared" si="17"/>
        <v>22500</v>
      </c>
      <c r="K284" s="728"/>
      <c r="L284" s="827"/>
      <c r="M284" s="694"/>
      <c r="N284" s="1838"/>
      <c r="O284" s="1838"/>
      <c r="P284" s="1838"/>
      <c r="Q284" s="1838"/>
      <c r="R284" s="1838"/>
      <c r="S284" s="1838"/>
      <c r="T284" s="1838"/>
      <c r="U284" s="1838"/>
      <c r="BF284" s="2779"/>
    </row>
    <row r="285" spans="1:82" s="494" customFormat="1" ht="21.75" customHeight="1">
      <c r="A285" s="1574"/>
      <c r="B285" s="1575"/>
      <c r="C285" s="1576"/>
      <c r="D285" s="1576"/>
      <c r="E285" s="1577"/>
      <c r="F285" s="1578" t="s">
        <v>870</v>
      </c>
      <c r="G285" s="1579"/>
      <c r="H285" s="937">
        <f>H286</f>
        <v>150000</v>
      </c>
      <c r="I285" s="937">
        <f>I286</f>
        <v>127500</v>
      </c>
      <c r="J285" s="937">
        <f>H285-I285</f>
        <v>22500</v>
      </c>
      <c r="K285" s="1580"/>
      <c r="L285" s="1581"/>
      <c r="M285" s="1582"/>
      <c r="N285" s="1838"/>
      <c r="O285" s="1838"/>
      <c r="P285" s="1838"/>
      <c r="Q285" s="1838"/>
      <c r="R285" s="1838"/>
      <c r="S285" s="1838"/>
      <c r="T285" s="1838"/>
      <c r="U285" s="1838"/>
      <c r="BF285" s="2778"/>
    </row>
    <row r="286" spans="1:82" s="494" customFormat="1" ht="21.75" customHeight="1">
      <c r="A286" s="1574"/>
      <c r="B286" s="1583"/>
      <c r="C286" s="1583"/>
      <c r="D286" s="1583"/>
      <c r="E286" s="1583"/>
      <c r="F286" s="1583"/>
      <c r="G286" s="1584" t="s">
        <v>967</v>
      </c>
      <c r="H286" s="1511">
        <f>M286</f>
        <v>150000</v>
      </c>
      <c r="I286" s="1511">
        <v>127500</v>
      </c>
      <c r="J286" s="1511">
        <f>H286-I286</f>
        <v>22500</v>
      </c>
      <c r="K286" s="1585" t="s">
        <v>1042</v>
      </c>
      <c r="L286" s="1586"/>
      <c r="M286" s="1587">
        <f>M287+M288</f>
        <v>150000</v>
      </c>
      <c r="N286" s="1838"/>
      <c r="O286" s="1838"/>
      <c r="P286" s="1838"/>
      <c r="Q286" s="1838"/>
      <c r="R286" s="1838"/>
      <c r="S286" s="1838"/>
      <c r="T286" s="1838"/>
      <c r="U286" s="1838"/>
      <c r="BF286" s="2778"/>
    </row>
    <row r="287" spans="1:82" s="494" customFormat="1" ht="21.75" customHeight="1">
      <c r="A287" s="1574"/>
      <c r="B287" s="1583"/>
      <c r="C287" s="1583"/>
      <c r="D287" s="1583"/>
      <c r="E287" s="1583"/>
      <c r="F287" s="1583"/>
      <c r="G287" s="1583"/>
      <c r="H287" s="940"/>
      <c r="I287" s="940"/>
      <c r="J287" s="940"/>
      <c r="K287" s="2760" t="s">
        <v>1651</v>
      </c>
      <c r="L287" s="1909" t="s">
        <v>292</v>
      </c>
      <c r="M287" s="1910">
        <v>120000</v>
      </c>
      <c r="N287" s="2720">
        <f>4000000*30*1</f>
        <v>120000000</v>
      </c>
      <c r="O287" s="2720"/>
      <c r="P287" s="2720"/>
      <c r="Q287" s="2720"/>
      <c r="R287" s="2720"/>
      <c r="S287" s="2720"/>
      <c r="T287" s="2720"/>
      <c r="U287" s="2720"/>
      <c r="BF287" s="2778"/>
    </row>
    <row r="288" spans="1:82" ht="21.75" customHeight="1">
      <c r="A288" s="1574"/>
      <c r="B288" s="1583"/>
      <c r="C288" s="1583"/>
      <c r="D288" s="1583"/>
      <c r="E288" s="1583"/>
      <c r="F288" s="1583"/>
      <c r="G288" s="1588"/>
      <c r="H288" s="1589"/>
      <c r="I288" s="1589"/>
      <c r="J288" s="1590"/>
      <c r="K288" s="1911" t="s">
        <v>1652</v>
      </c>
      <c r="L288" s="1909" t="s">
        <v>292</v>
      </c>
      <c r="M288" s="1910">
        <v>30000</v>
      </c>
      <c r="N288" s="2720"/>
      <c r="O288" s="2720"/>
      <c r="P288" s="2720"/>
      <c r="Q288" s="2720"/>
      <c r="R288" s="2720"/>
      <c r="S288" s="2720"/>
      <c r="T288" s="2720"/>
      <c r="U288" s="2720"/>
      <c r="V288" s="493"/>
      <c r="W288" s="493"/>
      <c r="X288" s="493"/>
      <c r="Y288" s="493"/>
      <c r="Z288" s="493"/>
      <c r="AA288" s="493"/>
      <c r="BG288" s="494"/>
      <c r="BH288" s="494"/>
      <c r="BI288" s="494"/>
      <c r="BJ288" s="494"/>
      <c r="BK288" s="494"/>
      <c r="BL288" s="494"/>
      <c r="BM288" s="494"/>
      <c r="BN288" s="494"/>
      <c r="BO288" s="494"/>
      <c r="BP288" s="494"/>
      <c r="BQ288" s="494"/>
      <c r="BR288" s="494"/>
      <c r="BS288" s="494"/>
      <c r="BT288" s="494"/>
      <c r="BU288" s="494"/>
      <c r="BV288" s="494"/>
      <c r="BW288" s="494"/>
      <c r="BX288" s="494"/>
      <c r="BY288" s="494"/>
      <c r="BZ288" s="494"/>
      <c r="CA288" s="494"/>
      <c r="CB288" s="494"/>
      <c r="CC288" s="494"/>
      <c r="CD288" s="494"/>
    </row>
    <row r="289" spans="1:58" s="2" customFormat="1" ht="21.75" customHeight="1">
      <c r="A289" s="64"/>
      <c r="B289" s="22"/>
      <c r="C289" s="1339" t="s">
        <v>912</v>
      </c>
      <c r="D289" s="1027"/>
      <c r="E289" s="1027"/>
      <c r="F289" s="1027"/>
      <c r="G289" s="1028"/>
      <c r="H289" s="825">
        <f t="shared" ref="H289:I291" si="19">H290</f>
        <v>1750</v>
      </c>
      <c r="I289" s="825">
        <f t="shared" si="19"/>
        <v>0</v>
      </c>
      <c r="J289" s="826">
        <f t="shared" si="17"/>
        <v>1750</v>
      </c>
      <c r="K289" s="1119"/>
      <c r="L289" s="1056"/>
      <c r="M289" s="1057"/>
      <c r="N289" s="2981"/>
      <c r="O289" s="2981"/>
      <c r="P289" s="2981"/>
      <c r="Q289" s="2981"/>
      <c r="R289" s="2981"/>
      <c r="S289" s="2981"/>
      <c r="T289" s="2981"/>
      <c r="U289" s="2981"/>
      <c r="BF289" s="2779"/>
    </row>
    <row r="290" spans="1:58" s="2" customFormat="1" ht="21.75" customHeight="1">
      <c r="A290" s="64"/>
      <c r="B290" s="22"/>
      <c r="C290" s="25"/>
      <c r="D290" s="1339" t="s">
        <v>606</v>
      </c>
      <c r="E290" s="1027"/>
      <c r="F290" s="1027"/>
      <c r="G290" s="1028"/>
      <c r="H290" s="825">
        <f t="shared" si="19"/>
        <v>1750</v>
      </c>
      <c r="I290" s="825">
        <f t="shared" si="19"/>
        <v>0</v>
      </c>
      <c r="J290" s="826">
        <f t="shared" si="17"/>
        <v>1750</v>
      </c>
      <c r="K290" s="684"/>
      <c r="L290" s="1030"/>
      <c r="M290" s="680"/>
      <c r="N290" s="1838"/>
      <c r="O290" s="1838"/>
      <c r="P290" s="1838"/>
      <c r="Q290" s="1838"/>
      <c r="R290" s="1838"/>
      <c r="S290" s="1838"/>
      <c r="T290" s="1838"/>
      <c r="U290" s="1838"/>
      <c r="BF290" s="2779"/>
    </row>
    <row r="291" spans="1:58" s="2" customFormat="1" ht="21.75" customHeight="1">
      <c r="A291" s="64"/>
      <c r="B291" s="22"/>
      <c r="C291" s="832"/>
      <c r="D291" s="1032"/>
      <c r="E291" s="1026" t="s">
        <v>795</v>
      </c>
      <c r="F291" s="1027"/>
      <c r="G291" s="1028"/>
      <c r="H291" s="825">
        <f t="shared" si="19"/>
        <v>1750</v>
      </c>
      <c r="I291" s="825">
        <f t="shared" si="19"/>
        <v>0</v>
      </c>
      <c r="J291" s="826">
        <f t="shared" si="17"/>
        <v>1750</v>
      </c>
      <c r="K291" s="728"/>
      <c r="L291" s="827"/>
      <c r="M291" s="694"/>
      <c r="N291" s="1838"/>
      <c r="O291" s="1838"/>
      <c r="P291" s="1838"/>
      <c r="Q291" s="1838"/>
      <c r="R291" s="1838"/>
      <c r="S291" s="1838"/>
      <c r="T291" s="1838"/>
      <c r="U291" s="1838"/>
      <c r="BF291" s="2779"/>
    </row>
    <row r="292" spans="1:58" s="494" customFormat="1" ht="21.75" customHeight="1">
      <c r="A292" s="1574"/>
      <c r="B292" s="1575"/>
      <c r="C292" s="1576"/>
      <c r="D292" s="1576"/>
      <c r="E292" s="1577"/>
      <c r="F292" s="1578" t="s">
        <v>870</v>
      </c>
      <c r="G292" s="1579"/>
      <c r="H292" s="937">
        <f>H293</f>
        <v>1750</v>
      </c>
      <c r="I292" s="937">
        <v>0</v>
      </c>
      <c r="J292" s="937">
        <f>H292-I292</f>
        <v>1750</v>
      </c>
      <c r="K292" s="1580"/>
      <c r="L292" s="1581"/>
      <c r="M292" s="1582"/>
      <c r="N292" s="1838"/>
      <c r="O292" s="1838"/>
      <c r="P292" s="1838"/>
      <c r="Q292" s="1838"/>
      <c r="R292" s="1838"/>
      <c r="S292" s="1838"/>
      <c r="T292" s="1838"/>
      <c r="U292" s="1838"/>
      <c r="BF292" s="2778"/>
    </row>
    <row r="293" spans="1:58" s="494" customFormat="1" ht="21.75" customHeight="1">
      <c r="A293" s="1574"/>
      <c r="B293" s="1575"/>
      <c r="C293" s="1576"/>
      <c r="D293" s="1576"/>
      <c r="E293" s="1576"/>
      <c r="F293" s="1584"/>
      <c r="G293" s="1584" t="s">
        <v>967</v>
      </c>
      <c r="H293" s="1511">
        <f>M293</f>
        <v>1750</v>
      </c>
      <c r="I293" s="1511">
        <v>0</v>
      </c>
      <c r="J293" s="1511">
        <f>H293-I293</f>
        <v>1750</v>
      </c>
      <c r="K293" s="1585" t="s">
        <v>968</v>
      </c>
      <c r="L293" s="1586"/>
      <c r="M293" s="1587">
        <f>M294+M295</f>
        <v>1750</v>
      </c>
      <c r="N293" s="1838"/>
      <c r="O293" s="1838"/>
      <c r="P293" s="1838"/>
      <c r="Q293" s="1838"/>
      <c r="R293" s="1838"/>
      <c r="S293" s="1838"/>
      <c r="T293" s="1838"/>
      <c r="U293" s="1838"/>
      <c r="BF293" s="2778"/>
    </row>
    <row r="294" spans="1:58" s="494" customFormat="1" ht="21.75" customHeight="1">
      <c r="A294" s="1574"/>
      <c r="B294" s="1575"/>
      <c r="C294" s="1576"/>
      <c r="D294" s="1576"/>
      <c r="E294" s="1576"/>
      <c r="F294" s="1583"/>
      <c r="G294" s="1583"/>
      <c r="H294" s="940"/>
      <c r="I294" s="940"/>
      <c r="J294" s="940"/>
      <c r="K294" s="1912" t="s">
        <v>1653</v>
      </c>
      <c r="L294" s="1591" t="s">
        <v>6</v>
      </c>
      <c r="M294" s="1910">
        <v>750</v>
      </c>
      <c r="N294" s="2720"/>
      <c r="O294" s="2720"/>
      <c r="P294" s="2720"/>
      <c r="Q294" s="2720"/>
      <c r="R294" s="2720"/>
      <c r="S294" s="2720"/>
      <c r="T294" s="2720"/>
      <c r="U294" s="2720"/>
      <c r="BF294" s="2778"/>
    </row>
    <row r="295" spans="1:58" s="494" customFormat="1" ht="21.75" customHeight="1">
      <c r="A295" s="1574"/>
      <c r="B295" s="1575"/>
      <c r="C295" s="1913"/>
      <c r="D295" s="1913"/>
      <c r="E295" s="1913"/>
      <c r="F295" s="1913"/>
      <c r="G295" s="1913"/>
      <c r="H295" s="1914"/>
      <c r="I295" s="1914"/>
      <c r="J295" s="1914"/>
      <c r="K295" s="1915" t="s">
        <v>1654</v>
      </c>
      <c r="L295" s="1916" t="s">
        <v>6</v>
      </c>
      <c r="M295" s="1917">
        <v>1000</v>
      </c>
      <c r="N295" s="2720">
        <f>500000*2</f>
        <v>1000000</v>
      </c>
      <c r="O295" s="2720"/>
      <c r="P295" s="2720"/>
      <c r="Q295" s="2720"/>
      <c r="R295" s="2720"/>
      <c r="S295" s="2720"/>
      <c r="T295" s="2720"/>
      <c r="U295" s="2720"/>
      <c r="BF295" s="2778"/>
    </row>
    <row r="296" spans="1:58" s="2" customFormat="1" ht="21.75" customHeight="1">
      <c r="A296" s="64"/>
      <c r="B296" s="22"/>
      <c r="C296" s="1339" t="s">
        <v>1626</v>
      </c>
      <c r="D296" s="1027"/>
      <c r="E296" s="1027"/>
      <c r="F296" s="1027"/>
      <c r="G296" s="1028"/>
      <c r="H296" s="825">
        <f t="shared" ref="H296:H298" si="20">H297</f>
        <v>15000</v>
      </c>
      <c r="I296" s="825">
        <v>0</v>
      </c>
      <c r="J296" s="826">
        <f t="shared" ref="J296:J298" si="21">H296-I296</f>
        <v>15000</v>
      </c>
      <c r="K296" s="2680"/>
      <c r="L296" s="1895"/>
      <c r="M296" s="1896"/>
      <c r="N296" s="2978"/>
      <c r="O296" s="2979"/>
      <c r="P296" s="2979"/>
      <c r="Q296" s="2979"/>
      <c r="R296" s="2979"/>
      <c r="S296" s="2979"/>
      <c r="T296" s="2979"/>
      <c r="U296" s="2979"/>
      <c r="AB296" s="2673"/>
      <c r="BF296" s="2779"/>
    </row>
    <row r="297" spans="1:58" s="2" customFormat="1" ht="21.75" customHeight="1">
      <c r="A297" s="64"/>
      <c r="B297" s="22"/>
      <c r="C297" s="25"/>
      <c r="D297" s="1339" t="s">
        <v>1655</v>
      </c>
      <c r="E297" s="1027"/>
      <c r="F297" s="1027"/>
      <c r="G297" s="1028"/>
      <c r="H297" s="825">
        <f t="shared" si="20"/>
        <v>15000</v>
      </c>
      <c r="I297" s="825">
        <v>0</v>
      </c>
      <c r="J297" s="826">
        <f t="shared" si="21"/>
        <v>15000</v>
      </c>
      <c r="K297" s="801"/>
      <c r="L297" s="1918"/>
      <c r="M297" s="1919"/>
      <c r="N297" s="1022"/>
      <c r="O297" s="3"/>
      <c r="P297" s="68"/>
      <c r="Q297" s="1023"/>
      <c r="R297" s="1023"/>
      <c r="S297" s="1023"/>
      <c r="T297" s="1024"/>
      <c r="U297" s="1856"/>
      <c r="AB297" s="2673"/>
      <c r="BF297" s="2779"/>
    </row>
    <row r="298" spans="1:58" s="2" customFormat="1" ht="21.75" customHeight="1">
      <c r="A298" s="64"/>
      <c r="B298" s="22"/>
      <c r="C298" s="832"/>
      <c r="D298" s="1032"/>
      <c r="E298" s="1026" t="s">
        <v>795</v>
      </c>
      <c r="F298" s="1027"/>
      <c r="G298" s="1028"/>
      <c r="H298" s="825">
        <f t="shared" si="20"/>
        <v>15000</v>
      </c>
      <c r="I298" s="825">
        <v>0</v>
      </c>
      <c r="J298" s="826">
        <f t="shared" si="21"/>
        <v>15000</v>
      </c>
      <c r="K298" s="1897"/>
      <c r="L298" s="1898"/>
      <c r="M298" s="1889"/>
      <c r="N298" s="1022"/>
      <c r="O298" s="3"/>
      <c r="P298" s="68"/>
      <c r="Q298" s="1023"/>
      <c r="R298" s="1023"/>
      <c r="S298" s="1023"/>
      <c r="T298" s="76"/>
      <c r="U298" s="1856"/>
      <c r="AB298" s="2673"/>
      <c r="BF298" s="2779"/>
    </row>
    <row r="299" spans="1:58" s="494" customFormat="1" ht="21.75" customHeight="1">
      <c r="A299" s="1574"/>
      <c r="B299" s="1575"/>
      <c r="C299" s="1576"/>
      <c r="D299" s="1576"/>
      <c r="E299" s="1577"/>
      <c r="F299" s="1578" t="s">
        <v>870</v>
      </c>
      <c r="G299" s="1579"/>
      <c r="H299" s="937">
        <f>H300</f>
        <v>15000</v>
      </c>
      <c r="I299" s="937">
        <v>0</v>
      </c>
      <c r="J299" s="937">
        <f>H299-I299</f>
        <v>15000</v>
      </c>
      <c r="K299" s="1580"/>
      <c r="L299" s="1581"/>
      <c r="M299" s="1582"/>
      <c r="U299" s="1860"/>
      <c r="AB299" s="2673"/>
      <c r="BF299" s="2778"/>
    </row>
    <row r="300" spans="1:58" s="494" customFormat="1" ht="21.75" customHeight="1">
      <c r="A300" s="1574"/>
      <c r="B300" s="1575"/>
      <c r="C300" s="1583"/>
      <c r="D300" s="1583"/>
      <c r="E300" s="1583"/>
      <c r="F300" s="1584"/>
      <c r="G300" s="1920" t="s">
        <v>967</v>
      </c>
      <c r="H300" s="1921">
        <f>M300</f>
        <v>15000</v>
      </c>
      <c r="I300" s="1921">
        <v>0</v>
      </c>
      <c r="J300" s="1921">
        <f>H300-I300</f>
        <v>15000</v>
      </c>
      <c r="K300" s="1922" t="s">
        <v>871</v>
      </c>
      <c r="L300" s="1923"/>
      <c r="M300" s="1924">
        <f>SUM(M301:M302)</f>
        <v>15000</v>
      </c>
      <c r="U300" s="1860"/>
      <c r="AB300" s="2673"/>
      <c r="BF300" s="2778"/>
    </row>
    <row r="301" spans="1:58" s="494" customFormat="1" ht="21.75" customHeight="1">
      <c r="A301" s="1574"/>
      <c r="B301" s="1575"/>
      <c r="C301" s="1583"/>
      <c r="D301" s="1583"/>
      <c r="E301" s="1583"/>
      <c r="F301" s="1912"/>
      <c r="G301" s="1583"/>
      <c r="H301" s="940"/>
      <c r="I301" s="940"/>
      <c r="J301" s="940"/>
      <c r="K301" s="1925" t="s">
        <v>1656</v>
      </c>
      <c r="L301" s="1591" t="s">
        <v>292</v>
      </c>
      <c r="M301" s="1926">
        <v>8000</v>
      </c>
      <c r="U301" s="1860"/>
      <c r="AB301" s="2673"/>
      <c r="BF301" s="2778"/>
    </row>
    <row r="302" spans="1:58" s="494" customFormat="1" ht="21.75" customHeight="1" thickBot="1">
      <c r="A302" s="1593"/>
      <c r="B302" s="1594"/>
      <c r="C302" s="1595"/>
      <c r="D302" s="1595"/>
      <c r="E302" s="1595"/>
      <c r="F302" s="1927"/>
      <c r="G302" s="1595"/>
      <c r="H302" s="1928"/>
      <c r="I302" s="1928"/>
      <c r="J302" s="1928"/>
      <c r="K302" s="1929" t="s">
        <v>1657</v>
      </c>
      <c r="L302" s="1930" t="s">
        <v>292</v>
      </c>
      <c r="M302" s="1931">
        <v>7000</v>
      </c>
      <c r="U302" s="1860"/>
      <c r="AB302" s="2673"/>
      <c r="BF302" s="2778"/>
    </row>
    <row r="303" spans="1:58" s="298" customFormat="1" ht="21.75" customHeight="1">
      <c r="H303" s="347"/>
      <c r="I303" s="347"/>
      <c r="J303" s="1336"/>
      <c r="K303" s="1337"/>
      <c r="L303" s="1338"/>
      <c r="M303" s="299"/>
      <c r="N303" s="1820"/>
      <c r="O303" s="494"/>
      <c r="P303" s="494"/>
      <c r="Q303" s="494"/>
      <c r="R303" s="494"/>
      <c r="S303" s="494"/>
      <c r="T303" s="494"/>
      <c r="U303" s="494"/>
      <c r="V303" s="494"/>
      <c r="W303" s="494"/>
      <c r="X303" s="494"/>
      <c r="Y303" s="494"/>
      <c r="Z303" s="494"/>
      <c r="AA303" s="494"/>
      <c r="AB303" s="494"/>
      <c r="AC303" s="494"/>
      <c r="AD303" s="494"/>
      <c r="AE303" s="494"/>
      <c r="AF303" s="494"/>
      <c r="AG303" s="494"/>
      <c r="AH303" s="494"/>
      <c r="AI303" s="494"/>
      <c r="AJ303" s="494"/>
      <c r="AK303" s="494"/>
      <c r="AL303" s="494"/>
      <c r="AM303" s="494"/>
      <c r="AN303" s="494"/>
      <c r="AO303" s="494"/>
      <c r="AP303" s="494"/>
      <c r="AQ303" s="494"/>
      <c r="AR303" s="494"/>
      <c r="AS303" s="494"/>
      <c r="AT303" s="494"/>
      <c r="AU303" s="494"/>
      <c r="AV303" s="494"/>
      <c r="AW303" s="494"/>
      <c r="AX303" s="494"/>
      <c r="AY303" s="494"/>
      <c r="AZ303" s="494"/>
      <c r="BA303" s="494"/>
      <c r="BB303" s="494"/>
      <c r="BC303" s="494"/>
      <c r="BD303" s="494"/>
      <c r="BE303" s="494"/>
      <c r="BF303" s="2778"/>
    </row>
    <row r="304" spans="1:58" s="298" customFormat="1" ht="21.75" customHeight="1">
      <c r="H304" s="347"/>
      <c r="I304" s="347"/>
      <c r="J304" s="1336"/>
      <c r="K304" s="1337"/>
      <c r="L304" s="1338"/>
      <c r="M304" s="299"/>
      <c r="N304" s="1820"/>
      <c r="O304" s="494"/>
      <c r="P304" s="494"/>
      <c r="Q304" s="494"/>
      <c r="R304" s="494"/>
      <c r="S304" s="494"/>
      <c r="T304" s="494"/>
      <c r="U304" s="494"/>
      <c r="V304" s="494"/>
      <c r="W304" s="494"/>
      <c r="X304" s="494"/>
      <c r="Y304" s="494"/>
      <c r="Z304" s="494"/>
      <c r="AA304" s="494"/>
      <c r="AB304" s="494"/>
      <c r="AC304" s="494"/>
      <c r="AD304" s="494"/>
      <c r="AE304" s="494"/>
      <c r="AF304" s="494"/>
      <c r="AG304" s="494"/>
      <c r="AH304" s="494"/>
      <c r="AI304" s="494"/>
      <c r="AJ304" s="494"/>
      <c r="AK304" s="494"/>
      <c r="AL304" s="494"/>
      <c r="AM304" s="494"/>
      <c r="AN304" s="494"/>
      <c r="AO304" s="494"/>
      <c r="AP304" s="494"/>
      <c r="AQ304" s="494"/>
      <c r="AR304" s="494"/>
      <c r="AS304" s="494"/>
      <c r="AT304" s="494"/>
      <c r="AU304" s="494"/>
      <c r="AV304" s="494"/>
      <c r="AW304" s="494"/>
      <c r="AX304" s="494"/>
      <c r="AY304" s="494"/>
      <c r="AZ304" s="494"/>
      <c r="BA304" s="494"/>
      <c r="BB304" s="494"/>
      <c r="BC304" s="494"/>
      <c r="BD304" s="494"/>
      <c r="BE304" s="494"/>
      <c r="BF304" s="2778"/>
    </row>
    <row r="305" spans="8:58" s="298" customFormat="1" ht="21.75" customHeight="1">
      <c r="H305" s="347"/>
      <c r="I305" s="347"/>
      <c r="J305" s="1336"/>
      <c r="K305" s="1337"/>
      <c r="L305" s="1338"/>
      <c r="M305" s="299"/>
      <c r="N305" s="1820"/>
      <c r="O305" s="494"/>
      <c r="P305" s="494"/>
      <c r="Q305" s="494"/>
      <c r="R305" s="494"/>
      <c r="S305" s="494"/>
      <c r="T305" s="494"/>
      <c r="U305" s="494"/>
      <c r="V305" s="494"/>
      <c r="W305" s="494"/>
      <c r="X305" s="494"/>
      <c r="Y305" s="494"/>
      <c r="Z305" s="494"/>
      <c r="AA305" s="494"/>
      <c r="AB305" s="494"/>
      <c r="AC305" s="494"/>
      <c r="AD305" s="494"/>
      <c r="AE305" s="494"/>
      <c r="AF305" s="494"/>
      <c r="AG305" s="494"/>
      <c r="AH305" s="494"/>
      <c r="AI305" s="494"/>
      <c r="AJ305" s="494"/>
      <c r="AK305" s="494"/>
      <c r="AL305" s="494"/>
      <c r="AM305" s="494"/>
      <c r="AN305" s="494"/>
      <c r="AO305" s="494"/>
      <c r="AP305" s="494"/>
      <c r="AQ305" s="494"/>
      <c r="AR305" s="494"/>
      <c r="AS305" s="494"/>
      <c r="AT305" s="494"/>
      <c r="AU305" s="494"/>
      <c r="AV305" s="494"/>
      <c r="AW305" s="494"/>
      <c r="AX305" s="494"/>
      <c r="AY305" s="494"/>
      <c r="AZ305" s="494"/>
      <c r="BA305" s="494"/>
      <c r="BB305" s="494"/>
      <c r="BC305" s="494"/>
      <c r="BD305" s="494"/>
      <c r="BE305" s="494"/>
      <c r="BF305" s="2778"/>
    </row>
    <row r="306" spans="8:58" s="298" customFormat="1" ht="21.75" customHeight="1">
      <c r="H306" s="347"/>
      <c r="I306" s="347"/>
      <c r="J306" s="1336"/>
      <c r="K306" s="1337"/>
      <c r="L306" s="1338"/>
      <c r="M306" s="299"/>
      <c r="N306" s="1820"/>
      <c r="O306" s="494"/>
      <c r="P306" s="494"/>
      <c r="Q306" s="494"/>
      <c r="R306" s="494"/>
      <c r="S306" s="494"/>
      <c r="T306" s="494"/>
      <c r="U306" s="494"/>
      <c r="V306" s="494"/>
      <c r="W306" s="494"/>
      <c r="X306" s="494"/>
      <c r="Y306" s="494"/>
      <c r="Z306" s="494"/>
      <c r="AA306" s="494"/>
      <c r="AB306" s="494"/>
      <c r="AC306" s="494"/>
      <c r="AD306" s="494"/>
      <c r="AE306" s="494"/>
      <c r="AF306" s="494"/>
      <c r="AG306" s="494"/>
      <c r="AH306" s="494"/>
      <c r="AI306" s="494"/>
      <c r="AJ306" s="494"/>
      <c r="AK306" s="494"/>
      <c r="AL306" s="494"/>
      <c r="AM306" s="494"/>
      <c r="AN306" s="494"/>
      <c r="AO306" s="494"/>
      <c r="AP306" s="494"/>
      <c r="AQ306" s="494"/>
      <c r="AR306" s="494"/>
      <c r="AS306" s="494"/>
      <c r="AT306" s="494"/>
      <c r="AU306" s="494"/>
      <c r="AV306" s="494"/>
      <c r="AW306" s="494"/>
      <c r="AX306" s="494"/>
      <c r="AY306" s="494"/>
      <c r="AZ306" s="494"/>
      <c r="BA306" s="494"/>
      <c r="BB306" s="494"/>
      <c r="BC306" s="494"/>
      <c r="BD306" s="494"/>
      <c r="BE306" s="494"/>
      <c r="BF306" s="2778"/>
    </row>
    <row r="307" spans="8:58" s="298" customFormat="1" ht="21.75" customHeight="1">
      <c r="H307" s="347"/>
      <c r="I307" s="347"/>
      <c r="J307" s="1336"/>
      <c r="K307" s="1337"/>
      <c r="L307" s="1338"/>
      <c r="M307" s="299"/>
      <c r="N307" s="1820"/>
      <c r="O307" s="494"/>
      <c r="P307" s="494"/>
      <c r="Q307" s="494"/>
      <c r="R307" s="494"/>
      <c r="S307" s="494"/>
      <c r="T307" s="494"/>
      <c r="U307" s="494"/>
      <c r="V307" s="494"/>
      <c r="W307" s="494"/>
      <c r="X307" s="494"/>
      <c r="Y307" s="494"/>
      <c r="Z307" s="494"/>
      <c r="AA307" s="494"/>
      <c r="AB307" s="494"/>
      <c r="AC307" s="494"/>
      <c r="AD307" s="494"/>
      <c r="AE307" s="494"/>
      <c r="AF307" s="494"/>
      <c r="AG307" s="494"/>
      <c r="AH307" s="494"/>
      <c r="AI307" s="494"/>
      <c r="AJ307" s="494"/>
      <c r="AK307" s="494"/>
      <c r="AL307" s="494"/>
      <c r="AM307" s="494"/>
      <c r="AN307" s="494"/>
      <c r="AO307" s="494"/>
      <c r="AP307" s="494"/>
      <c r="AQ307" s="494"/>
      <c r="AR307" s="494"/>
      <c r="AS307" s="494"/>
      <c r="AT307" s="494"/>
      <c r="AU307" s="494"/>
      <c r="AV307" s="494"/>
      <c r="AW307" s="494"/>
      <c r="AX307" s="494"/>
      <c r="AY307" s="494"/>
      <c r="AZ307" s="494"/>
      <c r="BA307" s="494"/>
      <c r="BB307" s="494"/>
      <c r="BC307" s="494"/>
      <c r="BD307" s="494"/>
      <c r="BE307" s="494"/>
      <c r="BF307" s="2778"/>
    </row>
    <row r="308" spans="8:58" s="298" customFormat="1" ht="21.75" customHeight="1">
      <c r="H308" s="347"/>
      <c r="I308" s="347"/>
      <c r="J308" s="1336"/>
      <c r="K308" s="1337"/>
      <c r="L308" s="1338"/>
      <c r="M308" s="299"/>
      <c r="N308" s="1820"/>
      <c r="O308" s="494"/>
      <c r="P308" s="494"/>
      <c r="Q308" s="494"/>
      <c r="R308" s="494"/>
      <c r="S308" s="494"/>
      <c r="T308" s="494"/>
      <c r="U308" s="494"/>
      <c r="V308" s="494"/>
      <c r="W308" s="494"/>
      <c r="X308" s="494"/>
      <c r="Y308" s="494"/>
      <c r="Z308" s="494"/>
      <c r="AA308" s="494"/>
      <c r="AB308" s="494"/>
      <c r="AC308" s="494"/>
      <c r="AD308" s="494"/>
      <c r="AE308" s="494"/>
      <c r="AF308" s="494"/>
      <c r="AG308" s="494"/>
      <c r="AH308" s="494"/>
      <c r="AI308" s="494"/>
      <c r="AJ308" s="494"/>
      <c r="AK308" s="494"/>
      <c r="AL308" s="494"/>
      <c r="AM308" s="494"/>
      <c r="AN308" s="494"/>
      <c r="AO308" s="494"/>
      <c r="AP308" s="494"/>
      <c r="AQ308" s="494"/>
      <c r="AR308" s="494"/>
      <c r="AS308" s="494"/>
      <c r="AT308" s="494"/>
      <c r="AU308" s="494"/>
      <c r="AV308" s="494"/>
      <c r="AW308" s="494"/>
      <c r="AX308" s="494"/>
      <c r="AY308" s="494"/>
      <c r="AZ308" s="494"/>
      <c r="BA308" s="494"/>
      <c r="BB308" s="494"/>
      <c r="BC308" s="494"/>
      <c r="BD308" s="494"/>
      <c r="BE308" s="494"/>
      <c r="BF308" s="2778"/>
    </row>
    <row r="309" spans="8:58" s="298" customFormat="1" ht="21.75" customHeight="1">
      <c r="H309" s="347"/>
      <c r="I309" s="347"/>
      <c r="J309" s="1336"/>
      <c r="K309" s="1337"/>
      <c r="L309" s="1338"/>
      <c r="M309" s="299"/>
      <c r="N309" s="1820"/>
      <c r="O309" s="494"/>
      <c r="P309" s="494"/>
      <c r="Q309" s="494"/>
      <c r="R309" s="494"/>
      <c r="S309" s="494"/>
      <c r="T309" s="494"/>
      <c r="U309" s="494"/>
      <c r="V309" s="494"/>
      <c r="W309" s="494"/>
      <c r="X309" s="494"/>
      <c r="Y309" s="494"/>
      <c r="Z309" s="494"/>
      <c r="AA309" s="494"/>
      <c r="AB309" s="494"/>
      <c r="AC309" s="494"/>
      <c r="AD309" s="494"/>
      <c r="AE309" s="494"/>
      <c r="AF309" s="494"/>
      <c r="AG309" s="494"/>
      <c r="AH309" s="494"/>
      <c r="AI309" s="494"/>
      <c r="AJ309" s="494"/>
      <c r="AK309" s="494"/>
      <c r="AL309" s="494"/>
      <c r="AM309" s="494"/>
      <c r="AN309" s="494"/>
      <c r="AO309" s="494"/>
      <c r="AP309" s="494"/>
      <c r="AQ309" s="494"/>
      <c r="AR309" s="494"/>
      <c r="AS309" s="494"/>
      <c r="AT309" s="494"/>
      <c r="AU309" s="494"/>
      <c r="AV309" s="494"/>
      <c r="AW309" s="494"/>
      <c r="AX309" s="494"/>
      <c r="AY309" s="494"/>
      <c r="AZ309" s="494"/>
      <c r="BA309" s="494"/>
      <c r="BB309" s="494"/>
      <c r="BC309" s="494"/>
      <c r="BD309" s="494"/>
      <c r="BE309" s="494"/>
      <c r="BF309" s="2778"/>
    </row>
    <row r="310" spans="8:58" s="298" customFormat="1" ht="21.75" customHeight="1">
      <c r="H310" s="347"/>
      <c r="I310" s="347"/>
      <c r="J310" s="1336"/>
      <c r="K310" s="1337"/>
      <c r="L310" s="1338"/>
      <c r="M310" s="299"/>
      <c r="N310" s="1820"/>
      <c r="O310" s="494"/>
      <c r="P310" s="494"/>
      <c r="Q310" s="494"/>
      <c r="R310" s="494"/>
      <c r="S310" s="494"/>
      <c r="T310" s="494"/>
      <c r="U310" s="494"/>
      <c r="V310" s="494"/>
      <c r="W310" s="494"/>
      <c r="X310" s="494"/>
      <c r="Y310" s="494"/>
      <c r="Z310" s="494"/>
      <c r="AA310" s="494"/>
      <c r="AB310" s="494"/>
      <c r="AC310" s="494"/>
      <c r="AD310" s="494"/>
      <c r="AE310" s="494"/>
      <c r="AF310" s="494"/>
      <c r="AG310" s="494"/>
      <c r="AH310" s="494"/>
      <c r="AI310" s="494"/>
      <c r="AJ310" s="494"/>
      <c r="AK310" s="494"/>
      <c r="AL310" s="494"/>
      <c r="AM310" s="494"/>
      <c r="AN310" s="494"/>
      <c r="AO310" s="494"/>
      <c r="AP310" s="494"/>
      <c r="AQ310" s="494"/>
      <c r="AR310" s="494"/>
      <c r="AS310" s="494"/>
      <c r="AT310" s="494"/>
      <c r="AU310" s="494"/>
      <c r="AV310" s="494"/>
      <c r="AW310" s="494"/>
      <c r="AX310" s="494"/>
      <c r="AY310" s="494"/>
      <c r="AZ310" s="494"/>
      <c r="BA310" s="494"/>
      <c r="BB310" s="494"/>
      <c r="BC310" s="494"/>
      <c r="BD310" s="494"/>
      <c r="BE310" s="494"/>
      <c r="BF310" s="2778"/>
    </row>
    <row r="311" spans="8:58" s="298" customFormat="1" ht="21.75" customHeight="1">
      <c r="H311" s="347"/>
      <c r="I311" s="347"/>
      <c r="J311" s="1336"/>
      <c r="K311" s="1337"/>
      <c r="L311" s="1338"/>
      <c r="M311" s="299"/>
      <c r="N311" s="1820"/>
      <c r="O311" s="494"/>
      <c r="P311" s="494"/>
      <c r="Q311" s="494"/>
      <c r="R311" s="494"/>
      <c r="S311" s="494"/>
      <c r="T311" s="494"/>
      <c r="U311" s="494"/>
      <c r="V311" s="494"/>
      <c r="W311" s="494"/>
      <c r="X311" s="494"/>
      <c r="Y311" s="494"/>
      <c r="Z311" s="494"/>
      <c r="AA311" s="494"/>
      <c r="AB311" s="494"/>
      <c r="AC311" s="494"/>
      <c r="AD311" s="494"/>
      <c r="AE311" s="494"/>
      <c r="AF311" s="494"/>
      <c r="AG311" s="494"/>
      <c r="AH311" s="494"/>
      <c r="AI311" s="494"/>
      <c r="AJ311" s="494"/>
      <c r="AK311" s="494"/>
      <c r="AL311" s="494"/>
      <c r="AM311" s="494"/>
      <c r="AN311" s="494"/>
      <c r="AO311" s="494"/>
      <c r="AP311" s="494"/>
      <c r="AQ311" s="494"/>
      <c r="AR311" s="494"/>
      <c r="AS311" s="494"/>
      <c r="AT311" s="494"/>
      <c r="AU311" s="494"/>
      <c r="AV311" s="494"/>
      <c r="AW311" s="494"/>
      <c r="AX311" s="494"/>
      <c r="AY311" s="494"/>
      <c r="AZ311" s="494"/>
      <c r="BA311" s="494"/>
      <c r="BB311" s="494"/>
      <c r="BC311" s="494"/>
      <c r="BD311" s="494"/>
      <c r="BE311" s="494"/>
      <c r="BF311" s="2778"/>
    </row>
    <row r="312" spans="8:58" s="298" customFormat="1" ht="21.75" customHeight="1">
      <c r="H312" s="347"/>
      <c r="I312" s="347"/>
      <c r="J312" s="1336"/>
      <c r="K312" s="1337"/>
      <c r="L312" s="1338"/>
      <c r="M312" s="299"/>
      <c r="N312" s="1820"/>
      <c r="O312" s="494"/>
      <c r="P312" s="494"/>
      <c r="Q312" s="494"/>
      <c r="R312" s="494"/>
      <c r="S312" s="494"/>
      <c r="T312" s="494"/>
      <c r="U312" s="494"/>
      <c r="V312" s="494"/>
      <c r="W312" s="494"/>
      <c r="X312" s="494"/>
      <c r="Y312" s="494"/>
      <c r="Z312" s="494"/>
      <c r="AA312" s="494"/>
      <c r="AB312" s="494"/>
      <c r="AC312" s="494"/>
      <c r="AD312" s="494"/>
      <c r="AE312" s="494"/>
      <c r="AF312" s="494"/>
      <c r="AG312" s="494"/>
      <c r="AH312" s="494"/>
      <c r="AI312" s="494"/>
      <c r="AJ312" s="494"/>
      <c r="AK312" s="494"/>
      <c r="AL312" s="494"/>
      <c r="AM312" s="494"/>
      <c r="AN312" s="494"/>
      <c r="AO312" s="494"/>
      <c r="AP312" s="494"/>
      <c r="AQ312" s="494"/>
      <c r="AR312" s="494"/>
      <c r="AS312" s="494"/>
      <c r="AT312" s="494"/>
      <c r="AU312" s="494"/>
      <c r="AV312" s="494"/>
      <c r="AW312" s="494"/>
      <c r="AX312" s="494"/>
      <c r="AY312" s="494"/>
      <c r="AZ312" s="494"/>
      <c r="BA312" s="494"/>
      <c r="BB312" s="494"/>
      <c r="BC312" s="494"/>
      <c r="BD312" s="494"/>
      <c r="BE312" s="494"/>
      <c r="BF312" s="2778"/>
    </row>
    <row r="313" spans="8:58" s="298" customFormat="1" ht="21.75" customHeight="1">
      <c r="H313" s="347"/>
      <c r="I313" s="347"/>
      <c r="J313" s="1336"/>
      <c r="K313" s="1337"/>
      <c r="L313" s="1338"/>
      <c r="M313" s="299"/>
      <c r="N313" s="1820"/>
      <c r="O313" s="494"/>
      <c r="P313" s="494"/>
      <c r="Q313" s="494"/>
      <c r="R313" s="494"/>
      <c r="S313" s="494"/>
      <c r="T313" s="494"/>
      <c r="U313" s="494"/>
      <c r="V313" s="494"/>
      <c r="W313" s="494"/>
      <c r="X313" s="494"/>
      <c r="Y313" s="494"/>
      <c r="Z313" s="494"/>
      <c r="AA313" s="494"/>
      <c r="AB313" s="494"/>
      <c r="AC313" s="494"/>
      <c r="AD313" s="494"/>
      <c r="AE313" s="494"/>
      <c r="AF313" s="494"/>
      <c r="AG313" s="494"/>
      <c r="AH313" s="494"/>
      <c r="AI313" s="494"/>
      <c r="AJ313" s="494"/>
      <c r="AK313" s="494"/>
      <c r="AL313" s="494"/>
      <c r="AM313" s="494"/>
      <c r="AN313" s="494"/>
      <c r="AO313" s="494"/>
      <c r="AP313" s="494"/>
      <c r="AQ313" s="494"/>
      <c r="AR313" s="494"/>
      <c r="AS313" s="494"/>
      <c r="AT313" s="494"/>
      <c r="AU313" s="494"/>
      <c r="AV313" s="494"/>
      <c r="AW313" s="494"/>
      <c r="AX313" s="494"/>
      <c r="AY313" s="494"/>
      <c r="AZ313" s="494"/>
      <c r="BA313" s="494"/>
      <c r="BB313" s="494"/>
      <c r="BC313" s="494"/>
      <c r="BD313" s="494"/>
      <c r="BE313" s="494"/>
      <c r="BF313" s="2778"/>
    </row>
    <row r="314" spans="8:58" s="298" customFormat="1" ht="21.75" customHeight="1">
      <c r="H314" s="347"/>
      <c r="I314" s="347"/>
      <c r="J314" s="1336"/>
      <c r="K314" s="1337"/>
      <c r="L314" s="1338"/>
      <c r="M314" s="299"/>
      <c r="N314" s="1820"/>
      <c r="O314" s="494"/>
      <c r="P314" s="494"/>
      <c r="Q314" s="494"/>
      <c r="R314" s="494"/>
      <c r="S314" s="494"/>
      <c r="T314" s="494"/>
      <c r="U314" s="494"/>
      <c r="V314" s="494"/>
      <c r="W314" s="494"/>
      <c r="X314" s="494"/>
      <c r="Y314" s="494"/>
      <c r="Z314" s="494"/>
      <c r="AA314" s="494"/>
      <c r="AB314" s="494"/>
      <c r="AC314" s="494"/>
      <c r="AD314" s="494"/>
      <c r="AE314" s="494"/>
      <c r="AF314" s="494"/>
      <c r="AG314" s="494"/>
      <c r="AH314" s="494"/>
      <c r="AI314" s="494"/>
      <c r="AJ314" s="494"/>
      <c r="AK314" s="494"/>
      <c r="AL314" s="494"/>
      <c r="AM314" s="494"/>
      <c r="AN314" s="494"/>
      <c r="AO314" s="494"/>
      <c r="AP314" s="494"/>
      <c r="AQ314" s="494"/>
      <c r="AR314" s="494"/>
      <c r="AS314" s="494"/>
      <c r="AT314" s="494"/>
      <c r="AU314" s="494"/>
      <c r="AV314" s="494"/>
      <c r="AW314" s="494"/>
      <c r="AX314" s="494"/>
      <c r="AY314" s="494"/>
      <c r="AZ314" s="494"/>
      <c r="BA314" s="494"/>
      <c r="BB314" s="494"/>
      <c r="BC314" s="494"/>
      <c r="BD314" s="494"/>
      <c r="BE314" s="494"/>
      <c r="BF314" s="2778"/>
    </row>
    <row r="315" spans="8:58" s="298" customFormat="1" ht="21.75" customHeight="1">
      <c r="H315" s="347"/>
      <c r="I315" s="347"/>
      <c r="J315" s="1336"/>
      <c r="K315" s="1337"/>
      <c r="L315" s="1338"/>
      <c r="M315" s="299"/>
      <c r="N315" s="1820"/>
      <c r="O315" s="494"/>
      <c r="P315" s="494"/>
      <c r="Q315" s="494"/>
      <c r="R315" s="494"/>
      <c r="S315" s="494"/>
      <c r="T315" s="494"/>
      <c r="U315" s="494"/>
      <c r="V315" s="494"/>
      <c r="W315" s="494"/>
      <c r="X315" s="494"/>
      <c r="Y315" s="494"/>
      <c r="Z315" s="494"/>
      <c r="AA315" s="494"/>
      <c r="AB315" s="494"/>
      <c r="AC315" s="494"/>
      <c r="AD315" s="494"/>
      <c r="AE315" s="494"/>
      <c r="AF315" s="494"/>
      <c r="AG315" s="494"/>
      <c r="AH315" s="494"/>
      <c r="AI315" s="494"/>
      <c r="AJ315" s="494"/>
      <c r="AK315" s="494"/>
      <c r="AL315" s="494"/>
      <c r="AM315" s="494"/>
      <c r="AN315" s="494"/>
      <c r="AO315" s="494"/>
      <c r="AP315" s="494"/>
      <c r="AQ315" s="494"/>
      <c r="AR315" s="494"/>
      <c r="AS315" s="494"/>
      <c r="AT315" s="494"/>
      <c r="AU315" s="494"/>
      <c r="AV315" s="494"/>
      <c r="AW315" s="494"/>
      <c r="AX315" s="494"/>
      <c r="AY315" s="494"/>
      <c r="AZ315" s="494"/>
      <c r="BA315" s="494"/>
      <c r="BB315" s="494"/>
      <c r="BC315" s="494"/>
      <c r="BD315" s="494"/>
      <c r="BE315" s="494"/>
      <c r="BF315" s="2778"/>
    </row>
    <row r="316" spans="8:58" s="298" customFormat="1" ht="21.75" customHeight="1">
      <c r="H316" s="347"/>
      <c r="I316" s="347"/>
      <c r="J316" s="1336"/>
      <c r="K316" s="1337"/>
      <c r="L316" s="1338"/>
      <c r="M316" s="299"/>
      <c r="N316" s="1820"/>
      <c r="O316" s="494"/>
      <c r="P316" s="494"/>
      <c r="Q316" s="494"/>
      <c r="R316" s="494"/>
      <c r="S316" s="494"/>
      <c r="T316" s="494"/>
      <c r="U316" s="494"/>
      <c r="V316" s="494"/>
      <c r="W316" s="494"/>
      <c r="X316" s="494"/>
      <c r="Y316" s="494"/>
      <c r="Z316" s="494"/>
      <c r="AA316" s="494"/>
      <c r="AB316" s="494"/>
      <c r="AC316" s="494"/>
      <c r="AD316" s="494"/>
      <c r="AE316" s="494"/>
      <c r="AF316" s="494"/>
      <c r="AG316" s="494"/>
      <c r="AH316" s="494"/>
      <c r="AI316" s="494"/>
      <c r="AJ316" s="494"/>
      <c r="AK316" s="494"/>
      <c r="AL316" s="494"/>
      <c r="AM316" s="494"/>
      <c r="AN316" s="494"/>
      <c r="AO316" s="494"/>
      <c r="AP316" s="494"/>
      <c r="AQ316" s="494"/>
      <c r="AR316" s="494"/>
      <c r="AS316" s="494"/>
      <c r="AT316" s="494"/>
      <c r="AU316" s="494"/>
      <c r="AV316" s="494"/>
      <c r="AW316" s="494"/>
      <c r="AX316" s="494"/>
      <c r="AY316" s="494"/>
      <c r="AZ316" s="494"/>
      <c r="BA316" s="494"/>
      <c r="BB316" s="494"/>
      <c r="BC316" s="494"/>
      <c r="BD316" s="494"/>
      <c r="BE316" s="494"/>
      <c r="BF316" s="2778"/>
    </row>
    <row r="317" spans="8:58" s="298" customFormat="1" ht="21.75" customHeight="1">
      <c r="H317" s="347"/>
      <c r="I317" s="347"/>
      <c r="J317" s="1336"/>
      <c r="K317" s="1337"/>
      <c r="L317" s="1338"/>
      <c r="M317" s="299"/>
      <c r="N317" s="1820"/>
      <c r="O317" s="494"/>
      <c r="P317" s="494"/>
      <c r="Q317" s="494"/>
      <c r="R317" s="494"/>
      <c r="S317" s="494"/>
      <c r="T317" s="494"/>
      <c r="U317" s="494"/>
      <c r="V317" s="494"/>
      <c r="W317" s="494"/>
      <c r="X317" s="494"/>
      <c r="Y317" s="494"/>
      <c r="Z317" s="494"/>
      <c r="AA317" s="494"/>
      <c r="AB317" s="494"/>
      <c r="AC317" s="494"/>
      <c r="AD317" s="494"/>
      <c r="AE317" s="494"/>
      <c r="AF317" s="494"/>
      <c r="AG317" s="494"/>
      <c r="AH317" s="494"/>
      <c r="AI317" s="494"/>
      <c r="AJ317" s="494"/>
      <c r="AK317" s="494"/>
      <c r="AL317" s="494"/>
      <c r="AM317" s="494"/>
      <c r="AN317" s="494"/>
      <c r="AO317" s="494"/>
      <c r="AP317" s="494"/>
      <c r="AQ317" s="494"/>
      <c r="AR317" s="494"/>
      <c r="AS317" s="494"/>
      <c r="AT317" s="494"/>
      <c r="AU317" s="494"/>
      <c r="AV317" s="494"/>
      <c r="AW317" s="494"/>
      <c r="AX317" s="494"/>
      <c r="AY317" s="494"/>
      <c r="AZ317" s="494"/>
      <c r="BA317" s="494"/>
      <c r="BB317" s="494"/>
      <c r="BC317" s="494"/>
      <c r="BD317" s="494"/>
      <c r="BE317" s="494"/>
      <c r="BF317" s="2778"/>
    </row>
    <row r="318" spans="8:58" s="298" customFormat="1" ht="21.75" customHeight="1">
      <c r="H318" s="347"/>
      <c r="I318" s="347"/>
      <c r="J318" s="1336"/>
      <c r="K318" s="1337"/>
      <c r="L318" s="1338"/>
      <c r="M318" s="299"/>
      <c r="N318" s="1820"/>
      <c r="O318" s="494"/>
      <c r="P318" s="494"/>
      <c r="Q318" s="494"/>
      <c r="R318" s="494"/>
      <c r="S318" s="494"/>
      <c r="T318" s="494"/>
      <c r="U318" s="494"/>
      <c r="V318" s="494"/>
      <c r="W318" s="494"/>
      <c r="X318" s="494"/>
      <c r="Y318" s="494"/>
      <c r="Z318" s="494"/>
      <c r="AA318" s="494"/>
      <c r="AB318" s="494"/>
      <c r="AC318" s="494"/>
      <c r="AD318" s="494"/>
      <c r="AE318" s="494"/>
      <c r="AF318" s="494"/>
      <c r="AG318" s="494"/>
      <c r="AH318" s="494"/>
      <c r="AI318" s="494"/>
      <c r="AJ318" s="494"/>
      <c r="AK318" s="494"/>
      <c r="AL318" s="494"/>
      <c r="AM318" s="494"/>
      <c r="AN318" s="494"/>
      <c r="AO318" s="494"/>
      <c r="AP318" s="494"/>
      <c r="AQ318" s="494"/>
      <c r="AR318" s="494"/>
      <c r="AS318" s="494"/>
      <c r="AT318" s="494"/>
      <c r="AU318" s="494"/>
      <c r="AV318" s="494"/>
      <c r="AW318" s="494"/>
      <c r="AX318" s="494"/>
      <c r="AY318" s="494"/>
      <c r="AZ318" s="494"/>
      <c r="BA318" s="494"/>
      <c r="BB318" s="494"/>
      <c r="BC318" s="494"/>
      <c r="BD318" s="494"/>
      <c r="BE318" s="494"/>
      <c r="BF318" s="2778"/>
    </row>
    <row r="319" spans="8:58" s="298" customFormat="1" ht="21.75" customHeight="1">
      <c r="H319" s="347"/>
      <c r="I319" s="347"/>
      <c r="J319" s="1336"/>
      <c r="K319" s="1337"/>
      <c r="L319" s="1338"/>
      <c r="M319" s="299"/>
      <c r="N319" s="1820"/>
      <c r="O319" s="494"/>
      <c r="P319" s="494"/>
      <c r="Q319" s="494"/>
      <c r="R319" s="494"/>
      <c r="S319" s="494"/>
      <c r="T319" s="494"/>
      <c r="U319" s="494"/>
      <c r="V319" s="494"/>
      <c r="W319" s="494"/>
      <c r="X319" s="494"/>
      <c r="Y319" s="494"/>
      <c r="Z319" s="494"/>
      <c r="AA319" s="494"/>
      <c r="AB319" s="494"/>
      <c r="AC319" s="494"/>
      <c r="AD319" s="494"/>
      <c r="AE319" s="494"/>
      <c r="AF319" s="494"/>
      <c r="AG319" s="494"/>
      <c r="AH319" s="494"/>
      <c r="AI319" s="494"/>
      <c r="AJ319" s="494"/>
      <c r="AK319" s="494"/>
      <c r="AL319" s="494"/>
      <c r="AM319" s="494"/>
      <c r="AN319" s="494"/>
      <c r="AO319" s="494"/>
      <c r="AP319" s="494"/>
      <c r="AQ319" s="494"/>
      <c r="AR319" s="494"/>
      <c r="AS319" s="494"/>
      <c r="AT319" s="494"/>
      <c r="AU319" s="494"/>
      <c r="AV319" s="494"/>
      <c r="AW319" s="494"/>
      <c r="AX319" s="494"/>
      <c r="AY319" s="494"/>
      <c r="AZ319" s="494"/>
      <c r="BA319" s="494"/>
      <c r="BB319" s="494"/>
      <c r="BC319" s="494"/>
      <c r="BD319" s="494"/>
      <c r="BE319" s="494"/>
      <c r="BF319" s="2778"/>
    </row>
    <row r="320" spans="8:58" s="298" customFormat="1" ht="21.75" customHeight="1">
      <c r="H320" s="347"/>
      <c r="I320" s="347"/>
      <c r="J320" s="1336"/>
      <c r="K320" s="1337"/>
      <c r="L320" s="1338"/>
      <c r="M320" s="299"/>
      <c r="N320" s="1820"/>
      <c r="O320" s="494"/>
      <c r="P320" s="494"/>
      <c r="Q320" s="494"/>
      <c r="R320" s="494"/>
      <c r="S320" s="494"/>
      <c r="T320" s="494"/>
      <c r="U320" s="494"/>
      <c r="V320" s="494"/>
      <c r="W320" s="494"/>
      <c r="X320" s="494"/>
      <c r="Y320" s="494"/>
      <c r="Z320" s="494"/>
      <c r="AA320" s="494"/>
      <c r="AB320" s="494"/>
      <c r="AC320" s="494"/>
      <c r="AD320" s="494"/>
      <c r="AE320" s="494"/>
      <c r="AF320" s="494"/>
      <c r="AG320" s="494"/>
      <c r="AH320" s="494"/>
      <c r="AI320" s="494"/>
      <c r="AJ320" s="494"/>
      <c r="AK320" s="494"/>
      <c r="AL320" s="494"/>
      <c r="AM320" s="494"/>
      <c r="AN320" s="494"/>
      <c r="AO320" s="494"/>
      <c r="AP320" s="494"/>
      <c r="AQ320" s="494"/>
      <c r="AR320" s="494"/>
      <c r="AS320" s="494"/>
      <c r="AT320" s="494"/>
      <c r="AU320" s="494"/>
      <c r="AV320" s="494"/>
      <c r="AW320" s="494"/>
      <c r="AX320" s="494"/>
      <c r="AY320" s="494"/>
      <c r="AZ320" s="494"/>
      <c r="BA320" s="494"/>
      <c r="BB320" s="494"/>
      <c r="BC320" s="494"/>
      <c r="BD320" s="494"/>
      <c r="BE320" s="494"/>
      <c r="BF320" s="2778"/>
    </row>
    <row r="321" spans="8:58" s="298" customFormat="1" ht="21.75" customHeight="1">
      <c r="H321" s="347"/>
      <c r="I321" s="347"/>
      <c r="J321" s="1336"/>
      <c r="K321" s="1337"/>
      <c r="L321" s="1338"/>
      <c r="M321" s="299"/>
      <c r="N321" s="1820"/>
      <c r="O321" s="494"/>
      <c r="P321" s="494"/>
      <c r="Q321" s="494"/>
      <c r="R321" s="494"/>
      <c r="S321" s="494"/>
      <c r="T321" s="494"/>
      <c r="U321" s="494"/>
      <c r="V321" s="494"/>
      <c r="W321" s="494"/>
      <c r="X321" s="494"/>
      <c r="Y321" s="494"/>
      <c r="Z321" s="494"/>
      <c r="AA321" s="494"/>
      <c r="AB321" s="494"/>
      <c r="AC321" s="494"/>
      <c r="AD321" s="494"/>
      <c r="AE321" s="494"/>
      <c r="AF321" s="494"/>
      <c r="AG321" s="494"/>
      <c r="AH321" s="494"/>
      <c r="AI321" s="494"/>
      <c r="AJ321" s="494"/>
      <c r="AK321" s="494"/>
      <c r="AL321" s="494"/>
      <c r="AM321" s="494"/>
      <c r="AN321" s="494"/>
      <c r="AO321" s="494"/>
      <c r="AP321" s="494"/>
      <c r="AQ321" s="494"/>
      <c r="AR321" s="494"/>
      <c r="AS321" s="494"/>
      <c r="AT321" s="494"/>
      <c r="AU321" s="494"/>
      <c r="AV321" s="494"/>
      <c r="AW321" s="494"/>
      <c r="AX321" s="494"/>
      <c r="AY321" s="494"/>
      <c r="AZ321" s="494"/>
      <c r="BA321" s="494"/>
      <c r="BB321" s="494"/>
      <c r="BC321" s="494"/>
      <c r="BD321" s="494"/>
      <c r="BE321" s="494"/>
      <c r="BF321" s="2778"/>
    </row>
    <row r="1048564" spans="54:54">
      <c r="BB1048564" s="496">
        <v>87920</v>
      </c>
    </row>
  </sheetData>
  <protectedRanges>
    <protectedRange password="ECE8" sqref="O2:AF4" name="작성자만수정"/>
    <protectedRange password="ECE8" sqref="O158:AF158 O5:AF10 O106:AF107 O24:AF103 O120:AF122 O110:AF113 O124:AF148" name="작성자만수정_2_1"/>
    <protectedRange password="ECE8" sqref="O204:AF205 O104:AF105" name="작성자만수정_2_1_1"/>
    <protectedRange password="ECE8" sqref="O289:AF291 O280:AF284" name="작성자만수정_2_1_2"/>
    <protectedRange password="ECE8" sqref="O11:AF23" name="작성자만수정_2_1_3"/>
    <protectedRange password="ECE8" sqref="O114:AF119" name="작성자만수정_2_1_4"/>
    <protectedRange password="ECE8" sqref="O225:AF225 O210:AF212" name="작성자만수정_2_1_1_2"/>
    <protectedRange password="ECE8" sqref="O273:AF274" name="작성자만수정_2_1_1_1_2"/>
    <protectedRange password="ECE8" sqref="O296:AF298" name="작성자만수정_2_1_2_2"/>
    <protectedRange password="ECE8" sqref="O108:AF109" name="작성자만수정_2_1_5"/>
    <protectedRange password="ECE8" sqref="O123:AF123" name="작성자만수정_2_1_6"/>
  </protectedRanges>
  <mergeCells count="28">
    <mergeCell ref="N296:U296"/>
    <mergeCell ref="F121:G121"/>
    <mergeCell ref="F133:G133"/>
    <mergeCell ref="F138:G138"/>
    <mergeCell ref="F143:G143"/>
    <mergeCell ref="N146:U146"/>
    <mergeCell ref="N210:U210"/>
    <mergeCell ref="F106:G106"/>
    <mergeCell ref="N110:U110"/>
    <mergeCell ref="F267:G267"/>
    <mergeCell ref="N282:U282"/>
    <mergeCell ref="N289:U289"/>
    <mergeCell ref="F113:G113"/>
    <mergeCell ref="H2:H3"/>
    <mergeCell ref="K2:M3"/>
    <mergeCell ref="A4:G4"/>
    <mergeCell ref="N7:U7"/>
    <mergeCell ref="F10:G10"/>
    <mergeCell ref="I2:I3"/>
    <mergeCell ref="J2:J3"/>
    <mergeCell ref="F93:G93"/>
    <mergeCell ref="F95:G95"/>
    <mergeCell ref="F101:G101"/>
    <mergeCell ref="F89:G89"/>
    <mergeCell ref="A2:A3"/>
    <mergeCell ref="B2:D2"/>
    <mergeCell ref="E2:G2"/>
    <mergeCell ref="F25:G25"/>
  </mergeCells>
  <phoneticPr fontId="15" type="noConversion"/>
  <conditionalFormatting sqref="J146">
    <cfRule type="containsText" dxfId="870" priority="303" operator="containsText" text="허하나로">
      <formula>NOT(ISERROR(SEARCH("허하나로",H1217)))</formula>
    </cfRule>
    <cfRule type="containsText" dxfId="869" priority="304" operator="containsText" text="한별">
      <formula>NOT(ISERROR(SEARCH("한별",H1217)))</formula>
    </cfRule>
    <cfRule type="containsText" dxfId="868" priority="305" operator="containsText" text="정홍조">
      <formula>NOT(ISERROR(SEARCH("정홍조",H1217)))</formula>
    </cfRule>
    <cfRule type="containsText" dxfId="867" priority="306" operator="containsText" text="김지윤">
      <formula>NOT(ISERROR(SEARCH("김지윤",H1217)))</formula>
    </cfRule>
    <cfRule type="containsText" dxfId="866" priority="307" operator="containsText" text="전준영">
      <formula>NOT(ISERROR(SEARCH("전준영",H1217)))</formula>
    </cfRule>
    <cfRule type="containsText" dxfId="865" priority="308" operator="containsText" text="차재성">
      <formula>NOT(ISERROR(SEARCH("차재성",H1217)))</formula>
    </cfRule>
  </conditionalFormatting>
  <conditionalFormatting sqref="J148">
    <cfRule type="containsText" dxfId="864" priority="297" operator="containsText" text="허하나로">
      <formula>NOT(ISERROR(SEARCH("허하나로",H1415)))</formula>
    </cfRule>
    <cfRule type="containsText" dxfId="863" priority="298" operator="containsText" text="한별">
      <formula>NOT(ISERROR(SEARCH("한별",H1415)))</formula>
    </cfRule>
    <cfRule type="containsText" dxfId="862" priority="299" operator="containsText" text="정홍조">
      <formula>NOT(ISERROR(SEARCH("정홍조",H1415)))</formula>
    </cfRule>
    <cfRule type="containsText" dxfId="861" priority="300" operator="containsText" text="김지윤">
      <formula>NOT(ISERROR(SEARCH("김지윤",H1415)))</formula>
    </cfRule>
    <cfRule type="containsText" dxfId="860" priority="301" operator="containsText" text="전준영">
      <formula>NOT(ISERROR(SEARCH("전준영",H1415)))</formula>
    </cfRule>
    <cfRule type="containsText" dxfId="859" priority="302" operator="containsText" text="차재성">
      <formula>NOT(ISERROR(SEARCH("차재성",H1415)))</formula>
    </cfRule>
  </conditionalFormatting>
  <conditionalFormatting sqref="J6">
    <cfRule type="containsText" dxfId="858" priority="291" operator="containsText" text="허하나로">
      <formula>NOT(ISERROR(SEARCH("허하나로",H1216)))</formula>
    </cfRule>
    <cfRule type="containsText" dxfId="857" priority="292" operator="containsText" text="한별">
      <formula>NOT(ISERROR(SEARCH("한별",H1216)))</formula>
    </cfRule>
    <cfRule type="containsText" dxfId="856" priority="293" operator="containsText" text="정홍조">
      <formula>NOT(ISERROR(SEARCH("정홍조",H1216)))</formula>
    </cfRule>
    <cfRule type="containsText" dxfId="855" priority="294" operator="containsText" text="김지윤">
      <formula>NOT(ISERROR(SEARCH("김지윤",H1216)))</formula>
    </cfRule>
    <cfRule type="containsText" dxfId="854" priority="295" operator="containsText" text="전준영">
      <formula>NOT(ISERROR(SEARCH("전준영",H1216)))</formula>
    </cfRule>
    <cfRule type="containsText" dxfId="853" priority="296" operator="containsText" text="차재성">
      <formula>NOT(ISERROR(SEARCH("차재성",H1216)))</formula>
    </cfRule>
  </conditionalFormatting>
  <conditionalFormatting sqref="J5">
    <cfRule type="containsText" dxfId="852" priority="285" operator="containsText" text="허하나로">
      <formula>NOT(ISERROR(SEARCH("허하나로",H1215)))</formula>
    </cfRule>
    <cfRule type="containsText" dxfId="851" priority="286" operator="containsText" text="한별">
      <formula>NOT(ISERROR(SEARCH("한별",H1215)))</formula>
    </cfRule>
    <cfRule type="containsText" dxfId="850" priority="287" operator="containsText" text="정홍조">
      <formula>NOT(ISERROR(SEARCH("정홍조",H1215)))</formula>
    </cfRule>
    <cfRule type="containsText" dxfId="849" priority="288" operator="containsText" text="김지윤">
      <formula>NOT(ISERROR(SEARCH("김지윤",H1215)))</formula>
    </cfRule>
    <cfRule type="containsText" dxfId="848" priority="289" operator="containsText" text="전준영">
      <formula>NOT(ISERROR(SEARCH("전준영",H1215)))</formula>
    </cfRule>
    <cfRule type="containsText" dxfId="847" priority="290" operator="containsText" text="차재성">
      <formula>NOT(ISERROR(SEARCH("차재성",H1215)))</formula>
    </cfRule>
  </conditionalFormatting>
  <conditionalFormatting sqref="J158">
    <cfRule type="containsText" dxfId="846" priority="279" operator="containsText" text="허하나로">
      <formula>NOT(ISERROR(SEARCH("허하나로",H1425)))</formula>
    </cfRule>
    <cfRule type="containsText" dxfId="845" priority="280" operator="containsText" text="한별">
      <formula>NOT(ISERROR(SEARCH("한별",H1425)))</formula>
    </cfRule>
    <cfRule type="containsText" dxfId="844" priority="281" operator="containsText" text="정홍조">
      <formula>NOT(ISERROR(SEARCH("정홍조",H1425)))</formula>
    </cfRule>
    <cfRule type="containsText" dxfId="843" priority="282" operator="containsText" text="김지윤">
      <formula>NOT(ISERROR(SEARCH("김지윤",H1425)))</formula>
    </cfRule>
    <cfRule type="containsText" dxfId="842" priority="283" operator="containsText" text="전준영">
      <formula>NOT(ISERROR(SEARCH("전준영",H1425)))</formula>
    </cfRule>
    <cfRule type="containsText" dxfId="841" priority="284" operator="containsText" text="차재성">
      <formula>NOT(ISERROR(SEARCH("차재성",H1425)))</formula>
    </cfRule>
  </conditionalFormatting>
  <conditionalFormatting sqref="J205">
    <cfRule type="containsText" dxfId="840" priority="273" operator="containsText" text="허하나로">
      <formula>NOT(ISERROR(SEARCH("허하나로",H1505)))</formula>
    </cfRule>
    <cfRule type="containsText" dxfId="839" priority="274" operator="containsText" text="한별">
      <formula>NOT(ISERROR(SEARCH("한별",H1505)))</formula>
    </cfRule>
    <cfRule type="containsText" dxfId="838" priority="275" operator="containsText" text="정홍조">
      <formula>NOT(ISERROR(SEARCH("정홍조",H1505)))</formula>
    </cfRule>
    <cfRule type="containsText" dxfId="837" priority="276" operator="containsText" text="김지윤">
      <formula>NOT(ISERROR(SEARCH("김지윤",H1505)))</formula>
    </cfRule>
    <cfRule type="containsText" dxfId="836" priority="277" operator="containsText" text="전준영">
      <formula>NOT(ISERROR(SEARCH("전준영",H1505)))</formula>
    </cfRule>
    <cfRule type="containsText" dxfId="835" priority="278" operator="containsText" text="차재성">
      <formula>NOT(ISERROR(SEARCH("차재성",H1505)))</formula>
    </cfRule>
  </conditionalFormatting>
  <conditionalFormatting sqref="J204">
    <cfRule type="containsText" dxfId="834" priority="267" operator="containsText" text="허하나로">
      <formula>NOT(ISERROR(SEARCH("허하나로",H1504)))</formula>
    </cfRule>
    <cfRule type="containsText" dxfId="833" priority="268" operator="containsText" text="한별">
      <formula>NOT(ISERROR(SEARCH("한별",H1504)))</formula>
    </cfRule>
    <cfRule type="containsText" dxfId="832" priority="269" operator="containsText" text="정홍조">
      <formula>NOT(ISERROR(SEARCH("정홍조",H1504)))</formula>
    </cfRule>
    <cfRule type="containsText" dxfId="831" priority="270" operator="containsText" text="김지윤">
      <formula>NOT(ISERROR(SEARCH("김지윤",H1504)))</formula>
    </cfRule>
    <cfRule type="containsText" dxfId="830" priority="271" operator="containsText" text="전준영">
      <formula>NOT(ISERROR(SEARCH("전준영",H1504)))</formula>
    </cfRule>
    <cfRule type="containsText" dxfId="829" priority="272" operator="containsText" text="차재성">
      <formula>NOT(ISERROR(SEARCH("차재성",H1504)))</formula>
    </cfRule>
  </conditionalFormatting>
  <conditionalFormatting sqref="J291">
    <cfRule type="containsText" dxfId="828" priority="261" operator="containsText" text="허하나로">
      <formula>NOT(ISERROR(SEARCH("허하나로",H1294)))</formula>
    </cfRule>
    <cfRule type="containsText" dxfId="827" priority="262" operator="containsText" text="한별">
      <formula>NOT(ISERROR(SEARCH("한별",H1294)))</formula>
    </cfRule>
    <cfRule type="containsText" dxfId="826" priority="263" operator="containsText" text="정홍조">
      <formula>NOT(ISERROR(SEARCH("정홍조",H1294)))</formula>
    </cfRule>
    <cfRule type="containsText" dxfId="825" priority="264" operator="containsText" text="김지윤">
      <formula>NOT(ISERROR(SEARCH("김지윤",H1294)))</formula>
    </cfRule>
    <cfRule type="containsText" dxfId="824" priority="265" operator="containsText" text="전준영">
      <formula>NOT(ISERROR(SEARCH("전준영",H1294)))</formula>
    </cfRule>
    <cfRule type="containsText" dxfId="823" priority="266" operator="containsText" text="차재성">
      <formula>NOT(ISERROR(SEARCH("차재성",H1294)))</formula>
    </cfRule>
  </conditionalFormatting>
  <conditionalFormatting sqref="J290">
    <cfRule type="containsText" dxfId="822" priority="255" operator="containsText" text="허하나로">
      <formula>NOT(ISERROR(SEARCH("허하나로",H1293)))</formula>
    </cfRule>
    <cfRule type="containsText" dxfId="821" priority="256" operator="containsText" text="한별">
      <formula>NOT(ISERROR(SEARCH("한별",H1293)))</formula>
    </cfRule>
    <cfRule type="containsText" dxfId="820" priority="257" operator="containsText" text="정홍조">
      <formula>NOT(ISERROR(SEARCH("정홍조",H1293)))</formula>
    </cfRule>
    <cfRule type="containsText" dxfId="819" priority="258" operator="containsText" text="김지윤">
      <formula>NOT(ISERROR(SEARCH("김지윤",H1293)))</formula>
    </cfRule>
    <cfRule type="containsText" dxfId="818" priority="259" operator="containsText" text="전준영">
      <formula>NOT(ISERROR(SEARCH("전준영",H1293)))</formula>
    </cfRule>
    <cfRule type="containsText" dxfId="817" priority="260" operator="containsText" text="차재성">
      <formula>NOT(ISERROR(SEARCH("차재성",H1293)))</formula>
    </cfRule>
  </conditionalFormatting>
  <conditionalFormatting sqref="J289">
    <cfRule type="containsText" dxfId="816" priority="249" operator="containsText" text="허하나로">
      <formula>NOT(ISERROR(SEARCH("허하나로",H1292)))</formula>
    </cfRule>
    <cfRule type="containsText" dxfId="815" priority="250" operator="containsText" text="한별">
      <formula>NOT(ISERROR(SEARCH("한별",H1292)))</formula>
    </cfRule>
    <cfRule type="containsText" dxfId="814" priority="251" operator="containsText" text="정홍조">
      <formula>NOT(ISERROR(SEARCH("정홍조",H1292)))</formula>
    </cfRule>
    <cfRule type="containsText" dxfId="813" priority="252" operator="containsText" text="김지윤">
      <formula>NOT(ISERROR(SEARCH("김지윤",H1292)))</formula>
    </cfRule>
    <cfRule type="containsText" dxfId="812" priority="253" operator="containsText" text="전준영">
      <formula>NOT(ISERROR(SEARCH("전준영",H1292)))</formula>
    </cfRule>
    <cfRule type="containsText" dxfId="811" priority="254" operator="containsText" text="차재성">
      <formula>NOT(ISERROR(SEARCH("차재성",H1292)))</formula>
    </cfRule>
  </conditionalFormatting>
  <conditionalFormatting sqref="J281">
    <cfRule type="containsText" dxfId="810" priority="243" operator="containsText" text="허하나로">
      <formula>NOT(ISERROR(SEARCH("허하나로",H1291)))</formula>
    </cfRule>
    <cfRule type="containsText" dxfId="809" priority="244" operator="containsText" text="한별">
      <formula>NOT(ISERROR(SEARCH("한별",H1291)))</formula>
    </cfRule>
    <cfRule type="containsText" dxfId="808" priority="245" operator="containsText" text="정홍조">
      <formula>NOT(ISERROR(SEARCH("정홍조",H1291)))</formula>
    </cfRule>
    <cfRule type="containsText" dxfId="807" priority="246" operator="containsText" text="김지윤">
      <formula>NOT(ISERROR(SEARCH("김지윤",H1291)))</formula>
    </cfRule>
    <cfRule type="containsText" dxfId="806" priority="247" operator="containsText" text="전준영">
      <formula>NOT(ISERROR(SEARCH("전준영",H1291)))</formula>
    </cfRule>
    <cfRule type="containsText" dxfId="805" priority="248" operator="containsText" text="차재성">
      <formula>NOT(ISERROR(SEARCH("차재성",H1291)))</formula>
    </cfRule>
  </conditionalFormatting>
  <conditionalFormatting sqref="J280">
    <cfRule type="containsText" dxfId="804" priority="237" operator="containsText" text="허하나로">
      <formula>NOT(ISERROR(SEARCH("허하나로",H1290)))</formula>
    </cfRule>
    <cfRule type="containsText" dxfId="803" priority="238" operator="containsText" text="한별">
      <formula>NOT(ISERROR(SEARCH("한별",H1290)))</formula>
    </cfRule>
    <cfRule type="containsText" dxfId="802" priority="239" operator="containsText" text="정홍조">
      <formula>NOT(ISERROR(SEARCH("정홍조",H1290)))</formula>
    </cfRule>
    <cfRule type="containsText" dxfId="801" priority="240" operator="containsText" text="김지윤">
      <formula>NOT(ISERROR(SEARCH("김지윤",H1290)))</formula>
    </cfRule>
    <cfRule type="containsText" dxfId="800" priority="241" operator="containsText" text="전준영">
      <formula>NOT(ISERROR(SEARCH("전준영",H1290)))</formula>
    </cfRule>
    <cfRule type="containsText" dxfId="799" priority="242" operator="containsText" text="차재성">
      <formula>NOT(ISERROR(SEARCH("차재성",H1290)))</formula>
    </cfRule>
  </conditionalFormatting>
  <conditionalFormatting sqref="J7">
    <cfRule type="containsText" dxfId="798" priority="231" operator="containsText" text="허하나로">
      <formula>NOT(ISERROR(SEARCH("허하나로",H1214)))</formula>
    </cfRule>
    <cfRule type="containsText" dxfId="797" priority="232" operator="containsText" text="한별">
      <formula>NOT(ISERROR(SEARCH("한별",H1214)))</formula>
    </cfRule>
    <cfRule type="containsText" dxfId="796" priority="233" operator="containsText" text="정홍조">
      <formula>NOT(ISERROR(SEARCH("정홍조",H1214)))</formula>
    </cfRule>
    <cfRule type="containsText" dxfId="795" priority="234" operator="containsText" text="김지윤">
      <formula>NOT(ISERROR(SEARCH("김지윤",H1214)))</formula>
    </cfRule>
    <cfRule type="containsText" dxfId="794" priority="235" operator="containsText" text="전준영">
      <formula>NOT(ISERROR(SEARCH("전준영",H1214)))</formula>
    </cfRule>
    <cfRule type="containsText" dxfId="793" priority="236" operator="containsText" text="차재성">
      <formula>NOT(ISERROR(SEARCH("차재성",H1214)))</formula>
    </cfRule>
  </conditionalFormatting>
  <conditionalFormatting sqref="J130:J132 J120:J122 J76:J77 J124:J127">
    <cfRule type="containsText" dxfId="792" priority="225" operator="containsText" text="허하나로">
      <formula>NOT(ISERROR(SEARCH("허하나로",H1482)))</formula>
    </cfRule>
    <cfRule type="containsText" dxfId="791" priority="226" operator="containsText" text="한별">
      <formula>NOT(ISERROR(SEARCH("한별",H1482)))</formula>
    </cfRule>
    <cfRule type="containsText" dxfId="790" priority="227" operator="containsText" text="정홍조">
      <formula>NOT(ISERROR(SEARCH("정홍조",H1482)))</formula>
    </cfRule>
    <cfRule type="containsText" dxfId="789" priority="228" operator="containsText" text="김지윤">
      <formula>NOT(ISERROR(SEARCH("김지윤",H1482)))</formula>
    </cfRule>
    <cfRule type="containsText" dxfId="788" priority="229" operator="containsText" text="전준영">
      <formula>NOT(ISERROR(SEARCH("전준영",H1482)))</formula>
    </cfRule>
    <cfRule type="containsText" dxfId="787" priority="230" operator="containsText" text="차재성">
      <formula>NOT(ISERROR(SEARCH("차재성",H1482)))</formula>
    </cfRule>
  </conditionalFormatting>
  <conditionalFormatting sqref="J101:J103">
    <cfRule type="containsText" dxfId="786" priority="309" operator="containsText" text="허하나로">
      <formula>NOT(ISERROR(SEARCH("허하나로",H1510)))</formula>
    </cfRule>
    <cfRule type="containsText" dxfId="785" priority="310" operator="containsText" text="한별">
      <formula>NOT(ISERROR(SEARCH("한별",H1510)))</formula>
    </cfRule>
    <cfRule type="containsText" dxfId="784" priority="311" operator="containsText" text="정홍조">
      <formula>NOT(ISERROR(SEARCH("정홍조",H1510)))</formula>
    </cfRule>
    <cfRule type="containsText" dxfId="783" priority="312" operator="containsText" text="김지윤">
      <formula>NOT(ISERROR(SEARCH("김지윤",H1510)))</formula>
    </cfRule>
    <cfRule type="containsText" dxfId="782" priority="313" operator="containsText" text="전준영">
      <formula>NOT(ISERROR(SEARCH("전준영",H1510)))</formula>
    </cfRule>
    <cfRule type="containsText" dxfId="781" priority="314" operator="containsText" text="차재성">
      <formula>NOT(ISERROR(SEARCH("차재성",H1510)))</formula>
    </cfRule>
  </conditionalFormatting>
  <conditionalFormatting sqref="J104:J107">
    <cfRule type="containsText" dxfId="780" priority="213" operator="containsText" text="허하나로">
      <formula>NOT(ISERROR(SEARCH("허하나로",H1444)))</formula>
    </cfRule>
    <cfRule type="containsText" dxfId="779" priority="214" operator="containsText" text="한별">
      <formula>NOT(ISERROR(SEARCH("한별",H1444)))</formula>
    </cfRule>
    <cfRule type="containsText" dxfId="778" priority="215" operator="containsText" text="정홍조">
      <formula>NOT(ISERROR(SEARCH("정홍조",H1444)))</formula>
    </cfRule>
    <cfRule type="containsText" dxfId="777" priority="216" operator="containsText" text="김지윤">
      <formula>NOT(ISERROR(SEARCH("김지윤",H1444)))</formula>
    </cfRule>
    <cfRule type="containsText" dxfId="776" priority="217" operator="containsText" text="전준영">
      <formula>NOT(ISERROR(SEARCH("전준영",H1444)))</formula>
    </cfRule>
    <cfRule type="containsText" dxfId="775" priority="218" operator="containsText" text="차재성">
      <formula>NOT(ISERROR(SEARCH("차재성",H1444)))</formula>
    </cfRule>
  </conditionalFormatting>
  <conditionalFormatting sqref="J133:J135">
    <cfRule type="containsText" dxfId="774" priority="321" operator="containsText" text="허하나로">
      <formula>NOT(ISERROR(SEARCH("허하나로",H1543)))</formula>
    </cfRule>
    <cfRule type="containsText" dxfId="773" priority="322" operator="containsText" text="한별">
      <formula>NOT(ISERROR(SEARCH("한별",H1543)))</formula>
    </cfRule>
    <cfRule type="containsText" dxfId="772" priority="323" operator="containsText" text="정홍조">
      <formula>NOT(ISERROR(SEARCH("정홍조",H1543)))</formula>
    </cfRule>
    <cfRule type="containsText" dxfId="771" priority="324" operator="containsText" text="김지윤">
      <formula>NOT(ISERROR(SEARCH("김지윤",H1543)))</formula>
    </cfRule>
    <cfRule type="containsText" dxfId="770" priority="325" operator="containsText" text="전준영">
      <formula>NOT(ISERROR(SEARCH("전준영",H1543)))</formula>
    </cfRule>
    <cfRule type="containsText" dxfId="769" priority="326" operator="containsText" text="차재성">
      <formula>NOT(ISERROR(SEARCH("차재성",H1543)))</formula>
    </cfRule>
  </conditionalFormatting>
  <conditionalFormatting sqref="J136">
    <cfRule type="containsText" dxfId="768" priority="327" operator="containsText" text="허하나로">
      <formula>NOT(ISERROR(SEARCH("허하나로",H1545)))</formula>
    </cfRule>
    <cfRule type="containsText" dxfId="767" priority="328" operator="containsText" text="한별">
      <formula>NOT(ISERROR(SEARCH("한별",H1545)))</formula>
    </cfRule>
    <cfRule type="containsText" dxfId="766" priority="329" operator="containsText" text="정홍조">
      <formula>NOT(ISERROR(SEARCH("정홍조",H1545)))</formula>
    </cfRule>
    <cfRule type="containsText" dxfId="765" priority="330" operator="containsText" text="김지윤">
      <formula>NOT(ISERROR(SEARCH("김지윤",H1545)))</formula>
    </cfRule>
    <cfRule type="containsText" dxfId="764" priority="331" operator="containsText" text="전준영">
      <formula>NOT(ISERROR(SEARCH("전준영",H1545)))</formula>
    </cfRule>
    <cfRule type="containsText" dxfId="763" priority="332" operator="containsText" text="차재성">
      <formula>NOT(ISERROR(SEARCH("차재성",H1545)))</formula>
    </cfRule>
  </conditionalFormatting>
  <conditionalFormatting sqref="J112:J113">
    <cfRule type="containsText" dxfId="762" priority="207" operator="containsText" text="허하나로">
      <formula>NOT(ISERROR(SEARCH("허하나로",H1518)))</formula>
    </cfRule>
    <cfRule type="containsText" dxfId="761" priority="208" operator="containsText" text="한별">
      <formula>NOT(ISERROR(SEARCH("한별",H1518)))</formula>
    </cfRule>
    <cfRule type="containsText" dxfId="760" priority="209" operator="containsText" text="정홍조">
      <formula>NOT(ISERROR(SEARCH("정홍조",H1518)))</formula>
    </cfRule>
    <cfRule type="containsText" dxfId="759" priority="210" operator="containsText" text="김지윤">
      <formula>NOT(ISERROR(SEARCH("김지윤",H1518)))</formula>
    </cfRule>
    <cfRule type="containsText" dxfId="758" priority="211" operator="containsText" text="전준영">
      <formula>NOT(ISERROR(SEARCH("전준영",H1518)))</formula>
    </cfRule>
    <cfRule type="containsText" dxfId="757" priority="212" operator="containsText" text="차재성">
      <formula>NOT(ISERROR(SEARCH("차재성",H1518)))</formula>
    </cfRule>
  </conditionalFormatting>
  <conditionalFormatting sqref="J284">
    <cfRule type="containsText" dxfId="756" priority="201" operator="containsText" text="허하나로">
      <formula>NOT(ISERROR(SEARCH("허하나로",H1289)))</formula>
    </cfRule>
    <cfRule type="containsText" dxfId="755" priority="202" operator="containsText" text="한별">
      <formula>NOT(ISERROR(SEARCH("한별",H1289)))</formula>
    </cfRule>
    <cfRule type="containsText" dxfId="754" priority="203" operator="containsText" text="정홍조">
      <formula>NOT(ISERROR(SEARCH("정홍조",H1289)))</formula>
    </cfRule>
    <cfRule type="containsText" dxfId="753" priority="204" operator="containsText" text="김지윤">
      <formula>NOT(ISERROR(SEARCH("김지윤",H1289)))</formula>
    </cfRule>
    <cfRule type="containsText" dxfId="752" priority="205" operator="containsText" text="전준영">
      <formula>NOT(ISERROR(SEARCH("전준영",H1289)))</formula>
    </cfRule>
    <cfRule type="containsText" dxfId="751" priority="206" operator="containsText" text="차재성">
      <formula>NOT(ISERROR(SEARCH("차재성",H1289)))</formula>
    </cfRule>
  </conditionalFormatting>
  <conditionalFormatting sqref="J283">
    <cfRule type="containsText" dxfId="750" priority="195" operator="containsText" text="허하나로">
      <formula>NOT(ISERROR(SEARCH("허하나로",H1288)))</formula>
    </cfRule>
    <cfRule type="containsText" dxfId="749" priority="196" operator="containsText" text="한별">
      <formula>NOT(ISERROR(SEARCH("한별",H1288)))</formula>
    </cfRule>
    <cfRule type="containsText" dxfId="748" priority="197" operator="containsText" text="정홍조">
      <formula>NOT(ISERROR(SEARCH("정홍조",H1288)))</formula>
    </cfRule>
    <cfRule type="containsText" dxfId="747" priority="198" operator="containsText" text="김지윤">
      <formula>NOT(ISERROR(SEARCH("김지윤",H1288)))</formula>
    </cfRule>
    <cfRule type="containsText" dxfId="746" priority="199" operator="containsText" text="전준영">
      <formula>NOT(ISERROR(SEARCH("전준영",H1288)))</formula>
    </cfRule>
    <cfRule type="containsText" dxfId="745" priority="200" operator="containsText" text="차재성">
      <formula>NOT(ISERROR(SEARCH("차재성",H1288)))</formula>
    </cfRule>
  </conditionalFormatting>
  <conditionalFormatting sqref="J282">
    <cfRule type="containsText" dxfId="744" priority="189" operator="containsText" text="허하나로">
      <formula>NOT(ISERROR(SEARCH("허하나로",H1287)))</formula>
    </cfRule>
    <cfRule type="containsText" dxfId="743" priority="190" operator="containsText" text="한별">
      <formula>NOT(ISERROR(SEARCH("한별",H1287)))</formula>
    </cfRule>
    <cfRule type="containsText" dxfId="742" priority="191" operator="containsText" text="정홍조">
      <formula>NOT(ISERROR(SEARCH("정홍조",H1287)))</formula>
    </cfRule>
    <cfRule type="containsText" dxfId="741" priority="192" operator="containsText" text="김지윤">
      <formula>NOT(ISERROR(SEARCH("김지윤",H1287)))</formula>
    </cfRule>
    <cfRule type="containsText" dxfId="740" priority="193" operator="containsText" text="전준영">
      <formula>NOT(ISERROR(SEARCH("전준영",H1287)))</formula>
    </cfRule>
    <cfRule type="containsText" dxfId="739" priority="194" operator="containsText" text="차재성">
      <formula>NOT(ISERROR(SEARCH("차재성",H1287)))</formula>
    </cfRule>
  </conditionalFormatting>
  <conditionalFormatting sqref="J110">
    <cfRule type="containsText" dxfId="738" priority="183" operator="containsText" text="허하나로">
      <formula>NOT(ISERROR(SEARCH("허하나로",H1320)))</formula>
    </cfRule>
    <cfRule type="containsText" dxfId="737" priority="184" operator="containsText" text="한별">
      <formula>NOT(ISERROR(SEARCH("한별",H1320)))</formula>
    </cfRule>
    <cfRule type="containsText" dxfId="736" priority="185" operator="containsText" text="정홍조">
      <formula>NOT(ISERROR(SEARCH("정홍조",H1320)))</formula>
    </cfRule>
    <cfRule type="containsText" dxfId="735" priority="186" operator="containsText" text="김지윤">
      <formula>NOT(ISERROR(SEARCH("김지윤",H1320)))</formula>
    </cfRule>
    <cfRule type="containsText" dxfId="734" priority="187" operator="containsText" text="전준영">
      <formula>NOT(ISERROR(SEARCH("전준영",H1320)))</formula>
    </cfRule>
    <cfRule type="containsText" dxfId="733" priority="188" operator="containsText" text="차재성">
      <formula>NOT(ISERROR(SEARCH("차재성",H1320)))</formula>
    </cfRule>
  </conditionalFormatting>
  <conditionalFormatting sqref="J137:J140">
    <cfRule type="containsText" dxfId="732" priority="177" operator="containsText" text="허하나로">
      <formula>NOT(ISERROR(SEARCH("허하나로",H1546)))</formula>
    </cfRule>
    <cfRule type="containsText" dxfId="731" priority="178" operator="containsText" text="한별">
      <formula>NOT(ISERROR(SEARCH("한별",H1546)))</formula>
    </cfRule>
    <cfRule type="containsText" dxfId="730" priority="179" operator="containsText" text="정홍조">
      <formula>NOT(ISERROR(SEARCH("정홍조",H1546)))</formula>
    </cfRule>
    <cfRule type="containsText" dxfId="729" priority="180" operator="containsText" text="김지윤">
      <formula>NOT(ISERROR(SEARCH("김지윤",H1546)))</formula>
    </cfRule>
    <cfRule type="containsText" dxfId="728" priority="181" operator="containsText" text="전준영">
      <formula>NOT(ISERROR(SEARCH("전준영",H1546)))</formula>
    </cfRule>
    <cfRule type="containsText" dxfId="727" priority="182" operator="containsText" text="차재성">
      <formula>NOT(ISERROR(SEARCH("차재성",H1546)))</formula>
    </cfRule>
  </conditionalFormatting>
  <conditionalFormatting sqref="J142:J145">
    <cfRule type="containsText" dxfId="726" priority="171" operator="containsText" text="허하나로">
      <formula>NOT(ISERROR(SEARCH("허하나로",H1551)))</formula>
    </cfRule>
    <cfRule type="containsText" dxfId="725" priority="172" operator="containsText" text="한별">
      <formula>NOT(ISERROR(SEARCH("한별",H1551)))</formula>
    </cfRule>
    <cfRule type="containsText" dxfId="724" priority="173" operator="containsText" text="정홍조">
      <formula>NOT(ISERROR(SEARCH("정홍조",H1551)))</formula>
    </cfRule>
    <cfRule type="containsText" dxfId="723" priority="174" operator="containsText" text="김지윤">
      <formula>NOT(ISERROR(SEARCH("김지윤",H1551)))</formula>
    </cfRule>
    <cfRule type="containsText" dxfId="722" priority="175" operator="containsText" text="전준영">
      <formula>NOT(ISERROR(SEARCH("전준영",H1551)))</formula>
    </cfRule>
    <cfRule type="containsText" dxfId="721" priority="176" operator="containsText" text="차재성">
      <formula>NOT(ISERROR(SEARCH("차재성",H1551)))</formula>
    </cfRule>
  </conditionalFormatting>
  <conditionalFormatting sqref="J143:J145">
    <cfRule type="containsText" dxfId="720" priority="333" operator="containsText" text="허하나로">
      <formula>NOT(ISERROR(SEARCH("허하나로",H1539)))</formula>
    </cfRule>
    <cfRule type="containsText" dxfId="719" priority="334" operator="containsText" text="한별">
      <formula>NOT(ISERROR(SEARCH("한별",H1539)))</formula>
    </cfRule>
    <cfRule type="containsText" dxfId="718" priority="335" operator="containsText" text="정홍조">
      <formula>NOT(ISERROR(SEARCH("정홍조",H1539)))</formula>
    </cfRule>
    <cfRule type="containsText" dxfId="717" priority="336" operator="containsText" text="김지윤">
      <formula>NOT(ISERROR(SEARCH("김지윤",H1539)))</formula>
    </cfRule>
    <cfRule type="containsText" dxfId="716" priority="337" operator="containsText" text="전준영">
      <formula>NOT(ISERROR(SEARCH("전준영",H1539)))</formula>
    </cfRule>
    <cfRule type="containsText" dxfId="715" priority="338" operator="containsText" text="차재성">
      <formula>NOT(ISERROR(SEARCH("차재성",H1539)))</formula>
    </cfRule>
  </conditionalFormatting>
  <conditionalFormatting sqref="J141">
    <cfRule type="containsText" dxfId="714" priority="165" operator="containsText" text="허하나로">
      <formula>NOT(ISERROR(SEARCH("허하나로",H1550)))</formula>
    </cfRule>
    <cfRule type="containsText" dxfId="713" priority="166" operator="containsText" text="한별">
      <formula>NOT(ISERROR(SEARCH("한별",H1550)))</formula>
    </cfRule>
    <cfRule type="containsText" dxfId="712" priority="167" operator="containsText" text="정홍조">
      <formula>NOT(ISERROR(SEARCH("정홍조",H1550)))</formula>
    </cfRule>
    <cfRule type="containsText" dxfId="711" priority="168" operator="containsText" text="김지윤">
      <formula>NOT(ISERROR(SEARCH("김지윤",H1550)))</formula>
    </cfRule>
    <cfRule type="containsText" dxfId="710" priority="169" operator="containsText" text="전준영">
      <formula>NOT(ISERROR(SEARCH("전준영",H1550)))</formula>
    </cfRule>
    <cfRule type="containsText" dxfId="709" priority="170" operator="containsText" text="차재성">
      <formula>NOT(ISERROR(SEARCH("차재성",H1550)))</formula>
    </cfRule>
  </conditionalFormatting>
  <conditionalFormatting sqref="J111">
    <cfRule type="containsText" dxfId="708" priority="159" operator="containsText" text="허하나로">
      <formula>NOT(ISERROR(SEARCH("허하나로",H1517)))</formula>
    </cfRule>
    <cfRule type="containsText" dxfId="707" priority="160" operator="containsText" text="한별">
      <formula>NOT(ISERROR(SEARCH("한별",H1517)))</formula>
    </cfRule>
    <cfRule type="containsText" dxfId="706" priority="161" operator="containsText" text="정홍조">
      <formula>NOT(ISERROR(SEARCH("정홍조",H1517)))</formula>
    </cfRule>
    <cfRule type="containsText" dxfId="705" priority="162" operator="containsText" text="김지윤">
      <formula>NOT(ISERROR(SEARCH("김지윤",H1517)))</formula>
    </cfRule>
    <cfRule type="containsText" dxfId="704" priority="163" operator="containsText" text="전준영">
      <formula>NOT(ISERROR(SEARCH("전준영",H1517)))</formula>
    </cfRule>
    <cfRule type="containsText" dxfId="703" priority="164" operator="containsText" text="차재성">
      <formula>NOT(ISERROR(SEARCH("차재성",H1517)))</formula>
    </cfRule>
  </conditionalFormatting>
  <conditionalFormatting sqref="J2:J3">
    <cfRule type="containsText" dxfId="702" priority="153" operator="containsText" text="허하나로">
      <formula>NOT(ISERROR(SEARCH("허하나로",H1617)))</formula>
    </cfRule>
    <cfRule type="containsText" dxfId="701" priority="154" operator="containsText" text="한별">
      <formula>NOT(ISERROR(SEARCH("한별",H1617)))</formula>
    </cfRule>
    <cfRule type="containsText" dxfId="700" priority="155" operator="containsText" text="정홍조">
      <formula>NOT(ISERROR(SEARCH("정홍조",H1617)))</formula>
    </cfRule>
    <cfRule type="containsText" dxfId="699" priority="156" operator="containsText" text="김지윤">
      <formula>NOT(ISERROR(SEARCH("김지윤",H1617)))</formula>
    </cfRule>
    <cfRule type="containsText" dxfId="698" priority="157" operator="containsText" text="전준영">
      <formula>NOT(ISERROR(SEARCH("전준영",H1617)))</formula>
    </cfRule>
    <cfRule type="containsText" dxfId="697" priority="158" operator="containsText" text="차재성">
      <formula>NOT(ISERROR(SEARCH("차재성",H1617)))</formula>
    </cfRule>
  </conditionalFormatting>
  <conditionalFormatting sqref="J56 J69:J70">
    <cfRule type="containsText" dxfId="696" priority="339" operator="containsText" text="허하나로">
      <formula>NOT(ISERROR(SEARCH("허하나로",H1458)))</formula>
    </cfRule>
    <cfRule type="containsText" dxfId="695" priority="340" operator="containsText" text="한별">
      <formula>NOT(ISERROR(SEARCH("한별",H1458)))</formula>
    </cfRule>
    <cfRule type="containsText" dxfId="694" priority="341" operator="containsText" text="정홍조">
      <formula>NOT(ISERROR(SEARCH("정홍조",H1458)))</formula>
    </cfRule>
    <cfRule type="containsText" dxfId="693" priority="342" operator="containsText" text="김지윤">
      <formula>NOT(ISERROR(SEARCH("김지윤",H1458)))</formula>
    </cfRule>
    <cfRule type="containsText" dxfId="692" priority="343" operator="containsText" text="전준영">
      <formula>NOT(ISERROR(SEARCH("전준영",H1458)))</formula>
    </cfRule>
    <cfRule type="containsText" dxfId="691" priority="344" operator="containsText" text="차재성">
      <formula>NOT(ISERROR(SEARCH("차재성",H1458)))</formula>
    </cfRule>
  </conditionalFormatting>
  <conditionalFormatting sqref="J86:J88 J37:J42">
    <cfRule type="containsText" dxfId="690" priority="345" operator="containsText" text="허하나로">
      <formula>NOT(ISERROR(SEARCH("허하나로",H1441)))</formula>
    </cfRule>
    <cfRule type="containsText" dxfId="689" priority="346" operator="containsText" text="한별">
      <formula>NOT(ISERROR(SEARCH("한별",H1441)))</formula>
    </cfRule>
    <cfRule type="containsText" dxfId="688" priority="347" operator="containsText" text="정홍조">
      <formula>NOT(ISERROR(SEARCH("정홍조",H1441)))</formula>
    </cfRule>
    <cfRule type="containsText" dxfId="687" priority="348" operator="containsText" text="김지윤">
      <formula>NOT(ISERROR(SEARCH("김지윤",H1441)))</formula>
    </cfRule>
    <cfRule type="containsText" dxfId="686" priority="349" operator="containsText" text="전준영">
      <formula>NOT(ISERROR(SEARCH("전준영",H1441)))</formula>
    </cfRule>
    <cfRule type="containsText" dxfId="685" priority="350" operator="containsText" text="차재성">
      <formula>NOT(ISERROR(SEARCH("차재성",H1441)))</formula>
    </cfRule>
  </conditionalFormatting>
  <conditionalFormatting sqref="J129">
    <cfRule type="containsText" dxfId="684" priority="357" operator="containsText" text="허하나로">
      <formula>NOT(ISERROR(SEARCH("허하나로",H1533)))</formula>
    </cfRule>
    <cfRule type="containsText" dxfId="683" priority="358" operator="containsText" text="한별">
      <formula>NOT(ISERROR(SEARCH("한별",H1533)))</formula>
    </cfRule>
    <cfRule type="containsText" dxfId="682" priority="359" operator="containsText" text="정홍조">
      <formula>NOT(ISERROR(SEARCH("정홍조",H1533)))</formula>
    </cfRule>
    <cfRule type="containsText" dxfId="681" priority="360" operator="containsText" text="김지윤">
      <formula>NOT(ISERROR(SEARCH("김지윤",H1533)))</formula>
    </cfRule>
    <cfRule type="containsText" dxfId="680" priority="361" operator="containsText" text="전준영">
      <formula>NOT(ISERROR(SEARCH("전준영",H1533)))</formula>
    </cfRule>
    <cfRule type="containsText" dxfId="679" priority="362" operator="containsText" text="차재성">
      <formula>NOT(ISERROR(SEARCH("차재성",H1533)))</formula>
    </cfRule>
  </conditionalFormatting>
  <conditionalFormatting sqref="J53:J54">
    <cfRule type="containsText" dxfId="678" priority="363" operator="containsText" text="허하나로">
      <formula>NOT(ISERROR(SEARCH("허하나로",H1457)))</formula>
    </cfRule>
    <cfRule type="containsText" dxfId="677" priority="364" operator="containsText" text="한별">
      <formula>NOT(ISERROR(SEARCH("한별",H1457)))</formula>
    </cfRule>
    <cfRule type="containsText" dxfId="676" priority="365" operator="containsText" text="정홍조">
      <formula>NOT(ISERROR(SEARCH("정홍조",H1457)))</formula>
    </cfRule>
    <cfRule type="containsText" dxfId="675" priority="366" operator="containsText" text="김지윤">
      <formula>NOT(ISERROR(SEARCH("김지윤",H1457)))</formula>
    </cfRule>
    <cfRule type="containsText" dxfId="674" priority="367" operator="containsText" text="전준영">
      <formula>NOT(ISERROR(SEARCH("전준영",H1457)))</formula>
    </cfRule>
    <cfRule type="containsText" dxfId="673" priority="368" operator="containsText" text="차재성">
      <formula>NOT(ISERROR(SEARCH("차재성",H1457)))</formula>
    </cfRule>
  </conditionalFormatting>
  <conditionalFormatting sqref="J74">
    <cfRule type="containsText" dxfId="672" priority="369" operator="containsText" text="허하나로">
      <formula>NOT(ISERROR(SEARCH("허하나로",H1478)))</formula>
    </cfRule>
    <cfRule type="containsText" dxfId="671" priority="370" operator="containsText" text="한별">
      <formula>NOT(ISERROR(SEARCH("한별",H1478)))</formula>
    </cfRule>
    <cfRule type="containsText" dxfId="670" priority="371" operator="containsText" text="정홍조">
      <formula>NOT(ISERROR(SEARCH("정홍조",H1478)))</formula>
    </cfRule>
    <cfRule type="containsText" dxfId="669" priority="372" operator="containsText" text="김지윤">
      <formula>NOT(ISERROR(SEARCH("김지윤",H1478)))</formula>
    </cfRule>
    <cfRule type="containsText" dxfId="668" priority="373" operator="containsText" text="전준영">
      <formula>NOT(ISERROR(SEARCH("전준영",H1478)))</formula>
    </cfRule>
    <cfRule type="containsText" dxfId="667" priority="374" operator="containsText" text="차재성">
      <formula>NOT(ISERROR(SEARCH("차재성",H1478)))</formula>
    </cfRule>
  </conditionalFormatting>
  <conditionalFormatting sqref="J75 J128 J43:J52 J78:J85 J100 J71:J73 J24:J36">
    <cfRule type="containsText" dxfId="666" priority="375" operator="containsText" text="허하나로">
      <formula>NOT(ISERROR(SEARCH("허하나로",H1429)))</formula>
    </cfRule>
    <cfRule type="containsText" dxfId="665" priority="376" operator="containsText" text="한별">
      <formula>NOT(ISERROR(SEARCH("한별",H1429)))</formula>
    </cfRule>
    <cfRule type="containsText" dxfId="664" priority="377" operator="containsText" text="정홍조">
      <formula>NOT(ISERROR(SEARCH("정홍조",H1429)))</formula>
    </cfRule>
    <cfRule type="containsText" dxfId="663" priority="378" operator="containsText" text="김지윤">
      <formula>NOT(ISERROR(SEARCH("김지윤",H1429)))</formula>
    </cfRule>
    <cfRule type="containsText" dxfId="662" priority="379" operator="containsText" text="전준영">
      <formula>NOT(ISERROR(SEARCH("전준영",H1429)))</formula>
    </cfRule>
    <cfRule type="containsText" dxfId="661" priority="380" operator="containsText" text="차재성">
      <formula>NOT(ISERROR(SEARCH("차재성",H1429)))</formula>
    </cfRule>
  </conditionalFormatting>
  <conditionalFormatting sqref="J89:J94">
    <cfRule type="containsText" dxfId="660" priority="381" operator="containsText" text="허하나로">
      <formula>NOT(ISERROR(SEARCH("허하나로",H1495)))</formula>
    </cfRule>
    <cfRule type="containsText" dxfId="659" priority="382" operator="containsText" text="한별">
      <formula>NOT(ISERROR(SEARCH("한별",H1495)))</formula>
    </cfRule>
    <cfRule type="containsText" dxfId="658" priority="383" operator="containsText" text="정홍조">
      <formula>NOT(ISERROR(SEARCH("정홍조",H1495)))</formula>
    </cfRule>
    <cfRule type="containsText" dxfId="657" priority="384" operator="containsText" text="김지윤">
      <formula>NOT(ISERROR(SEARCH("김지윤",H1495)))</formula>
    </cfRule>
    <cfRule type="containsText" dxfId="656" priority="385" operator="containsText" text="전준영">
      <formula>NOT(ISERROR(SEARCH("전준영",H1495)))</formula>
    </cfRule>
    <cfRule type="containsText" dxfId="655" priority="386" operator="containsText" text="차재성">
      <formula>NOT(ISERROR(SEARCH("차재성",H1495)))</formula>
    </cfRule>
  </conditionalFormatting>
  <conditionalFormatting sqref="J67:J68 J58:J59">
    <cfRule type="containsText" dxfId="654" priority="387" operator="containsText" text="허하나로">
      <formula>NOT(ISERROR(SEARCH("허하나로",H1457)))</formula>
    </cfRule>
    <cfRule type="containsText" dxfId="653" priority="388" operator="containsText" text="한별">
      <formula>NOT(ISERROR(SEARCH("한별",H1457)))</formula>
    </cfRule>
    <cfRule type="containsText" dxfId="652" priority="389" operator="containsText" text="정홍조">
      <formula>NOT(ISERROR(SEARCH("정홍조",H1457)))</formula>
    </cfRule>
    <cfRule type="containsText" dxfId="651" priority="390" operator="containsText" text="김지윤">
      <formula>NOT(ISERROR(SEARCH("김지윤",H1457)))</formula>
    </cfRule>
    <cfRule type="containsText" dxfId="650" priority="391" operator="containsText" text="전준영">
      <formula>NOT(ISERROR(SEARCH("전준영",H1457)))</formula>
    </cfRule>
    <cfRule type="containsText" dxfId="649" priority="392" operator="containsText" text="차재성">
      <formula>NOT(ISERROR(SEARCH("차재성",H1457)))</formula>
    </cfRule>
  </conditionalFormatting>
  <conditionalFormatting sqref="J60:J66">
    <cfRule type="containsText" dxfId="648" priority="393" operator="containsText" text="허하나로">
      <formula>NOT(ISERROR(SEARCH("허하나로",H1460)))</formula>
    </cfRule>
    <cfRule type="containsText" dxfId="647" priority="394" operator="containsText" text="한별">
      <formula>NOT(ISERROR(SEARCH("한별",H1460)))</formula>
    </cfRule>
    <cfRule type="containsText" dxfId="646" priority="395" operator="containsText" text="정홍조">
      <formula>NOT(ISERROR(SEARCH("정홍조",H1460)))</formula>
    </cfRule>
    <cfRule type="containsText" dxfId="645" priority="396" operator="containsText" text="김지윤">
      <formula>NOT(ISERROR(SEARCH("김지윤",H1460)))</formula>
    </cfRule>
    <cfRule type="containsText" dxfId="644" priority="397" operator="containsText" text="전준영">
      <formula>NOT(ISERROR(SEARCH("전준영",H1460)))</formula>
    </cfRule>
    <cfRule type="containsText" dxfId="643" priority="398" operator="containsText" text="차재성">
      <formula>NOT(ISERROR(SEARCH("차재성",H1460)))</formula>
    </cfRule>
  </conditionalFormatting>
  <conditionalFormatting sqref="J55 J9:J10">
    <cfRule type="containsText" dxfId="642" priority="399" operator="containsText" text="허하나로">
      <formula>NOT(ISERROR(SEARCH("허하나로",H1412)))</formula>
    </cfRule>
    <cfRule type="containsText" dxfId="641" priority="400" operator="containsText" text="한별">
      <formula>NOT(ISERROR(SEARCH("한별",H1412)))</formula>
    </cfRule>
    <cfRule type="containsText" dxfId="640" priority="401" operator="containsText" text="정홍조">
      <formula>NOT(ISERROR(SEARCH("정홍조",H1412)))</formula>
    </cfRule>
    <cfRule type="containsText" dxfId="639" priority="402" operator="containsText" text="김지윤">
      <formula>NOT(ISERROR(SEARCH("김지윤",H1412)))</formula>
    </cfRule>
    <cfRule type="containsText" dxfId="638" priority="403" operator="containsText" text="전준영">
      <formula>NOT(ISERROR(SEARCH("전준영",H1412)))</formula>
    </cfRule>
    <cfRule type="containsText" dxfId="637" priority="404" operator="containsText" text="차재성">
      <formula>NOT(ISERROR(SEARCH("차재성",H1412)))</formula>
    </cfRule>
  </conditionalFormatting>
  <conditionalFormatting sqref="J57">
    <cfRule type="containsText" dxfId="636" priority="405" operator="containsText" text="허하나로">
      <formula>NOT(ISERROR(SEARCH("허하나로",H1458)))</formula>
    </cfRule>
    <cfRule type="containsText" dxfId="635" priority="406" operator="containsText" text="한별">
      <formula>NOT(ISERROR(SEARCH("한별",H1458)))</formula>
    </cfRule>
    <cfRule type="containsText" dxfId="634" priority="407" operator="containsText" text="정홍조">
      <formula>NOT(ISERROR(SEARCH("정홍조",H1458)))</formula>
    </cfRule>
    <cfRule type="containsText" dxfId="633" priority="408" operator="containsText" text="김지윤">
      <formula>NOT(ISERROR(SEARCH("김지윤",H1458)))</formula>
    </cfRule>
    <cfRule type="containsText" dxfId="632" priority="409" operator="containsText" text="전준영">
      <formula>NOT(ISERROR(SEARCH("전준영",H1458)))</formula>
    </cfRule>
    <cfRule type="containsText" dxfId="631" priority="410" operator="containsText" text="차재성">
      <formula>NOT(ISERROR(SEARCH("차재성",H1458)))</formula>
    </cfRule>
  </conditionalFormatting>
  <conditionalFormatting sqref="J106:J107">
    <cfRule type="containsText" dxfId="630" priority="411" operator="containsText" text="허하나로">
      <formula>NOT(ISERROR(SEARCH("허하나로",H1501)))</formula>
    </cfRule>
    <cfRule type="containsText" dxfId="629" priority="412" operator="containsText" text="한별">
      <formula>NOT(ISERROR(SEARCH("한별",H1501)))</formula>
    </cfRule>
    <cfRule type="containsText" dxfId="628" priority="413" operator="containsText" text="정홍조">
      <formula>NOT(ISERROR(SEARCH("정홍조",H1501)))</formula>
    </cfRule>
    <cfRule type="containsText" dxfId="627" priority="414" operator="containsText" text="김지윤">
      <formula>NOT(ISERROR(SEARCH("김지윤",H1501)))</formula>
    </cfRule>
    <cfRule type="containsText" dxfId="626" priority="415" operator="containsText" text="전준영">
      <formula>NOT(ISERROR(SEARCH("전준영",H1501)))</formula>
    </cfRule>
    <cfRule type="containsText" dxfId="625" priority="416" operator="containsText" text="차재성">
      <formula>NOT(ISERROR(SEARCH("차재성",H1501)))</formula>
    </cfRule>
  </conditionalFormatting>
  <conditionalFormatting sqref="J98:J99">
    <cfRule type="containsText" dxfId="624" priority="417" operator="containsText" text="허하나로">
      <formula>NOT(ISERROR(SEARCH("허하나로",H1508)))</formula>
    </cfRule>
    <cfRule type="containsText" dxfId="623" priority="418" operator="containsText" text="한별">
      <formula>NOT(ISERROR(SEARCH("한별",H1508)))</formula>
    </cfRule>
    <cfRule type="containsText" dxfId="622" priority="419" operator="containsText" text="정홍조">
      <formula>NOT(ISERROR(SEARCH("정홍조",H1508)))</formula>
    </cfRule>
    <cfRule type="containsText" dxfId="621" priority="420" operator="containsText" text="김지윤">
      <formula>NOT(ISERROR(SEARCH("김지윤",H1508)))</formula>
    </cfRule>
    <cfRule type="containsText" dxfId="620" priority="421" operator="containsText" text="전준영">
      <formula>NOT(ISERROR(SEARCH("전준영",H1508)))</formula>
    </cfRule>
    <cfRule type="containsText" dxfId="619" priority="422" operator="containsText" text="차재성">
      <formula>NOT(ISERROR(SEARCH("차재성",H1508)))</formula>
    </cfRule>
  </conditionalFormatting>
  <conditionalFormatting sqref="J95:J97">
    <cfRule type="containsText" dxfId="618" priority="429" operator="containsText" text="허하나로">
      <formula>NOT(ISERROR(SEARCH("허하나로",H1506)))</formula>
    </cfRule>
    <cfRule type="containsText" dxfId="617" priority="430" operator="containsText" text="한별">
      <formula>NOT(ISERROR(SEARCH("한별",H1506)))</formula>
    </cfRule>
    <cfRule type="containsText" dxfId="616" priority="431" operator="containsText" text="정홍조">
      <formula>NOT(ISERROR(SEARCH("정홍조",H1506)))</formula>
    </cfRule>
    <cfRule type="containsText" dxfId="615" priority="432" operator="containsText" text="김지윤">
      <formula>NOT(ISERROR(SEARCH("김지윤",H1506)))</formula>
    </cfRule>
    <cfRule type="containsText" dxfId="614" priority="433" operator="containsText" text="전준영">
      <formula>NOT(ISERROR(SEARCH("전준영",H1506)))</formula>
    </cfRule>
    <cfRule type="containsText" dxfId="613" priority="434" operator="containsText" text="차재성">
      <formula>NOT(ISERROR(SEARCH("차재성",H1506)))</formula>
    </cfRule>
  </conditionalFormatting>
  <conditionalFormatting sqref="J22:J23">
    <cfRule type="containsText" dxfId="612" priority="92" operator="containsText" text="허하나로">
      <formula>NOT(ISERROR(SEARCH("허하나로",H1340)))</formula>
    </cfRule>
    <cfRule type="containsText" dxfId="611" priority="93" operator="containsText" text="한별">
      <formula>NOT(ISERROR(SEARCH("한별",H1340)))</formula>
    </cfRule>
    <cfRule type="containsText" dxfId="610" priority="94" operator="containsText" text="정홍조">
      <formula>NOT(ISERROR(SEARCH("정홍조",H1340)))</formula>
    </cfRule>
    <cfRule type="containsText" dxfId="609" priority="95" operator="containsText" text="김지윤">
      <formula>NOT(ISERROR(SEARCH("김지윤",H1340)))</formula>
    </cfRule>
    <cfRule type="containsText" dxfId="608" priority="96" operator="containsText" text="전준영">
      <formula>NOT(ISERROR(SEARCH("전준영",H1340)))</formula>
    </cfRule>
    <cfRule type="containsText" dxfId="607" priority="97" operator="containsText" text="차재성">
      <formula>NOT(ISERROR(SEARCH("차재성",H1340)))</formula>
    </cfRule>
  </conditionalFormatting>
  <conditionalFormatting sqref="J11:J21">
    <cfRule type="containsText" dxfId="606" priority="98" operator="containsText" text="허하나로">
      <formula>NOT(ISERROR(SEARCH("허하나로",H1327)))</formula>
    </cfRule>
    <cfRule type="containsText" dxfId="605" priority="99" operator="containsText" text="한별">
      <formula>NOT(ISERROR(SEARCH("한별",H1327)))</formula>
    </cfRule>
    <cfRule type="containsText" dxfId="604" priority="100" operator="containsText" text="정홍조">
      <formula>NOT(ISERROR(SEARCH("정홍조",H1327)))</formula>
    </cfRule>
    <cfRule type="containsText" dxfId="603" priority="101" operator="containsText" text="김지윤">
      <formula>NOT(ISERROR(SEARCH("김지윤",H1327)))</formula>
    </cfRule>
    <cfRule type="containsText" dxfId="602" priority="102" operator="containsText" text="전준영">
      <formula>NOT(ISERROR(SEARCH("전준영",H1327)))</formula>
    </cfRule>
    <cfRule type="containsText" dxfId="601" priority="103" operator="containsText" text="차재성">
      <formula>NOT(ISERROR(SEARCH("차재성",H1327)))</formula>
    </cfRule>
  </conditionalFormatting>
  <conditionalFormatting sqref="J114:J119">
    <cfRule type="containsText" dxfId="600" priority="86" operator="containsText" text="허하나로">
      <formula>NOT(ISERROR(SEARCH("허하나로",H1433)))</formula>
    </cfRule>
    <cfRule type="containsText" dxfId="599" priority="87" operator="containsText" text="한별">
      <formula>NOT(ISERROR(SEARCH("한별",H1433)))</formula>
    </cfRule>
    <cfRule type="containsText" dxfId="598" priority="88" operator="containsText" text="정홍조">
      <formula>NOT(ISERROR(SEARCH("정홍조",H1433)))</formula>
    </cfRule>
    <cfRule type="containsText" dxfId="597" priority="89" operator="containsText" text="김지윤">
      <formula>NOT(ISERROR(SEARCH("김지윤",H1433)))</formula>
    </cfRule>
    <cfRule type="containsText" dxfId="596" priority="90" operator="containsText" text="전준영">
      <formula>NOT(ISERROR(SEARCH("전준영",H1433)))</formula>
    </cfRule>
    <cfRule type="containsText" dxfId="595" priority="91" operator="containsText" text="차재성">
      <formula>NOT(ISERROR(SEARCH("차재성",H1433)))</formula>
    </cfRule>
  </conditionalFormatting>
  <conditionalFormatting sqref="J210">
    <cfRule type="containsText" dxfId="594" priority="80" operator="containsText" text="허하나로">
      <formula>NOT(ISERROR(SEARCH("허하나로",H1274)))</formula>
    </cfRule>
    <cfRule type="containsText" dxfId="593" priority="81" operator="containsText" text="한별">
      <formula>NOT(ISERROR(SEARCH("한별",H1274)))</formula>
    </cfRule>
    <cfRule type="containsText" dxfId="592" priority="82" operator="containsText" text="정홍조">
      <formula>NOT(ISERROR(SEARCH("정홍조",H1274)))</formula>
    </cfRule>
    <cfRule type="containsText" dxfId="591" priority="83" operator="containsText" text="김지윤">
      <formula>NOT(ISERROR(SEARCH("김지윤",H1274)))</formula>
    </cfRule>
    <cfRule type="containsText" dxfId="590" priority="84" operator="containsText" text="전준영">
      <formula>NOT(ISERROR(SEARCH("전준영",H1274)))</formula>
    </cfRule>
    <cfRule type="containsText" dxfId="589" priority="85" operator="containsText" text="차재성">
      <formula>NOT(ISERROR(SEARCH("차재성",H1274)))</formula>
    </cfRule>
  </conditionalFormatting>
  <conditionalFormatting sqref="J212">
    <cfRule type="containsText" dxfId="588" priority="74" operator="containsText" text="허하나로">
      <formula>NOT(ISERROR(SEARCH("허하나로",H1472)))</formula>
    </cfRule>
    <cfRule type="containsText" dxfId="587" priority="75" operator="containsText" text="한별">
      <formula>NOT(ISERROR(SEARCH("한별",H1472)))</formula>
    </cfRule>
    <cfRule type="containsText" dxfId="586" priority="76" operator="containsText" text="정홍조">
      <formula>NOT(ISERROR(SEARCH("정홍조",H1472)))</formula>
    </cfRule>
    <cfRule type="containsText" dxfId="585" priority="77" operator="containsText" text="김지윤">
      <formula>NOT(ISERROR(SEARCH("김지윤",H1472)))</formula>
    </cfRule>
    <cfRule type="containsText" dxfId="584" priority="78" operator="containsText" text="전준영">
      <formula>NOT(ISERROR(SEARCH("전준영",H1472)))</formula>
    </cfRule>
    <cfRule type="containsText" dxfId="583" priority="79" operator="containsText" text="차재성">
      <formula>NOT(ISERROR(SEARCH("차재성",H1472)))</formula>
    </cfRule>
  </conditionalFormatting>
  <conditionalFormatting sqref="J225">
    <cfRule type="containsText" dxfId="582" priority="68" operator="containsText" text="허하나로">
      <formula>NOT(ISERROR(SEARCH("허하나로",H1482)))</formula>
    </cfRule>
    <cfRule type="containsText" dxfId="581" priority="69" operator="containsText" text="한별">
      <formula>NOT(ISERROR(SEARCH("한별",H1482)))</formula>
    </cfRule>
    <cfRule type="containsText" dxfId="580" priority="70" operator="containsText" text="정홍조">
      <formula>NOT(ISERROR(SEARCH("정홍조",H1482)))</formula>
    </cfRule>
    <cfRule type="containsText" dxfId="579" priority="71" operator="containsText" text="김지윤">
      <formula>NOT(ISERROR(SEARCH("김지윤",H1482)))</formula>
    </cfRule>
    <cfRule type="containsText" dxfId="578" priority="72" operator="containsText" text="전준영">
      <formula>NOT(ISERROR(SEARCH("전준영",H1482)))</formula>
    </cfRule>
    <cfRule type="containsText" dxfId="577" priority="73" operator="containsText" text="차재성">
      <formula>NOT(ISERROR(SEARCH("차재성",H1482)))</formula>
    </cfRule>
  </conditionalFormatting>
  <conditionalFormatting sqref="J274">
    <cfRule type="containsText" dxfId="576" priority="62" operator="containsText" text="허하나로">
      <formula>NOT(ISERROR(SEARCH("허하나로",H1562)))</formula>
    </cfRule>
    <cfRule type="containsText" dxfId="575" priority="63" operator="containsText" text="한별">
      <formula>NOT(ISERROR(SEARCH("한별",H1562)))</formula>
    </cfRule>
    <cfRule type="containsText" dxfId="574" priority="64" operator="containsText" text="정홍조">
      <formula>NOT(ISERROR(SEARCH("정홍조",H1562)))</formula>
    </cfRule>
    <cfRule type="containsText" dxfId="573" priority="65" operator="containsText" text="김지윤">
      <formula>NOT(ISERROR(SEARCH("김지윤",H1562)))</formula>
    </cfRule>
    <cfRule type="containsText" dxfId="572" priority="66" operator="containsText" text="전준영">
      <formula>NOT(ISERROR(SEARCH("전준영",H1562)))</formula>
    </cfRule>
    <cfRule type="containsText" dxfId="571" priority="67" operator="containsText" text="차재성">
      <formula>NOT(ISERROR(SEARCH("차재성",H1562)))</formula>
    </cfRule>
  </conditionalFormatting>
  <conditionalFormatting sqref="J273">
    <cfRule type="containsText" dxfId="570" priority="56" operator="containsText" text="허하나로">
      <formula>NOT(ISERROR(SEARCH("허하나로",H1561)))</formula>
    </cfRule>
    <cfRule type="containsText" dxfId="569" priority="57" operator="containsText" text="한별">
      <formula>NOT(ISERROR(SEARCH("한별",H1561)))</formula>
    </cfRule>
    <cfRule type="containsText" dxfId="568" priority="58" operator="containsText" text="정홍조">
      <formula>NOT(ISERROR(SEARCH("정홍조",H1561)))</formula>
    </cfRule>
    <cfRule type="containsText" dxfId="567" priority="59" operator="containsText" text="김지윤">
      <formula>NOT(ISERROR(SEARCH("김지윤",H1561)))</formula>
    </cfRule>
    <cfRule type="containsText" dxfId="566" priority="60" operator="containsText" text="전준영">
      <formula>NOT(ISERROR(SEARCH("전준영",H1561)))</formula>
    </cfRule>
    <cfRule type="containsText" dxfId="565" priority="61" operator="containsText" text="차재성">
      <formula>NOT(ISERROR(SEARCH("차재성",H1561)))</formula>
    </cfRule>
  </conditionalFormatting>
  <conditionalFormatting sqref="J298">
    <cfRule type="containsText" dxfId="564" priority="43" operator="containsText" text="허하나로">
      <formula>NOT(ISERROR(SEARCH("허하나로",H1294)))</formula>
    </cfRule>
    <cfRule type="containsText" dxfId="563" priority="44" operator="containsText" text="한별">
      <formula>NOT(ISERROR(SEARCH("한별",H1294)))</formula>
    </cfRule>
    <cfRule type="containsText" dxfId="562" priority="45" operator="containsText" text="정홍조">
      <formula>NOT(ISERROR(SEARCH("정홍조",H1294)))</formula>
    </cfRule>
    <cfRule type="containsText" dxfId="561" priority="46" operator="containsText" text="김지윤">
      <formula>NOT(ISERROR(SEARCH("김지윤",H1294)))</formula>
    </cfRule>
    <cfRule type="containsText" dxfId="560" priority="47" operator="containsText" text="전준영">
      <formula>NOT(ISERROR(SEARCH("전준영",H1294)))</formula>
    </cfRule>
    <cfRule type="containsText" dxfId="559" priority="48" operator="containsText" text="차재성">
      <formula>NOT(ISERROR(SEARCH("차재성",H1294)))</formula>
    </cfRule>
  </conditionalFormatting>
  <conditionalFormatting sqref="J297">
    <cfRule type="containsText" dxfId="558" priority="37" operator="containsText" text="허하나로">
      <formula>NOT(ISERROR(SEARCH("허하나로",H1293)))</formula>
    </cfRule>
    <cfRule type="containsText" dxfId="557" priority="38" operator="containsText" text="한별">
      <formula>NOT(ISERROR(SEARCH("한별",H1293)))</formula>
    </cfRule>
    <cfRule type="containsText" dxfId="556" priority="39" operator="containsText" text="정홍조">
      <formula>NOT(ISERROR(SEARCH("정홍조",H1293)))</formula>
    </cfRule>
    <cfRule type="containsText" dxfId="555" priority="40" operator="containsText" text="김지윤">
      <formula>NOT(ISERROR(SEARCH("김지윤",H1293)))</formula>
    </cfRule>
    <cfRule type="containsText" dxfId="554" priority="41" operator="containsText" text="전준영">
      <formula>NOT(ISERROR(SEARCH("전준영",H1293)))</formula>
    </cfRule>
    <cfRule type="containsText" dxfId="553" priority="42" operator="containsText" text="차재성">
      <formula>NOT(ISERROR(SEARCH("차재성",H1293)))</formula>
    </cfRule>
  </conditionalFormatting>
  <conditionalFormatting sqref="J296">
    <cfRule type="containsText" dxfId="552" priority="31" operator="containsText" text="허하나로">
      <formula>NOT(ISERROR(SEARCH("허하나로",H1292)))</formula>
    </cfRule>
    <cfRule type="containsText" dxfId="551" priority="32" operator="containsText" text="한별">
      <formula>NOT(ISERROR(SEARCH("한별",H1292)))</formula>
    </cfRule>
    <cfRule type="containsText" dxfId="550" priority="33" operator="containsText" text="정홍조">
      <formula>NOT(ISERROR(SEARCH("정홍조",H1292)))</formula>
    </cfRule>
    <cfRule type="containsText" dxfId="549" priority="34" operator="containsText" text="김지윤">
      <formula>NOT(ISERROR(SEARCH("김지윤",H1292)))</formula>
    </cfRule>
    <cfRule type="containsText" dxfId="548" priority="35" operator="containsText" text="전준영">
      <formula>NOT(ISERROR(SEARCH("전준영",H1292)))</formula>
    </cfRule>
    <cfRule type="containsText" dxfId="547" priority="36" operator="containsText" text="차재성">
      <formula>NOT(ISERROR(SEARCH("차재성",H1292)))</formula>
    </cfRule>
  </conditionalFormatting>
  <conditionalFormatting sqref="J109">
    <cfRule type="containsText" dxfId="546" priority="13" operator="containsText" text="허하나로">
      <formula>NOT(ISERROR(SEARCH("허하나로",H1450)))</formula>
    </cfRule>
    <cfRule type="containsText" dxfId="545" priority="14" operator="containsText" text="한별">
      <formula>NOT(ISERROR(SEARCH("한별",H1450)))</formula>
    </cfRule>
    <cfRule type="containsText" dxfId="544" priority="15" operator="containsText" text="정홍조">
      <formula>NOT(ISERROR(SEARCH("정홍조",H1450)))</formula>
    </cfRule>
    <cfRule type="containsText" dxfId="543" priority="16" operator="containsText" text="김지윤">
      <formula>NOT(ISERROR(SEARCH("김지윤",H1450)))</formula>
    </cfRule>
    <cfRule type="containsText" dxfId="542" priority="17" operator="containsText" text="전준영">
      <formula>NOT(ISERROR(SEARCH("전준영",H1450)))</formula>
    </cfRule>
    <cfRule type="containsText" dxfId="541" priority="18" operator="containsText" text="차재성">
      <formula>NOT(ISERROR(SEARCH("차재성",H1450)))</formula>
    </cfRule>
  </conditionalFormatting>
  <conditionalFormatting sqref="J108">
    <cfRule type="containsText" dxfId="540" priority="7" operator="containsText" text="허하나로">
      <formula>NOT(ISERROR(SEARCH("허하나로",H1448)))</formula>
    </cfRule>
    <cfRule type="containsText" dxfId="539" priority="8" operator="containsText" text="한별">
      <formula>NOT(ISERROR(SEARCH("한별",H1448)))</formula>
    </cfRule>
    <cfRule type="containsText" dxfId="538" priority="9" operator="containsText" text="정홍조">
      <formula>NOT(ISERROR(SEARCH("정홍조",H1448)))</formula>
    </cfRule>
    <cfRule type="containsText" dxfId="537" priority="10" operator="containsText" text="김지윤">
      <formula>NOT(ISERROR(SEARCH("김지윤",H1448)))</formula>
    </cfRule>
    <cfRule type="containsText" dxfId="536" priority="11" operator="containsText" text="전준영">
      <formula>NOT(ISERROR(SEARCH("전준영",H1448)))</formula>
    </cfRule>
    <cfRule type="containsText" dxfId="535" priority="12" operator="containsText" text="차재성">
      <formula>NOT(ISERROR(SEARCH("차재성",H1448)))</formula>
    </cfRule>
  </conditionalFormatting>
  <conditionalFormatting sqref="J109">
    <cfRule type="containsText" dxfId="534" priority="19" operator="containsText" text="허하나로">
      <formula>NOT(ISERROR(SEARCH("허하나로",H1505)))</formula>
    </cfRule>
    <cfRule type="containsText" dxfId="533" priority="20" operator="containsText" text="한별">
      <formula>NOT(ISERROR(SEARCH("한별",H1505)))</formula>
    </cfRule>
    <cfRule type="containsText" dxfId="532" priority="21" operator="containsText" text="정홍조">
      <formula>NOT(ISERROR(SEARCH("정홍조",H1505)))</formula>
    </cfRule>
    <cfRule type="containsText" dxfId="531" priority="22" operator="containsText" text="김지윤">
      <formula>NOT(ISERROR(SEARCH("김지윤",H1505)))</formula>
    </cfRule>
    <cfRule type="containsText" dxfId="530" priority="23" operator="containsText" text="전준영">
      <formula>NOT(ISERROR(SEARCH("전준영",H1505)))</formula>
    </cfRule>
    <cfRule type="containsText" dxfId="529" priority="24" operator="containsText" text="차재성">
      <formula>NOT(ISERROR(SEARCH("차재성",H1505)))</formula>
    </cfRule>
  </conditionalFormatting>
  <conditionalFormatting sqref="J108">
    <cfRule type="containsText" dxfId="528" priority="25" operator="containsText" text="허하나로">
      <formula>NOT(ISERROR(SEARCH("허하나로",H1503)))</formula>
    </cfRule>
    <cfRule type="containsText" dxfId="527" priority="26" operator="containsText" text="한별">
      <formula>NOT(ISERROR(SEARCH("한별",H1503)))</formula>
    </cfRule>
    <cfRule type="containsText" dxfId="526" priority="27" operator="containsText" text="정홍조">
      <formula>NOT(ISERROR(SEARCH("정홍조",H1503)))</formula>
    </cfRule>
    <cfRule type="containsText" dxfId="525" priority="28" operator="containsText" text="김지윤">
      <formula>NOT(ISERROR(SEARCH("김지윤",H1503)))</formula>
    </cfRule>
    <cfRule type="containsText" dxfId="524" priority="29" operator="containsText" text="전준영">
      <formula>NOT(ISERROR(SEARCH("전준영",H1503)))</formula>
    </cfRule>
    <cfRule type="containsText" dxfId="523" priority="30" operator="containsText" text="차재성">
      <formula>NOT(ISERROR(SEARCH("차재성",H1503)))</formula>
    </cfRule>
  </conditionalFormatting>
  <conditionalFormatting sqref="J123">
    <cfRule type="containsText" dxfId="522" priority="1" operator="containsText" text="허하나로">
      <formula>NOT(ISERROR(SEARCH("허하나로",H1529)))</formula>
    </cfRule>
    <cfRule type="containsText" dxfId="521" priority="2" operator="containsText" text="한별">
      <formula>NOT(ISERROR(SEARCH("한별",H1529)))</formula>
    </cfRule>
    <cfRule type="containsText" dxfId="520" priority="3" operator="containsText" text="정홍조">
      <formula>NOT(ISERROR(SEARCH("정홍조",H1529)))</formula>
    </cfRule>
    <cfRule type="containsText" dxfId="519" priority="4" operator="containsText" text="김지윤">
      <formula>NOT(ISERROR(SEARCH("김지윤",H1529)))</formula>
    </cfRule>
    <cfRule type="containsText" dxfId="518" priority="5" operator="containsText" text="전준영">
      <formula>NOT(ISERROR(SEARCH("전준영",H1529)))</formula>
    </cfRule>
    <cfRule type="containsText" dxfId="517" priority="6" operator="containsText" text="차재성">
      <formula>NOT(ISERROR(SEARCH("차재성",H1529)))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9" operator="containsText" text="김지윤" id="{1DE8B9A3-781F-4D74-AF3A-8199C5A6D53A}">
            <xm:f>NOT(ISERROR(SEARCH("김지윤",'C:\한샘\○ 예산\2024년\2. 공단 추경\2. 제2회 추가경정(안)\[붙임 1. 제2회 추가경정예산(안).xlsx]경영본부'!#REF!)))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" operator="containsText" text="양길승" id="{FB91A318-8AD0-4BCE-9F92-DA1C849C1525}">
            <xm:f>NOT(ISERROR(SEARCH("양길승",'C:\한샘\○ 예산\2024년\2. 공단 추경\2. 제2회 추가경정(안)\[붙임 1. 제2회 추가경정예산(안).xlsx]경영본부'!#REF!)))</xm:f>
            <x14:dxf>
              <fill>
                <patternFill>
                  <bgColor theme="8" tint="0.79998168889431442"/>
                </patternFill>
              </fill>
            </x14:dxf>
          </x14:cfRule>
          <x14:cfRule type="containsText" priority="51" operator="containsText" text="정지철" id="{DD4280AB-57F1-4035-BFEF-3F98D0AD7552}">
            <xm:f>NOT(ISERROR(SEARCH("정지철",'C:\한샘\○ 예산\2024년\2. 공단 추경\2. 제2회 추가경정(안)\[붙임 1. 제2회 추가경정예산(안).xlsx]경영본부'!#REF!)))</xm:f>
            <x14:dxf>
              <fill>
                <patternFill>
                  <bgColor theme="2" tint="-9.9948118533890809E-2"/>
                </patternFill>
              </fill>
            </x14:dxf>
          </x14:cfRule>
          <x14:cfRule type="containsText" priority="52" operator="containsText" text="최민" id="{A790C035-C7C8-47E7-914A-F97C1E7EA3F5}">
            <xm:f>NOT(ISERROR(SEARCH("최민",'C:\한샘\○ 예산\2024년\2. 공단 추경\2. 제2회 추가경정(안)\[붙임 1. 제2회 추가경정예산(안).xlsx]경영본부'!#REF!)))</xm:f>
            <x14:dxf>
              <fill>
                <patternFill>
                  <bgColor theme="7" tint="0.79998168889431442"/>
                </patternFill>
              </fill>
            </x14:dxf>
          </x14:cfRule>
          <x14:cfRule type="containsText" priority="53" operator="containsText" text="허하나로" id="{A3291093-AC30-4B5C-9F20-704229068404}">
            <xm:f>NOT(ISERROR(SEARCH("허하나로",'C:\한샘\○ 예산\2024년\2. 공단 추경\2. 제2회 추가경정(안)\[붙임 1. 제2회 추가경정예산(안).xlsx]경영본부'!#REF!)))</xm:f>
            <x14:dxf>
              <fill>
                <patternFill>
                  <bgColor theme="9" tint="0.79998168889431442"/>
                </patternFill>
              </fill>
            </x14:dxf>
          </x14:cfRule>
          <x14:cfRule type="containsText" priority="54" operator="containsText" text="안은선" id="{CD1B4EEA-E900-413A-86CF-5AC3C3905CC9}">
            <xm:f>NOT(ISERROR(SEARCH("안은선",'C:\한샘\○ 예산\2024년\2. 공단 추경\2. 제2회 추가경정(안)\[붙임 1. 제2회 추가경정예산(안).xlsx]경영본부'!#REF!)))</xm:f>
            <x14:dxf>
              <fill>
                <patternFill>
                  <bgColor theme="5" tint="0.79998168889431442"/>
                </patternFill>
              </fill>
            </x14:dxf>
          </x14:cfRule>
          <x14:cfRule type="containsText" priority="55" operator="containsText" text="전준영" id="{3ACDD247-04DC-4E86-B198-F08FAA8B2866}">
            <xm:f>NOT(ISERROR(SEARCH("전준영",'C:\한샘\○ 예산\2024년\2. 공단 추경\2. 제2회 추가경정(안)\[붙임 1. 제2회 추가경정예산(안).xlsx]경영본부'!#REF!)))</xm:f>
            <x14:dxf>
              <fill>
                <patternFill>
                  <bgColor theme="4" tint="0.79998168889431442"/>
                </patternFill>
              </fill>
            </x14:dxf>
          </x14:cfRule>
          <xm:sqref>J269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38CA-0552-4050-BBF0-85F761671CE2}">
  <sheetPr>
    <tabColor theme="3"/>
    <pageSetUpPr fitToPage="1"/>
  </sheetPr>
  <dimension ref="A1:XFD1066"/>
  <sheetViews>
    <sheetView showGridLines="0" view="pageBreakPreview" topLeftCell="F232" zoomScale="85" zoomScaleNormal="85" zoomScaleSheetLayoutView="85" workbookViewId="0">
      <selection activeCell="J20" sqref="J20"/>
    </sheetView>
  </sheetViews>
  <sheetFormatPr defaultRowHeight="12.75"/>
  <cols>
    <col min="1" max="6" width="3.875" style="517" customWidth="1"/>
    <col min="7" max="7" width="32.625" style="517" customWidth="1"/>
    <col min="8" max="9" width="14.625" style="639" customWidth="1"/>
    <col min="10" max="10" width="14.625" style="336" customWidth="1"/>
    <col min="11" max="11" width="78.375" style="2056" bestFit="1" customWidth="1"/>
    <col min="12" max="12" width="3" style="337" customWidth="1"/>
    <col min="13" max="13" width="14.625" style="335" customWidth="1"/>
    <col min="14" max="14" width="16.625" style="2057" bestFit="1" customWidth="1"/>
    <col min="15" max="15" width="22" style="337" bestFit="1" customWidth="1"/>
    <col min="16" max="16" width="17.375" style="337" bestFit="1" customWidth="1"/>
    <col min="17" max="17" width="12.375" style="337" bestFit="1" customWidth="1"/>
    <col min="18" max="18" width="10.375" style="337" bestFit="1" customWidth="1"/>
    <col min="19" max="19" width="9" style="337" bestFit="1" customWidth="1"/>
    <col min="20" max="20" width="10.375" style="337" bestFit="1" customWidth="1"/>
    <col min="21" max="62" width="10" style="497" customWidth="1"/>
    <col min="63" max="244" width="9" style="497"/>
    <col min="245" max="245" width="3.625" style="497" customWidth="1"/>
    <col min="246" max="246" width="3.75" style="497" customWidth="1"/>
    <col min="247" max="247" width="8.625" style="497" customWidth="1"/>
    <col min="248" max="248" width="6.5" style="497" customWidth="1"/>
    <col min="249" max="249" width="16.25" style="497" customWidth="1"/>
    <col min="250" max="251" width="12" style="497" customWidth="1"/>
    <col min="252" max="252" width="12.875" style="497" customWidth="1"/>
    <col min="253" max="253" width="53.25" style="497" customWidth="1"/>
    <col min="254" max="254" width="3" style="497" customWidth="1"/>
    <col min="255" max="255" width="12.75" style="497" customWidth="1"/>
    <col min="256" max="256" width="15.125" style="497" customWidth="1"/>
    <col min="257" max="257" width="18.875" style="497" customWidth="1"/>
    <col min="258" max="258" width="18.375" style="497" customWidth="1"/>
    <col min="259" max="259" width="16.875" style="497" customWidth="1"/>
    <col min="260" max="260" width="11" style="497" customWidth="1"/>
    <col min="261" max="261" width="12.25" style="497" customWidth="1"/>
    <col min="262" max="262" width="14.125" style="497" customWidth="1"/>
    <col min="263" max="263" width="13.5" style="497" customWidth="1"/>
    <col min="264" max="264" width="16.125" style="497" customWidth="1"/>
    <col min="265" max="265" width="12.875" style="497" customWidth="1"/>
    <col min="266" max="266" width="12.625" style="497" customWidth="1"/>
    <col min="267" max="267" width="14.5" style="497" customWidth="1"/>
    <col min="268" max="268" width="13.125" style="497" bestFit="1" customWidth="1"/>
    <col min="269" max="318" width="10" style="497" customWidth="1"/>
    <col min="319" max="500" width="9" style="497"/>
    <col min="501" max="501" width="3.625" style="497" customWidth="1"/>
    <col min="502" max="502" width="3.75" style="497" customWidth="1"/>
    <col min="503" max="503" width="8.625" style="497" customWidth="1"/>
    <col min="504" max="504" width="6.5" style="497" customWidth="1"/>
    <col min="505" max="505" width="16.25" style="497" customWidth="1"/>
    <col min="506" max="507" width="12" style="497" customWidth="1"/>
    <col min="508" max="508" width="12.875" style="497" customWidth="1"/>
    <col min="509" max="509" width="53.25" style="497" customWidth="1"/>
    <col min="510" max="510" width="3" style="497" customWidth="1"/>
    <col min="511" max="511" width="12.75" style="497" customWidth="1"/>
    <col min="512" max="512" width="15.125" style="497" customWidth="1"/>
    <col min="513" max="513" width="18.875" style="497" customWidth="1"/>
    <col min="514" max="514" width="18.375" style="497" customWidth="1"/>
    <col min="515" max="515" width="16.875" style="497" customWidth="1"/>
    <col min="516" max="516" width="11" style="497" customWidth="1"/>
    <col min="517" max="517" width="12.25" style="497" customWidth="1"/>
    <col min="518" max="518" width="14.125" style="497" customWidth="1"/>
    <col min="519" max="519" width="13.5" style="497" customWidth="1"/>
    <col min="520" max="520" width="16.125" style="497" customWidth="1"/>
    <col min="521" max="521" width="12.875" style="497" customWidth="1"/>
    <col min="522" max="522" width="12.625" style="497" customWidth="1"/>
    <col min="523" max="523" width="14.5" style="497" customWidth="1"/>
    <col min="524" max="524" width="13.125" style="497" bestFit="1" customWidth="1"/>
    <col min="525" max="574" width="10" style="497" customWidth="1"/>
    <col min="575" max="756" width="9" style="497"/>
    <col min="757" max="757" width="3.625" style="497" customWidth="1"/>
    <col min="758" max="758" width="3.75" style="497" customWidth="1"/>
    <col min="759" max="759" width="8.625" style="497" customWidth="1"/>
    <col min="760" max="760" width="6.5" style="497" customWidth="1"/>
    <col min="761" max="761" width="16.25" style="497" customWidth="1"/>
    <col min="762" max="763" width="12" style="497" customWidth="1"/>
    <col min="764" max="764" width="12.875" style="497" customWidth="1"/>
    <col min="765" max="765" width="53.25" style="497" customWidth="1"/>
    <col min="766" max="766" width="3" style="497" customWidth="1"/>
    <col min="767" max="767" width="12.75" style="497" customWidth="1"/>
    <col min="768" max="768" width="15.125" style="497" customWidth="1"/>
    <col min="769" max="769" width="18.875" style="497" customWidth="1"/>
    <col min="770" max="770" width="18.375" style="497" customWidth="1"/>
    <col min="771" max="771" width="16.875" style="497" customWidth="1"/>
    <col min="772" max="772" width="11" style="497" customWidth="1"/>
    <col min="773" max="773" width="12.25" style="497" customWidth="1"/>
    <col min="774" max="774" width="14.125" style="497" customWidth="1"/>
    <col min="775" max="775" width="13.5" style="497" customWidth="1"/>
    <col min="776" max="776" width="16.125" style="497" customWidth="1"/>
    <col min="777" max="777" width="12.875" style="497" customWidth="1"/>
    <col min="778" max="778" width="12.625" style="497" customWidth="1"/>
    <col min="779" max="779" width="14.5" style="497" customWidth="1"/>
    <col min="780" max="780" width="13.125" style="497" bestFit="1" customWidth="1"/>
    <col min="781" max="830" width="10" style="497" customWidth="1"/>
    <col min="831" max="1012" width="9" style="497"/>
    <col min="1013" max="1013" width="3.625" style="497" customWidth="1"/>
    <col min="1014" max="1014" width="3.75" style="497" customWidth="1"/>
    <col min="1015" max="1015" width="8.625" style="497" customWidth="1"/>
    <col min="1016" max="1016" width="6.5" style="497" customWidth="1"/>
    <col min="1017" max="1017" width="16.25" style="497" customWidth="1"/>
    <col min="1018" max="1019" width="12" style="497" customWidth="1"/>
    <col min="1020" max="1020" width="12.875" style="497" customWidth="1"/>
    <col min="1021" max="1021" width="53.25" style="497" customWidth="1"/>
    <col min="1022" max="1022" width="3" style="497" customWidth="1"/>
    <col min="1023" max="1023" width="12.75" style="497" customWidth="1"/>
    <col min="1024" max="1024" width="15.125" style="497" customWidth="1"/>
    <col min="1025" max="1025" width="18.875" style="497" customWidth="1"/>
    <col min="1026" max="1026" width="18.375" style="497" customWidth="1"/>
    <col min="1027" max="1027" width="16.875" style="497" customWidth="1"/>
    <col min="1028" max="1028" width="11" style="497" customWidth="1"/>
    <col min="1029" max="1029" width="12.25" style="497" customWidth="1"/>
    <col min="1030" max="1030" width="14.125" style="497" customWidth="1"/>
    <col min="1031" max="1031" width="13.5" style="497" customWidth="1"/>
    <col min="1032" max="1032" width="16.125" style="497" customWidth="1"/>
    <col min="1033" max="1033" width="12.875" style="497" customWidth="1"/>
    <col min="1034" max="1034" width="12.625" style="497" customWidth="1"/>
    <col min="1035" max="1035" width="14.5" style="497" customWidth="1"/>
    <col min="1036" max="1036" width="13.125" style="497" bestFit="1" customWidth="1"/>
    <col min="1037" max="1086" width="10" style="497" customWidth="1"/>
    <col min="1087" max="1268" width="9" style="497"/>
    <col min="1269" max="1269" width="3.625" style="497" customWidth="1"/>
    <col min="1270" max="1270" width="3.75" style="497" customWidth="1"/>
    <col min="1271" max="1271" width="8.625" style="497" customWidth="1"/>
    <col min="1272" max="1272" width="6.5" style="497" customWidth="1"/>
    <col min="1273" max="1273" width="16.25" style="497" customWidth="1"/>
    <col min="1274" max="1275" width="12" style="497" customWidth="1"/>
    <col min="1276" max="1276" width="12.875" style="497" customWidth="1"/>
    <col min="1277" max="1277" width="53.25" style="497" customWidth="1"/>
    <col min="1278" max="1278" width="3" style="497" customWidth="1"/>
    <col min="1279" max="1279" width="12.75" style="497" customWidth="1"/>
    <col min="1280" max="1280" width="15.125" style="497" customWidth="1"/>
    <col min="1281" max="1281" width="18.875" style="497" customWidth="1"/>
    <col min="1282" max="1282" width="18.375" style="497" customWidth="1"/>
    <col min="1283" max="1283" width="16.875" style="497" customWidth="1"/>
    <col min="1284" max="1284" width="11" style="497" customWidth="1"/>
    <col min="1285" max="1285" width="12.25" style="497" customWidth="1"/>
    <col min="1286" max="1286" width="14.125" style="497" customWidth="1"/>
    <col min="1287" max="1287" width="13.5" style="497" customWidth="1"/>
    <col min="1288" max="1288" width="16.125" style="497" customWidth="1"/>
    <col min="1289" max="1289" width="12.875" style="497" customWidth="1"/>
    <col min="1290" max="1290" width="12.625" style="497" customWidth="1"/>
    <col min="1291" max="1291" width="14.5" style="497" customWidth="1"/>
    <col min="1292" max="1292" width="13.125" style="497" bestFit="1" customWidth="1"/>
    <col min="1293" max="1342" width="10" style="497" customWidth="1"/>
    <col min="1343" max="1524" width="9" style="497"/>
    <col min="1525" max="1525" width="3.625" style="497" customWidth="1"/>
    <col min="1526" max="1526" width="3.75" style="497" customWidth="1"/>
    <col min="1527" max="1527" width="8.625" style="497" customWidth="1"/>
    <col min="1528" max="1528" width="6.5" style="497" customWidth="1"/>
    <col min="1529" max="1529" width="16.25" style="497" customWidth="1"/>
    <col min="1530" max="1531" width="12" style="497" customWidth="1"/>
    <col min="1532" max="1532" width="12.875" style="497" customWidth="1"/>
    <col min="1533" max="1533" width="53.25" style="497" customWidth="1"/>
    <col min="1534" max="1534" width="3" style="497" customWidth="1"/>
    <col min="1535" max="1535" width="12.75" style="497" customWidth="1"/>
    <col min="1536" max="1536" width="15.125" style="497" customWidth="1"/>
    <col min="1537" max="1537" width="18.875" style="497" customWidth="1"/>
    <col min="1538" max="1538" width="18.375" style="497" customWidth="1"/>
    <col min="1539" max="1539" width="16.875" style="497" customWidth="1"/>
    <col min="1540" max="1540" width="11" style="497" customWidth="1"/>
    <col min="1541" max="1541" width="12.25" style="497" customWidth="1"/>
    <col min="1542" max="1542" width="14.125" style="497" customWidth="1"/>
    <col min="1543" max="1543" width="13.5" style="497" customWidth="1"/>
    <col min="1544" max="1544" width="16.125" style="497" customWidth="1"/>
    <col min="1545" max="1545" width="12.875" style="497" customWidth="1"/>
    <col min="1546" max="1546" width="12.625" style="497" customWidth="1"/>
    <col min="1547" max="1547" width="14.5" style="497" customWidth="1"/>
    <col min="1548" max="1548" width="13.125" style="497" bestFit="1" customWidth="1"/>
    <col min="1549" max="1598" width="10" style="497" customWidth="1"/>
    <col min="1599" max="1780" width="9" style="497"/>
    <col min="1781" max="1781" width="3.625" style="497" customWidth="1"/>
    <col min="1782" max="1782" width="3.75" style="497" customWidth="1"/>
    <col min="1783" max="1783" width="8.625" style="497" customWidth="1"/>
    <col min="1784" max="1784" width="6.5" style="497" customWidth="1"/>
    <col min="1785" max="1785" width="16.25" style="497" customWidth="1"/>
    <col min="1786" max="1787" width="12" style="497" customWidth="1"/>
    <col min="1788" max="1788" width="12.875" style="497" customWidth="1"/>
    <col min="1789" max="1789" width="53.25" style="497" customWidth="1"/>
    <col min="1790" max="1790" width="3" style="497" customWidth="1"/>
    <col min="1791" max="1791" width="12.75" style="497" customWidth="1"/>
    <col min="1792" max="1792" width="15.125" style="497" customWidth="1"/>
    <col min="1793" max="1793" width="18.875" style="497" customWidth="1"/>
    <col min="1794" max="1794" width="18.375" style="497" customWidth="1"/>
    <col min="1795" max="1795" width="16.875" style="497" customWidth="1"/>
    <col min="1796" max="1796" width="11" style="497" customWidth="1"/>
    <col min="1797" max="1797" width="12.25" style="497" customWidth="1"/>
    <col min="1798" max="1798" width="14.125" style="497" customWidth="1"/>
    <col min="1799" max="1799" width="13.5" style="497" customWidth="1"/>
    <col min="1800" max="1800" width="16.125" style="497" customWidth="1"/>
    <col min="1801" max="1801" width="12.875" style="497" customWidth="1"/>
    <col min="1802" max="1802" width="12.625" style="497" customWidth="1"/>
    <col min="1803" max="1803" width="14.5" style="497" customWidth="1"/>
    <col min="1804" max="1804" width="13.125" style="497" bestFit="1" customWidth="1"/>
    <col min="1805" max="1854" width="10" style="497" customWidth="1"/>
    <col min="1855" max="2036" width="9" style="497"/>
    <col min="2037" max="2037" width="3.625" style="497" customWidth="1"/>
    <col min="2038" max="2038" width="3.75" style="497" customWidth="1"/>
    <col min="2039" max="2039" width="8.625" style="497" customWidth="1"/>
    <col min="2040" max="2040" width="6.5" style="497" customWidth="1"/>
    <col min="2041" max="2041" width="16.25" style="497" customWidth="1"/>
    <col min="2042" max="2043" width="12" style="497" customWidth="1"/>
    <col min="2044" max="2044" width="12.875" style="497" customWidth="1"/>
    <col min="2045" max="2045" width="53.25" style="497" customWidth="1"/>
    <col min="2046" max="2046" width="3" style="497" customWidth="1"/>
    <col min="2047" max="2047" width="12.75" style="497" customWidth="1"/>
    <col min="2048" max="2048" width="15.125" style="497" customWidth="1"/>
    <col min="2049" max="2049" width="18.875" style="497" customWidth="1"/>
    <col min="2050" max="2050" width="18.375" style="497" customWidth="1"/>
    <col min="2051" max="2051" width="16.875" style="497" customWidth="1"/>
    <col min="2052" max="2052" width="11" style="497" customWidth="1"/>
    <col min="2053" max="2053" width="12.25" style="497" customWidth="1"/>
    <col min="2054" max="2054" width="14.125" style="497" customWidth="1"/>
    <col min="2055" max="2055" width="13.5" style="497" customWidth="1"/>
    <col min="2056" max="2056" width="16.125" style="497" customWidth="1"/>
    <col min="2057" max="2057" width="12.875" style="497" customWidth="1"/>
    <col min="2058" max="2058" width="12.625" style="497" customWidth="1"/>
    <col min="2059" max="2059" width="14.5" style="497" customWidth="1"/>
    <col min="2060" max="2060" width="13.125" style="497" bestFit="1" customWidth="1"/>
    <col min="2061" max="2110" width="10" style="497" customWidth="1"/>
    <col min="2111" max="2292" width="9" style="497"/>
    <col min="2293" max="2293" width="3.625" style="497" customWidth="1"/>
    <col min="2294" max="2294" width="3.75" style="497" customWidth="1"/>
    <col min="2295" max="2295" width="8.625" style="497" customWidth="1"/>
    <col min="2296" max="2296" width="6.5" style="497" customWidth="1"/>
    <col min="2297" max="2297" width="16.25" style="497" customWidth="1"/>
    <col min="2298" max="2299" width="12" style="497" customWidth="1"/>
    <col min="2300" max="2300" width="12.875" style="497" customWidth="1"/>
    <col min="2301" max="2301" width="53.25" style="497" customWidth="1"/>
    <col min="2302" max="2302" width="3" style="497" customWidth="1"/>
    <col min="2303" max="2303" width="12.75" style="497" customWidth="1"/>
    <col min="2304" max="2304" width="15.125" style="497" customWidth="1"/>
    <col min="2305" max="2305" width="18.875" style="497" customWidth="1"/>
    <col min="2306" max="2306" width="18.375" style="497" customWidth="1"/>
    <col min="2307" max="2307" width="16.875" style="497" customWidth="1"/>
    <col min="2308" max="2308" width="11" style="497" customWidth="1"/>
    <col min="2309" max="2309" width="12.25" style="497" customWidth="1"/>
    <col min="2310" max="2310" width="14.125" style="497" customWidth="1"/>
    <col min="2311" max="2311" width="13.5" style="497" customWidth="1"/>
    <col min="2312" max="2312" width="16.125" style="497" customWidth="1"/>
    <col min="2313" max="2313" width="12.875" style="497" customWidth="1"/>
    <col min="2314" max="2314" width="12.625" style="497" customWidth="1"/>
    <col min="2315" max="2315" width="14.5" style="497" customWidth="1"/>
    <col min="2316" max="2316" width="13.125" style="497" bestFit="1" customWidth="1"/>
    <col min="2317" max="2366" width="10" style="497" customWidth="1"/>
    <col min="2367" max="2548" width="9" style="497"/>
    <col min="2549" max="2549" width="3.625" style="497" customWidth="1"/>
    <col min="2550" max="2550" width="3.75" style="497" customWidth="1"/>
    <col min="2551" max="2551" width="8.625" style="497" customWidth="1"/>
    <col min="2552" max="2552" width="6.5" style="497" customWidth="1"/>
    <col min="2553" max="2553" width="16.25" style="497" customWidth="1"/>
    <col min="2554" max="2555" width="12" style="497" customWidth="1"/>
    <col min="2556" max="2556" width="12.875" style="497" customWidth="1"/>
    <col min="2557" max="2557" width="53.25" style="497" customWidth="1"/>
    <col min="2558" max="2558" width="3" style="497" customWidth="1"/>
    <col min="2559" max="2559" width="12.75" style="497" customWidth="1"/>
    <col min="2560" max="2560" width="15.125" style="497" customWidth="1"/>
    <col min="2561" max="2561" width="18.875" style="497" customWidth="1"/>
    <col min="2562" max="2562" width="18.375" style="497" customWidth="1"/>
    <col min="2563" max="2563" width="16.875" style="497" customWidth="1"/>
    <col min="2564" max="2564" width="11" style="497" customWidth="1"/>
    <col min="2565" max="2565" width="12.25" style="497" customWidth="1"/>
    <col min="2566" max="2566" width="14.125" style="497" customWidth="1"/>
    <col min="2567" max="2567" width="13.5" style="497" customWidth="1"/>
    <col min="2568" max="2568" width="16.125" style="497" customWidth="1"/>
    <col min="2569" max="2569" width="12.875" style="497" customWidth="1"/>
    <col min="2570" max="2570" width="12.625" style="497" customWidth="1"/>
    <col min="2571" max="2571" width="14.5" style="497" customWidth="1"/>
    <col min="2572" max="2572" width="13.125" style="497" bestFit="1" customWidth="1"/>
    <col min="2573" max="2622" width="10" style="497" customWidth="1"/>
    <col min="2623" max="2804" width="9" style="497"/>
    <col min="2805" max="2805" width="3.625" style="497" customWidth="1"/>
    <col min="2806" max="2806" width="3.75" style="497" customWidth="1"/>
    <col min="2807" max="2807" width="8.625" style="497" customWidth="1"/>
    <col min="2808" max="2808" width="6.5" style="497" customWidth="1"/>
    <col min="2809" max="2809" width="16.25" style="497" customWidth="1"/>
    <col min="2810" max="2811" width="12" style="497" customWidth="1"/>
    <col min="2812" max="2812" width="12.875" style="497" customWidth="1"/>
    <col min="2813" max="2813" width="53.25" style="497" customWidth="1"/>
    <col min="2814" max="2814" width="3" style="497" customWidth="1"/>
    <col min="2815" max="2815" width="12.75" style="497" customWidth="1"/>
    <col min="2816" max="2816" width="15.125" style="497" customWidth="1"/>
    <col min="2817" max="2817" width="18.875" style="497" customWidth="1"/>
    <col min="2818" max="2818" width="18.375" style="497" customWidth="1"/>
    <col min="2819" max="2819" width="16.875" style="497" customWidth="1"/>
    <col min="2820" max="2820" width="11" style="497" customWidth="1"/>
    <col min="2821" max="2821" width="12.25" style="497" customWidth="1"/>
    <col min="2822" max="2822" width="14.125" style="497" customWidth="1"/>
    <col min="2823" max="2823" width="13.5" style="497" customWidth="1"/>
    <col min="2824" max="2824" width="16.125" style="497" customWidth="1"/>
    <col min="2825" max="2825" width="12.875" style="497" customWidth="1"/>
    <col min="2826" max="2826" width="12.625" style="497" customWidth="1"/>
    <col min="2827" max="2827" width="14.5" style="497" customWidth="1"/>
    <col min="2828" max="2828" width="13.125" style="497" bestFit="1" customWidth="1"/>
    <col min="2829" max="2878" width="10" style="497" customWidth="1"/>
    <col min="2879" max="3060" width="9" style="497"/>
    <col min="3061" max="3061" width="3.625" style="497" customWidth="1"/>
    <col min="3062" max="3062" width="3.75" style="497" customWidth="1"/>
    <col min="3063" max="3063" width="8.625" style="497" customWidth="1"/>
    <col min="3064" max="3064" width="6.5" style="497" customWidth="1"/>
    <col min="3065" max="3065" width="16.25" style="497" customWidth="1"/>
    <col min="3066" max="3067" width="12" style="497" customWidth="1"/>
    <col min="3068" max="3068" width="12.875" style="497" customWidth="1"/>
    <col min="3069" max="3069" width="53.25" style="497" customWidth="1"/>
    <col min="3070" max="3070" width="3" style="497" customWidth="1"/>
    <col min="3071" max="3071" width="12.75" style="497" customWidth="1"/>
    <col min="3072" max="3072" width="15.125" style="497" customWidth="1"/>
    <col min="3073" max="3073" width="18.875" style="497" customWidth="1"/>
    <col min="3074" max="3074" width="18.375" style="497" customWidth="1"/>
    <col min="3075" max="3075" width="16.875" style="497" customWidth="1"/>
    <col min="3076" max="3076" width="11" style="497" customWidth="1"/>
    <col min="3077" max="3077" width="12.25" style="497" customWidth="1"/>
    <col min="3078" max="3078" width="14.125" style="497" customWidth="1"/>
    <col min="3079" max="3079" width="13.5" style="497" customWidth="1"/>
    <col min="3080" max="3080" width="16.125" style="497" customWidth="1"/>
    <col min="3081" max="3081" width="12.875" style="497" customWidth="1"/>
    <col min="3082" max="3082" width="12.625" style="497" customWidth="1"/>
    <col min="3083" max="3083" width="14.5" style="497" customWidth="1"/>
    <col min="3084" max="3084" width="13.125" style="497" bestFit="1" customWidth="1"/>
    <col min="3085" max="3134" width="10" style="497" customWidth="1"/>
    <col min="3135" max="3316" width="9" style="497"/>
    <col min="3317" max="3317" width="3.625" style="497" customWidth="1"/>
    <col min="3318" max="3318" width="3.75" style="497" customWidth="1"/>
    <col min="3319" max="3319" width="8.625" style="497" customWidth="1"/>
    <col min="3320" max="3320" width="6.5" style="497" customWidth="1"/>
    <col min="3321" max="3321" width="16.25" style="497" customWidth="1"/>
    <col min="3322" max="3323" width="12" style="497" customWidth="1"/>
    <col min="3324" max="3324" width="12.875" style="497" customWidth="1"/>
    <col min="3325" max="3325" width="53.25" style="497" customWidth="1"/>
    <col min="3326" max="3326" width="3" style="497" customWidth="1"/>
    <col min="3327" max="3327" width="12.75" style="497" customWidth="1"/>
    <col min="3328" max="3328" width="15.125" style="497" customWidth="1"/>
    <col min="3329" max="3329" width="18.875" style="497" customWidth="1"/>
    <col min="3330" max="3330" width="18.375" style="497" customWidth="1"/>
    <col min="3331" max="3331" width="16.875" style="497" customWidth="1"/>
    <col min="3332" max="3332" width="11" style="497" customWidth="1"/>
    <col min="3333" max="3333" width="12.25" style="497" customWidth="1"/>
    <col min="3334" max="3334" width="14.125" style="497" customWidth="1"/>
    <col min="3335" max="3335" width="13.5" style="497" customWidth="1"/>
    <col min="3336" max="3336" width="16.125" style="497" customWidth="1"/>
    <col min="3337" max="3337" width="12.875" style="497" customWidth="1"/>
    <col min="3338" max="3338" width="12.625" style="497" customWidth="1"/>
    <col min="3339" max="3339" width="14.5" style="497" customWidth="1"/>
    <col min="3340" max="3340" width="13.125" style="497" bestFit="1" customWidth="1"/>
    <col min="3341" max="3390" width="10" style="497" customWidth="1"/>
    <col min="3391" max="3572" width="9" style="497"/>
    <col min="3573" max="3573" width="3.625" style="497" customWidth="1"/>
    <col min="3574" max="3574" width="3.75" style="497" customWidth="1"/>
    <col min="3575" max="3575" width="8.625" style="497" customWidth="1"/>
    <col min="3576" max="3576" width="6.5" style="497" customWidth="1"/>
    <col min="3577" max="3577" width="16.25" style="497" customWidth="1"/>
    <col min="3578" max="3579" width="12" style="497" customWidth="1"/>
    <col min="3580" max="3580" width="12.875" style="497" customWidth="1"/>
    <col min="3581" max="3581" width="53.25" style="497" customWidth="1"/>
    <col min="3582" max="3582" width="3" style="497" customWidth="1"/>
    <col min="3583" max="3583" width="12.75" style="497" customWidth="1"/>
    <col min="3584" max="3584" width="15.125" style="497" customWidth="1"/>
    <col min="3585" max="3585" width="18.875" style="497" customWidth="1"/>
    <col min="3586" max="3586" width="18.375" style="497" customWidth="1"/>
    <col min="3587" max="3587" width="16.875" style="497" customWidth="1"/>
    <col min="3588" max="3588" width="11" style="497" customWidth="1"/>
    <col min="3589" max="3589" width="12.25" style="497" customWidth="1"/>
    <col min="3590" max="3590" width="14.125" style="497" customWidth="1"/>
    <col min="3591" max="3591" width="13.5" style="497" customWidth="1"/>
    <col min="3592" max="3592" width="16.125" style="497" customWidth="1"/>
    <col min="3593" max="3593" width="12.875" style="497" customWidth="1"/>
    <col min="3594" max="3594" width="12.625" style="497" customWidth="1"/>
    <col min="3595" max="3595" width="14.5" style="497" customWidth="1"/>
    <col min="3596" max="3596" width="13.125" style="497" bestFit="1" customWidth="1"/>
    <col min="3597" max="3646" width="10" style="497" customWidth="1"/>
    <col min="3647" max="3828" width="9" style="497"/>
    <col min="3829" max="3829" width="3.625" style="497" customWidth="1"/>
    <col min="3830" max="3830" width="3.75" style="497" customWidth="1"/>
    <col min="3831" max="3831" width="8.625" style="497" customWidth="1"/>
    <col min="3832" max="3832" width="6.5" style="497" customWidth="1"/>
    <col min="3833" max="3833" width="16.25" style="497" customWidth="1"/>
    <col min="3834" max="3835" width="12" style="497" customWidth="1"/>
    <col min="3836" max="3836" width="12.875" style="497" customWidth="1"/>
    <col min="3837" max="3837" width="53.25" style="497" customWidth="1"/>
    <col min="3838" max="3838" width="3" style="497" customWidth="1"/>
    <col min="3839" max="3839" width="12.75" style="497" customWidth="1"/>
    <col min="3840" max="3840" width="15.125" style="497" customWidth="1"/>
    <col min="3841" max="3841" width="18.875" style="497" customWidth="1"/>
    <col min="3842" max="3842" width="18.375" style="497" customWidth="1"/>
    <col min="3843" max="3843" width="16.875" style="497" customWidth="1"/>
    <col min="3844" max="3844" width="11" style="497" customWidth="1"/>
    <col min="3845" max="3845" width="12.25" style="497" customWidth="1"/>
    <col min="3846" max="3846" width="14.125" style="497" customWidth="1"/>
    <col min="3847" max="3847" width="13.5" style="497" customWidth="1"/>
    <col min="3848" max="3848" width="16.125" style="497" customWidth="1"/>
    <col min="3849" max="3849" width="12.875" style="497" customWidth="1"/>
    <col min="3850" max="3850" width="12.625" style="497" customWidth="1"/>
    <col min="3851" max="3851" width="14.5" style="497" customWidth="1"/>
    <col min="3852" max="3852" width="13.125" style="497" bestFit="1" customWidth="1"/>
    <col min="3853" max="3902" width="10" style="497" customWidth="1"/>
    <col min="3903" max="4084" width="9" style="497"/>
    <col min="4085" max="4085" width="3.625" style="497" customWidth="1"/>
    <col min="4086" max="4086" width="3.75" style="497" customWidth="1"/>
    <col min="4087" max="4087" width="8.625" style="497" customWidth="1"/>
    <col min="4088" max="4088" width="6.5" style="497" customWidth="1"/>
    <col min="4089" max="4089" width="16.25" style="497" customWidth="1"/>
    <col min="4090" max="4091" width="12" style="497" customWidth="1"/>
    <col min="4092" max="4092" width="12.875" style="497" customWidth="1"/>
    <col min="4093" max="4093" width="53.25" style="497" customWidth="1"/>
    <col min="4094" max="4094" width="3" style="497" customWidth="1"/>
    <col min="4095" max="4095" width="12.75" style="497" customWidth="1"/>
    <col min="4096" max="4096" width="15.125" style="497" customWidth="1"/>
    <col min="4097" max="4097" width="18.875" style="497" customWidth="1"/>
    <col min="4098" max="4098" width="18.375" style="497" customWidth="1"/>
    <col min="4099" max="4099" width="16.875" style="497" customWidth="1"/>
    <col min="4100" max="4100" width="11" style="497" customWidth="1"/>
    <col min="4101" max="4101" width="12.25" style="497" customWidth="1"/>
    <col min="4102" max="4102" width="14.125" style="497" customWidth="1"/>
    <col min="4103" max="4103" width="13.5" style="497" customWidth="1"/>
    <col min="4104" max="4104" width="16.125" style="497" customWidth="1"/>
    <col min="4105" max="4105" width="12.875" style="497" customWidth="1"/>
    <col min="4106" max="4106" width="12.625" style="497" customWidth="1"/>
    <col min="4107" max="4107" width="14.5" style="497" customWidth="1"/>
    <col min="4108" max="4108" width="13.125" style="497" bestFit="1" customWidth="1"/>
    <col min="4109" max="4158" width="10" style="497" customWidth="1"/>
    <col min="4159" max="4340" width="9" style="497"/>
    <col min="4341" max="4341" width="3.625" style="497" customWidth="1"/>
    <col min="4342" max="4342" width="3.75" style="497" customWidth="1"/>
    <col min="4343" max="4343" width="8.625" style="497" customWidth="1"/>
    <col min="4344" max="4344" width="6.5" style="497" customWidth="1"/>
    <col min="4345" max="4345" width="16.25" style="497" customWidth="1"/>
    <col min="4346" max="4347" width="12" style="497" customWidth="1"/>
    <col min="4348" max="4348" width="12.875" style="497" customWidth="1"/>
    <col min="4349" max="4349" width="53.25" style="497" customWidth="1"/>
    <col min="4350" max="4350" width="3" style="497" customWidth="1"/>
    <col min="4351" max="4351" width="12.75" style="497" customWidth="1"/>
    <col min="4352" max="4352" width="15.125" style="497" customWidth="1"/>
    <col min="4353" max="4353" width="18.875" style="497" customWidth="1"/>
    <col min="4354" max="4354" width="18.375" style="497" customWidth="1"/>
    <col min="4355" max="4355" width="16.875" style="497" customWidth="1"/>
    <col min="4356" max="4356" width="11" style="497" customWidth="1"/>
    <col min="4357" max="4357" width="12.25" style="497" customWidth="1"/>
    <col min="4358" max="4358" width="14.125" style="497" customWidth="1"/>
    <col min="4359" max="4359" width="13.5" style="497" customWidth="1"/>
    <col min="4360" max="4360" width="16.125" style="497" customWidth="1"/>
    <col min="4361" max="4361" width="12.875" style="497" customWidth="1"/>
    <col min="4362" max="4362" width="12.625" style="497" customWidth="1"/>
    <col min="4363" max="4363" width="14.5" style="497" customWidth="1"/>
    <col min="4364" max="4364" width="13.125" style="497" bestFit="1" customWidth="1"/>
    <col min="4365" max="4414" width="10" style="497" customWidth="1"/>
    <col min="4415" max="4596" width="9" style="497"/>
    <col min="4597" max="4597" width="3.625" style="497" customWidth="1"/>
    <col min="4598" max="4598" width="3.75" style="497" customWidth="1"/>
    <col min="4599" max="4599" width="8.625" style="497" customWidth="1"/>
    <col min="4600" max="4600" width="6.5" style="497" customWidth="1"/>
    <col min="4601" max="4601" width="16.25" style="497" customWidth="1"/>
    <col min="4602" max="4603" width="12" style="497" customWidth="1"/>
    <col min="4604" max="4604" width="12.875" style="497" customWidth="1"/>
    <col min="4605" max="4605" width="53.25" style="497" customWidth="1"/>
    <col min="4606" max="4606" width="3" style="497" customWidth="1"/>
    <col min="4607" max="4607" width="12.75" style="497" customWidth="1"/>
    <col min="4608" max="4608" width="15.125" style="497" customWidth="1"/>
    <col min="4609" max="4609" width="18.875" style="497" customWidth="1"/>
    <col min="4610" max="4610" width="18.375" style="497" customWidth="1"/>
    <col min="4611" max="4611" width="16.875" style="497" customWidth="1"/>
    <col min="4612" max="4612" width="11" style="497" customWidth="1"/>
    <col min="4613" max="4613" width="12.25" style="497" customWidth="1"/>
    <col min="4614" max="4614" width="14.125" style="497" customWidth="1"/>
    <col min="4615" max="4615" width="13.5" style="497" customWidth="1"/>
    <col min="4616" max="4616" width="16.125" style="497" customWidth="1"/>
    <col min="4617" max="4617" width="12.875" style="497" customWidth="1"/>
    <col min="4618" max="4618" width="12.625" style="497" customWidth="1"/>
    <col min="4619" max="4619" width="14.5" style="497" customWidth="1"/>
    <col min="4620" max="4620" width="13.125" style="497" bestFit="1" customWidth="1"/>
    <col min="4621" max="4670" width="10" style="497" customWidth="1"/>
    <col min="4671" max="4852" width="9" style="497"/>
    <col min="4853" max="4853" width="3.625" style="497" customWidth="1"/>
    <col min="4854" max="4854" width="3.75" style="497" customWidth="1"/>
    <col min="4855" max="4855" width="8.625" style="497" customWidth="1"/>
    <col min="4856" max="4856" width="6.5" style="497" customWidth="1"/>
    <col min="4857" max="4857" width="16.25" style="497" customWidth="1"/>
    <col min="4858" max="4859" width="12" style="497" customWidth="1"/>
    <col min="4860" max="4860" width="12.875" style="497" customWidth="1"/>
    <col min="4861" max="4861" width="53.25" style="497" customWidth="1"/>
    <col min="4862" max="4862" width="3" style="497" customWidth="1"/>
    <col min="4863" max="4863" width="12.75" style="497" customWidth="1"/>
    <col min="4864" max="4864" width="15.125" style="497" customWidth="1"/>
    <col min="4865" max="4865" width="18.875" style="497" customWidth="1"/>
    <col min="4866" max="4866" width="18.375" style="497" customWidth="1"/>
    <col min="4867" max="4867" width="16.875" style="497" customWidth="1"/>
    <col min="4868" max="4868" width="11" style="497" customWidth="1"/>
    <col min="4869" max="4869" width="12.25" style="497" customWidth="1"/>
    <col min="4870" max="4870" width="14.125" style="497" customWidth="1"/>
    <col min="4871" max="4871" width="13.5" style="497" customWidth="1"/>
    <col min="4872" max="4872" width="16.125" style="497" customWidth="1"/>
    <col min="4873" max="4873" width="12.875" style="497" customWidth="1"/>
    <col min="4874" max="4874" width="12.625" style="497" customWidth="1"/>
    <col min="4875" max="4875" width="14.5" style="497" customWidth="1"/>
    <col min="4876" max="4876" width="13.125" style="497" bestFit="1" customWidth="1"/>
    <col min="4877" max="4926" width="10" style="497" customWidth="1"/>
    <col min="4927" max="5108" width="9" style="497"/>
    <col min="5109" max="5109" width="3.625" style="497" customWidth="1"/>
    <col min="5110" max="5110" width="3.75" style="497" customWidth="1"/>
    <col min="5111" max="5111" width="8.625" style="497" customWidth="1"/>
    <col min="5112" max="5112" width="6.5" style="497" customWidth="1"/>
    <col min="5113" max="5113" width="16.25" style="497" customWidth="1"/>
    <col min="5114" max="5115" width="12" style="497" customWidth="1"/>
    <col min="5116" max="5116" width="12.875" style="497" customWidth="1"/>
    <col min="5117" max="5117" width="53.25" style="497" customWidth="1"/>
    <col min="5118" max="5118" width="3" style="497" customWidth="1"/>
    <col min="5119" max="5119" width="12.75" style="497" customWidth="1"/>
    <col min="5120" max="5120" width="15.125" style="497" customWidth="1"/>
    <col min="5121" max="5121" width="18.875" style="497" customWidth="1"/>
    <col min="5122" max="5122" width="18.375" style="497" customWidth="1"/>
    <col min="5123" max="5123" width="16.875" style="497" customWidth="1"/>
    <col min="5124" max="5124" width="11" style="497" customWidth="1"/>
    <col min="5125" max="5125" width="12.25" style="497" customWidth="1"/>
    <col min="5126" max="5126" width="14.125" style="497" customWidth="1"/>
    <col min="5127" max="5127" width="13.5" style="497" customWidth="1"/>
    <col min="5128" max="5128" width="16.125" style="497" customWidth="1"/>
    <col min="5129" max="5129" width="12.875" style="497" customWidth="1"/>
    <col min="5130" max="5130" width="12.625" style="497" customWidth="1"/>
    <col min="5131" max="5131" width="14.5" style="497" customWidth="1"/>
    <col min="5132" max="5132" width="13.125" style="497" bestFit="1" customWidth="1"/>
    <col min="5133" max="5182" width="10" style="497" customWidth="1"/>
    <col min="5183" max="5364" width="9" style="497"/>
    <col min="5365" max="5365" width="3.625" style="497" customWidth="1"/>
    <col min="5366" max="5366" width="3.75" style="497" customWidth="1"/>
    <col min="5367" max="5367" width="8.625" style="497" customWidth="1"/>
    <col min="5368" max="5368" width="6.5" style="497" customWidth="1"/>
    <col min="5369" max="5369" width="16.25" style="497" customWidth="1"/>
    <col min="5370" max="5371" width="12" style="497" customWidth="1"/>
    <col min="5372" max="5372" width="12.875" style="497" customWidth="1"/>
    <col min="5373" max="5373" width="53.25" style="497" customWidth="1"/>
    <col min="5374" max="5374" width="3" style="497" customWidth="1"/>
    <col min="5375" max="5375" width="12.75" style="497" customWidth="1"/>
    <col min="5376" max="5376" width="15.125" style="497" customWidth="1"/>
    <col min="5377" max="5377" width="18.875" style="497" customWidth="1"/>
    <col min="5378" max="5378" width="18.375" style="497" customWidth="1"/>
    <col min="5379" max="5379" width="16.875" style="497" customWidth="1"/>
    <col min="5380" max="5380" width="11" style="497" customWidth="1"/>
    <col min="5381" max="5381" width="12.25" style="497" customWidth="1"/>
    <col min="5382" max="5382" width="14.125" style="497" customWidth="1"/>
    <col min="5383" max="5383" width="13.5" style="497" customWidth="1"/>
    <col min="5384" max="5384" width="16.125" style="497" customWidth="1"/>
    <col min="5385" max="5385" width="12.875" style="497" customWidth="1"/>
    <col min="5386" max="5386" width="12.625" style="497" customWidth="1"/>
    <col min="5387" max="5387" width="14.5" style="497" customWidth="1"/>
    <col min="5388" max="5388" width="13.125" style="497" bestFit="1" customWidth="1"/>
    <col min="5389" max="5438" width="10" style="497" customWidth="1"/>
    <col min="5439" max="5620" width="9" style="497"/>
    <col min="5621" max="5621" width="3.625" style="497" customWidth="1"/>
    <col min="5622" max="5622" width="3.75" style="497" customWidth="1"/>
    <col min="5623" max="5623" width="8.625" style="497" customWidth="1"/>
    <col min="5624" max="5624" width="6.5" style="497" customWidth="1"/>
    <col min="5625" max="5625" width="16.25" style="497" customWidth="1"/>
    <col min="5626" max="5627" width="12" style="497" customWidth="1"/>
    <col min="5628" max="5628" width="12.875" style="497" customWidth="1"/>
    <col min="5629" max="5629" width="53.25" style="497" customWidth="1"/>
    <col min="5630" max="5630" width="3" style="497" customWidth="1"/>
    <col min="5631" max="5631" width="12.75" style="497" customWidth="1"/>
    <col min="5632" max="5632" width="15.125" style="497" customWidth="1"/>
    <col min="5633" max="5633" width="18.875" style="497" customWidth="1"/>
    <col min="5634" max="5634" width="18.375" style="497" customWidth="1"/>
    <col min="5635" max="5635" width="16.875" style="497" customWidth="1"/>
    <col min="5636" max="5636" width="11" style="497" customWidth="1"/>
    <col min="5637" max="5637" width="12.25" style="497" customWidth="1"/>
    <col min="5638" max="5638" width="14.125" style="497" customWidth="1"/>
    <col min="5639" max="5639" width="13.5" style="497" customWidth="1"/>
    <col min="5640" max="5640" width="16.125" style="497" customWidth="1"/>
    <col min="5641" max="5641" width="12.875" style="497" customWidth="1"/>
    <col min="5642" max="5642" width="12.625" style="497" customWidth="1"/>
    <col min="5643" max="5643" width="14.5" style="497" customWidth="1"/>
    <col min="5644" max="5644" width="13.125" style="497" bestFit="1" customWidth="1"/>
    <col min="5645" max="5694" width="10" style="497" customWidth="1"/>
    <col min="5695" max="5876" width="9" style="497"/>
    <col min="5877" max="5877" width="3.625" style="497" customWidth="1"/>
    <col min="5878" max="5878" width="3.75" style="497" customWidth="1"/>
    <col min="5879" max="5879" width="8.625" style="497" customWidth="1"/>
    <col min="5880" max="5880" width="6.5" style="497" customWidth="1"/>
    <col min="5881" max="5881" width="16.25" style="497" customWidth="1"/>
    <col min="5882" max="5883" width="12" style="497" customWidth="1"/>
    <col min="5884" max="5884" width="12.875" style="497" customWidth="1"/>
    <col min="5885" max="5885" width="53.25" style="497" customWidth="1"/>
    <col min="5886" max="5886" width="3" style="497" customWidth="1"/>
    <col min="5887" max="5887" width="12.75" style="497" customWidth="1"/>
    <col min="5888" max="5888" width="15.125" style="497" customWidth="1"/>
    <col min="5889" max="5889" width="18.875" style="497" customWidth="1"/>
    <col min="5890" max="5890" width="18.375" style="497" customWidth="1"/>
    <col min="5891" max="5891" width="16.875" style="497" customWidth="1"/>
    <col min="5892" max="5892" width="11" style="497" customWidth="1"/>
    <col min="5893" max="5893" width="12.25" style="497" customWidth="1"/>
    <col min="5894" max="5894" width="14.125" style="497" customWidth="1"/>
    <col min="5895" max="5895" width="13.5" style="497" customWidth="1"/>
    <col min="5896" max="5896" width="16.125" style="497" customWidth="1"/>
    <col min="5897" max="5897" width="12.875" style="497" customWidth="1"/>
    <col min="5898" max="5898" width="12.625" style="497" customWidth="1"/>
    <col min="5899" max="5899" width="14.5" style="497" customWidth="1"/>
    <col min="5900" max="5900" width="13.125" style="497" bestFit="1" customWidth="1"/>
    <col min="5901" max="5950" width="10" style="497" customWidth="1"/>
    <col min="5951" max="6132" width="9" style="497"/>
    <col min="6133" max="6133" width="3.625" style="497" customWidth="1"/>
    <col min="6134" max="6134" width="3.75" style="497" customWidth="1"/>
    <col min="6135" max="6135" width="8.625" style="497" customWidth="1"/>
    <col min="6136" max="6136" width="6.5" style="497" customWidth="1"/>
    <col min="6137" max="6137" width="16.25" style="497" customWidth="1"/>
    <col min="6138" max="6139" width="12" style="497" customWidth="1"/>
    <col min="6140" max="6140" width="12.875" style="497" customWidth="1"/>
    <col min="6141" max="6141" width="53.25" style="497" customWidth="1"/>
    <col min="6142" max="6142" width="3" style="497" customWidth="1"/>
    <col min="6143" max="6143" width="12.75" style="497" customWidth="1"/>
    <col min="6144" max="6144" width="15.125" style="497" customWidth="1"/>
    <col min="6145" max="6145" width="18.875" style="497" customWidth="1"/>
    <col min="6146" max="6146" width="18.375" style="497" customWidth="1"/>
    <col min="6147" max="6147" width="16.875" style="497" customWidth="1"/>
    <col min="6148" max="6148" width="11" style="497" customWidth="1"/>
    <col min="6149" max="6149" width="12.25" style="497" customWidth="1"/>
    <col min="6150" max="6150" width="14.125" style="497" customWidth="1"/>
    <col min="6151" max="6151" width="13.5" style="497" customWidth="1"/>
    <col min="6152" max="6152" width="16.125" style="497" customWidth="1"/>
    <col min="6153" max="6153" width="12.875" style="497" customWidth="1"/>
    <col min="6154" max="6154" width="12.625" style="497" customWidth="1"/>
    <col min="6155" max="6155" width="14.5" style="497" customWidth="1"/>
    <col min="6156" max="6156" width="13.125" style="497" bestFit="1" customWidth="1"/>
    <col min="6157" max="6206" width="10" style="497" customWidth="1"/>
    <col min="6207" max="6388" width="9" style="497"/>
    <col min="6389" max="6389" width="3.625" style="497" customWidth="1"/>
    <col min="6390" max="6390" width="3.75" style="497" customWidth="1"/>
    <col min="6391" max="6391" width="8.625" style="497" customWidth="1"/>
    <col min="6392" max="6392" width="6.5" style="497" customWidth="1"/>
    <col min="6393" max="6393" width="16.25" style="497" customWidth="1"/>
    <col min="6394" max="6395" width="12" style="497" customWidth="1"/>
    <col min="6396" max="6396" width="12.875" style="497" customWidth="1"/>
    <col min="6397" max="6397" width="53.25" style="497" customWidth="1"/>
    <col min="6398" max="6398" width="3" style="497" customWidth="1"/>
    <col min="6399" max="6399" width="12.75" style="497" customWidth="1"/>
    <col min="6400" max="6400" width="15.125" style="497" customWidth="1"/>
    <col min="6401" max="6401" width="18.875" style="497" customWidth="1"/>
    <col min="6402" max="6402" width="18.375" style="497" customWidth="1"/>
    <col min="6403" max="6403" width="16.875" style="497" customWidth="1"/>
    <col min="6404" max="6404" width="11" style="497" customWidth="1"/>
    <col min="6405" max="6405" width="12.25" style="497" customWidth="1"/>
    <col min="6406" max="6406" width="14.125" style="497" customWidth="1"/>
    <col min="6407" max="6407" width="13.5" style="497" customWidth="1"/>
    <col min="6408" max="6408" width="16.125" style="497" customWidth="1"/>
    <col min="6409" max="6409" width="12.875" style="497" customWidth="1"/>
    <col min="6410" max="6410" width="12.625" style="497" customWidth="1"/>
    <col min="6411" max="6411" width="14.5" style="497" customWidth="1"/>
    <col min="6412" max="6412" width="13.125" style="497" bestFit="1" customWidth="1"/>
    <col min="6413" max="6462" width="10" style="497" customWidth="1"/>
    <col min="6463" max="6644" width="9" style="497"/>
    <col min="6645" max="6645" width="3.625" style="497" customWidth="1"/>
    <col min="6646" max="6646" width="3.75" style="497" customWidth="1"/>
    <col min="6647" max="6647" width="8.625" style="497" customWidth="1"/>
    <col min="6648" max="6648" width="6.5" style="497" customWidth="1"/>
    <col min="6649" max="6649" width="16.25" style="497" customWidth="1"/>
    <col min="6650" max="6651" width="12" style="497" customWidth="1"/>
    <col min="6652" max="6652" width="12.875" style="497" customWidth="1"/>
    <col min="6653" max="6653" width="53.25" style="497" customWidth="1"/>
    <col min="6654" max="6654" width="3" style="497" customWidth="1"/>
    <col min="6655" max="6655" width="12.75" style="497" customWidth="1"/>
    <col min="6656" max="6656" width="15.125" style="497" customWidth="1"/>
    <col min="6657" max="6657" width="18.875" style="497" customWidth="1"/>
    <col min="6658" max="6658" width="18.375" style="497" customWidth="1"/>
    <col min="6659" max="6659" width="16.875" style="497" customWidth="1"/>
    <col min="6660" max="6660" width="11" style="497" customWidth="1"/>
    <col min="6661" max="6661" width="12.25" style="497" customWidth="1"/>
    <col min="6662" max="6662" width="14.125" style="497" customWidth="1"/>
    <col min="6663" max="6663" width="13.5" style="497" customWidth="1"/>
    <col min="6664" max="6664" width="16.125" style="497" customWidth="1"/>
    <col min="6665" max="6665" width="12.875" style="497" customWidth="1"/>
    <col min="6666" max="6666" width="12.625" style="497" customWidth="1"/>
    <col min="6667" max="6667" width="14.5" style="497" customWidth="1"/>
    <col min="6668" max="6668" width="13.125" style="497" bestFit="1" customWidth="1"/>
    <col min="6669" max="6718" width="10" style="497" customWidth="1"/>
    <col min="6719" max="6900" width="9" style="497"/>
    <col min="6901" max="6901" width="3.625" style="497" customWidth="1"/>
    <col min="6902" max="6902" width="3.75" style="497" customWidth="1"/>
    <col min="6903" max="6903" width="8.625" style="497" customWidth="1"/>
    <col min="6904" max="6904" width="6.5" style="497" customWidth="1"/>
    <col min="6905" max="6905" width="16.25" style="497" customWidth="1"/>
    <col min="6906" max="6907" width="12" style="497" customWidth="1"/>
    <col min="6908" max="6908" width="12.875" style="497" customWidth="1"/>
    <col min="6909" max="6909" width="53.25" style="497" customWidth="1"/>
    <col min="6910" max="6910" width="3" style="497" customWidth="1"/>
    <col min="6911" max="6911" width="12.75" style="497" customWidth="1"/>
    <col min="6912" max="6912" width="15.125" style="497" customWidth="1"/>
    <col min="6913" max="6913" width="18.875" style="497" customWidth="1"/>
    <col min="6914" max="6914" width="18.375" style="497" customWidth="1"/>
    <col min="6915" max="6915" width="16.875" style="497" customWidth="1"/>
    <col min="6916" max="6916" width="11" style="497" customWidth="1"/>
    <col min="6917" max="6917" width="12.25" style="497" customWidth="1"/>
    <col min="6918" max="6918" width="14.125" style="497" customWidth="1"/>
    <col min="6919" max="6919" width="13.5" style="497" customWidth="1"/>
    <col min="6920" max="6920" width="16.125" style="497" customWidth="1"/>
    <col min="6921" max="6921" width="12.875" style="497" customWidth="1"/>
    <col min="6922" max="6922" width="12.625" style="497" customWidth="1"/>
    <col min="6923" max="6923" width="14.5" style="497" customWidth="1"/>
    <col min="6924" max="6924" width="13.125" style="497" bestFit="1" customWidth="1"/>
    <col min="6925" max="6974" width="10" style="497" customWidth="1"/>
    <col min="6975" max="7156" width="9" style="497"/>
    <col min="7157" max="7157" width="3.625" style="497" customWidth="1"/>
    <col min="7158" max="7158" width="3.75" style="497" customWidth="1"/>
    <col min="7159" max="7159" width="8.625" style="497" customWidth="1"/>
    <col min="7160" max="7160" width="6.5" style="497" customWidth="1"/>
    <col min="7161" max="7161" width="16.25" style="497" customWidth="1"/>
    <col min="7162" max="7163" width="12" style="497" customWidth="1"/>
    <col min="7164" max="7164" width="12.875" style="497" customWidth="1"/>
    <col min="7165" max="7165" width="53.25" style="497" customWidth="1"/>
    <col min="7166" max="7166" width="3" style="497" customWidth="1"/>
    <col min="7167" max="7167" width="12.75" style="497" customWidth="1"/>
    <col min="7168" max="7168" width="15.125" style="497" customWidth="1"/>
    <col min="7169" max="7169" width="18.875" style="497" customWidth="1"/>
    <col min="7170" max="7170" width="18.375" style="497" customWidth="1"/>
    <col min="7171" max="7171" width="16.875" style="497" customWidth="1"/>
    <col min="7172" max="7172" width="11" style="497" customWidth="1"/>
    <col min="7173" max="7173" width="12.25" style="497" customWidth="1"/>
    <col min="7174" max="7174" width="14.125" style="497" customWidth="1"/>
    <col min="7175" max="7175" width="13.5" style="497" customWidth="1"/>
    <col min="7176" max="7176" width="16.125" style="497" customWidth="1"/>
    <col min="7177" max="7177" width="12.875" style="497" customWidth="1"/>
    <col min="7178" max="7178" width="12.625" style="497" customWidth="1"/>
    <col min="7179" max="7179" width="14.5" style="497" customWidth="1"/>
    <col min="7180" max="7180" width="13.125" style="497" bestFit="1" customWidth="1"/>
    <col min="7181" max="7230" width="10" style="497" customWidth="1"/>
    <col min="7231" max="7412" width="9" style="497"/>
    <col min="7413" max="7413" width="3.625" style="497" customWidth="1"/>
    <col min="7414" max="7414" width="3.75" style="497" customWidth="1"/>
    <col min="7415" max="7415" width="8.625" style="497" customWidth="1"/>
    <col min="7416" max="7416" width="6.5" style="497" customWidth="1"/>
    <col min="7417" max="7417" width="16.25" style="497" customWidth="1"/>
    <col min="7418" max="7419" width="12" style="497" customWidth="1"/>
    <col min="7420" max="7420" width="12.875" style="497" customWidth="1"/>
    <col min="7421" max="7421" width="53.25" style="497" customWidth="1"/>
    <col min="7422" max="7422" width="3" style="497" customWidth="1"/>
    <col min="7423" max="7423" width="12.75" style="497" customWidth="1"/>
    <col min="7424" max="7424" width="15.125" style="497" customWidth="1"/>
    <col min="7425" max="7425" width="18.875" style="497" customWidth="1"/>
    <col min="7426" max="7426" width="18.375" style="497" customWidth="1"/>
    <col min="7427" max="7427" width="16.875" style="497" customWidth="1"/>
    <col min="7428" max="7428" width="11" style="497" customWidth="1"/>
    <col min="7429" max="7429" width="12.25" style="497" customWidth="1"/>
    <col min="7430" max="7430" width="14.125" style="497" customWidth="1"/>
    <col min="7431" max="7431" width="13.5" style="497" customWidth="1"/>
    <col min="7432" max="7432" width="16.125" style="497" customWidth="1"/>
    <col min="7433" max="7433" width="12.875" style="497" customWidth="1"/>
    <col min="7434" max="7434" width="12.625" style="497" customWidth="1"/>
    <col min="7435" max="7435" width="14.5" style="497" customWidth="1"/>
    <col min="7436" max="7436" width="13.125" style="497" bestFit="1" customWidth="1"/>
    <col min="7437" max="7486" width="10" style="497" customWidth="1"/>
    <col min="7487" max="7668" width="9" style="497"/>
    <col min="7669" max="7669" width="3.625" style="497" customWidth="1"/>
    <col min="7670" max="7670" width="3.75" style="497" customWidth="1"/>
    <col min="7671" max="7671" width="8.625" style="497" customWidth="1"/>
    <col min="7672" max="7672" width="6.5" style="497" customWidth="1"/>
    <col min="7673" max="7673" width="16.25" style="497" customWidth="1"/>
    <col min="7674" max="7675" width="12" style="497" customWidth="1"/>
    <col min="7676" max="7676" width="12.875" style="497" customWidth="1"/>
    <col min="7677" max="7677" width="53.25" style="497" customWidth="1"/>
    <col min="7678" max="7678" width="3" style="497" customWidth="1"/>
    <col min="7679" max="7679" width="12.75" style="497" customWidth="1"/>
    <col min="7680" max="7680" width="15.125" style="497" customWidth="1"/>
    <col min="7681" max="7681" width="18.875" style="497" customWidth="1"/>
    <col min="7682" max="7682" width="18.375" style="497" customWidth="1"/>
    <col min="7683" max="7683" width="16.875" style="497" customWidth="1"/>
    <col min="7684" max="7684" width="11" style="497" customWidth="1"/>
    <col min="7685" max="7685" width="12.25" style="497" customWidth="1"/>
    <col min="7686" max="7686" width="14.125" style="497" customWidth="1"/>
    <col min="7687" max="7687" width="13.5" style="497" customWidth="1"/>
    <col min="7688" max="7688" width="16.125" style="497" customWidth="1"/>
    <col min="7689" max="7689" width="12.875" style="497" customWidth="1"/>
    <col min="7690" max="7690" width="12.625" style="497" customWidth="1"/>
    <col min="7691" max="7691" width="14.5" style="497" customWidth="1"/>
    <col min="7692" max="7692" width="13.125" style="497" bestFit="1" customWidth="1"/>
    <col min="7693" max="7742" width="10" style="497" customWidth="1"/>
    <col min="7743" max="7924" width="9" style="497"/>
    <col min="7925" max="7925" width="3.625" style="497" customWidth="1"/>
    <col min="7926" max="7926" width="3.75" style="497" customWidth="1"/>
    <col min="7927" max="7927" width="8.625" style="497" customWidth="1"/>
    <col min="7928" max="7928" width="6.5" style="497" customWidth="1"/>
    <col min="7929" max="7929" width="16.25" style="497" customWidth="1"/>
    <col min="7930" max="7931" width="12" style="497" customWidth="1"/>
    <col min="7932" max="7932" width="12.875" style="497" customWidth="1"/>
    <col min="7933" max="7933" width="53.25" style="497" customWidth="1"/>
    <col min="7934" max="7934" width="3" style="497" customWidth="1"/>
    <col min="7935" max="7935" width="12.75" style="497" customWidth="1"/>
    <col min="7936" max="7936" width="15.125" style="497" customWidth="1"/>
    <col min="7937" max="7937" width="18.875" style="497" customWidth="1"/>
    <col min="7938" max="7938" width="18.375" style="497" customWidth="1"/>
    <col min="7939" max="7939" width="16.875" style="497" customWidth="1"/>
    <col min="7940" max="7940" width="11" style="497" customWidth="1"/>
    <col min="7941" max="7941" width="12.25" style="497" customWidth="1"/>
    <col min="7942" max="7942" width="14.125" style="497" customWidth="1"/>
    <col min="7943" max="7943" width="13.5" style="497" customWidth="1"/>
    <col min="7944" max="7944" width="16.125" style="497" customWidth="1"/>
    <col min="7945" max="7945" width="12.875" style="497" customWidth="1"/>
    <col min="7946" max="7946" width="12.625" style="497" customWidth="1"/>
    <col min="7947" max="7947" width="14.5" style="497" customWidth="1"/>
    <col min="7948" max="7948" width="13.125" style="497" bestFit="1" customWidth="1"/>
    <col min="7949" max="7998" width="10" style="497" customWidth="1"/>
    <col min="7999" max="8180" width="9" style="497"/>
    <col min="8181" max="8181" width="3.625" style="497" customWidth="1"/>
    <col min="8182" max="8182" width="3.75" style="497" customWidth="1"/>
    <col min="8183" max="8183" width="8.625" style="497" customWidth="1"/>
    <col min="8184" max="8184" width="6.5" style="497" customWidth="1"/>
    <col min="8185" max="8185" width="16.25" style="497" customWidth="1"/>
    <col min="8186" max="8187" width="12" style="497" customWidth="1"/>
    <col min="8188" max="8188" width="12.875" style="497" customWidth="1"/>
    <col min="8189" max="8189" width="53.25" style="497" customWidth="1"/>
    <col min="8190" max="8190" width="3" style="497" customWidth="1"/>
    <col min="8191" max="8191" width="12.75" style="497" customWidth="1"/>
    <col min="8192" max="8192" width="15.125" style="497" customWidth="1"/>
    <col min="8193" max="8193" width="18.875" style="497" customWidth="1"/>
    <col min="8194" max="8194" width="18.375" style="497" customWidth="1"/>
    <col min="8195" max="8195" width="16.875" style="497" customWidth="1"/>
    <col min="8196" max="8196" width="11" style="497" customWidth="1"/>
    <col min="8197" max="8197" width="12.25" style="497" customWidth="1"/>
    <col min="8198" max="8198" width="14.125" style="497" customWidth="1"/>
    <col min="8199" max="8199" width="13.5" style="497" customWidth="1"/>
    <col min="8200" max="8200" width="16.125" style="497" customWidth="1"/>
    <col min="8201" max="8201" width="12.875" style="497" customWidth="1"/>
    <col min="8202" max="8202" width="12.625" style="497" customWidth="1"/>
    <col min="8203" max="8203" width="14.5" style="497" customWidth="1"/>
    <col min="8204" max="8204" width="13.125" style="497" bestFit="1" customWidth="1"/>
    <col min="8205" max="8254" width="10" style="497" customWidth="1"/>
    <col min="8255" max="8436" width="9" style="497"/>
    <col min="8437" max="8437" width="3.625" style="497" customWidth="1"/>
    <col min="8438" max="8438" width="3.75" style="497" customWidth="1"/>
    <col min="8439" max="8439" width="8.625" style="497" customWidth="1"/>
    <col min="8440" max="8440" width="6.5" style="497" customWidth="1"/>
    <col min="8441" max="8441" width="16.25" style="497" customWidth="1"/>
    <col min="8442" max="8443" width="12" style="497" customWidth="1"/>
    <col min="8444" max="8444" width="12.875" style="497" customWidth="1"/>
    <col min="8445" max="8445" width="53.25" style="497" customWidth="1"/>
    <col min="8446" max="8446" width="3" style="497" customWidth="1"/>
    <col min="8447" max="8447" width="12.75" style="497" customWidth="1"/>
    <col min="8448" max="8448" width="15.125" style="497" customWidth="1"/>
    <col min="8449" max="8449" width="18.875" style="497" customWidth="1"/>
    <col min="8450" max="8450" width="18.375" style="497" customWidth="1"/>
    <col min="8451" max="8451" width="16.875" style="497" customWidth="1"/>
    <col min="8452" max="8452" width="11" style="497" customWidth="1"/>
    <col min="8453" max="8453" width="12.25" style="497" customWidth="1"/>
    <col min="8454" max="8454" width="14.125" style="497" customWidth="1"/>
    <col min="8455" max="8455" width="13.5" style="497" customWidth="1"/>
    <col min="8456" max="8456" width="16.125" style="497" customWidth="1"/>
    <col min="8457" max="8457" width="12.875" style="497" customWidth="1"/>
    <col min="8458" max="8458" width="12.625" style="497" customWidth="1"/>
    <col min="8459" max="8459" width="14.5" style="497" customWidth="1"/>
    <col min="8460" max="8460" width="13.125" style="497" bestFit="1" customWidth="1"/>
    <col min="8461" max="8510" width="10" style="497" customWidth="1"/>
    <col min="8511" max="8692" width="9" style="497"/>
    <col min="8693" max="8693" width="3.625" style="497" customWidth="1"/>
    <col min="8694" max="8694" width="3.75" style="497" customWidth="1"/>
    <col min="8695" max="8695" width="8.625" style="497" customWidth="1"/>
    <col min="8696" max="8696" width="6.5" style="497" customWidth="1"/>
    <col min="8697" max="8697" width="16.25" style="497" customWidth="1"/>
    <col min="8698" max="8699" width="12" style="497" customWidth="1"/>
    <col min="8700" max="8700" width="12.875" style="497" customWidth="1"/>
    <col min="8701" max="8701" width="53.25" style="497" customWidth="1"/>
    <col min="8702" max="8702" width="3" style="497" customWidth="1"/>
    <col min="8703" max="8703" width="12.75" style="497" customWidth="1"/>
    <col min="8704" max="8704" width="15.125" style="497" customWidth="1"/>
    <col min="8705" max="8705" width="18.875" style="497" customWidth="1"/>
    <col min="8706" max="8706" width="18.375" style="497" customWidth="1"/>
    <col min="8707" max="8707" width="16.875" style="497" customWidth="1"/>
    <col min="8708" max="8708" width="11" style="497" customWidth="1"/>
    <col min="8709" max="8709" width="12.25" style="497" customWidth="1"/>
    <col min="8710" max="8710" width="14.125" style="497" customWidth="1"/>
    <col min="8711" max="8711" width="13.5" style="497" customWidth="1"/>
    <col min="8712" max="8712" width="16.125" style="497" customWidth="1"/>
    <col min="8713" max="8713" width="12.875" style="497" customWidth="1"/>
    <col min="8714" max="8714" width="12.625" style="497" customWidth="1"/>
    <col min="8715" max="8715" width="14.5" style="497" customWidth="1"/>
    <col min="8716" max="8716" width="13.125" style="497" bestFit="1" customWidth="1"/>
    <col min="8717" max="8766" width="10" style="497" customWidth="1"/>
    <col min="8767" max="8948" width="9" style="497"/>
    <col min="8949" max="8949" width="3.625" style="497" customWidth="1"/>
    <col min="8950" max="8950" width="3.75" style="497" customWidth="1"/>
    <col min="8951" max="8951" width="8.625" style="497" customWidth="1"/>
    <col min="8952" max="8952" width="6.5" style="497" customWidth="1"/>
    <col min="8953" max="8953" width="16.25" style="497" customWidth="1"/>
    <col min="8954" max="8955" width="12" style="497" customWidth="1"/>
    <col min="8956" max="8956" width="12.875" style="497" customWidth="1"/>
    <col min="8957" max="8957" width="53.25" style="497" customWidth="1"/>
    <col min="8958" max="8958" width="3" style="497" customWidth="1"/>
    <col min="8959" max="8959" width="12.75" style="497" customWidth="1"/>
    <col min="8960" max="8960" width="15.125" style="497" customWidth="1"/>
    <col min="8961" max="8961" width="18.875" style="497" customWidth="1"/>
    <col min="8962" max="8962" width="18.375" style="497" customWidth="1"/>
    <col min="8963" max="8963" width="16.875" style="497" customWidth="1"/>
    <col min="8964" max="8964" width="11" style="497" customWidth="1"/>
    <col min="8965" max="8965" width="12.25" style="497" customWidth="1"/>
    <col min="8966" max="8966" width="14.125" style="497" customWidth="1"/>
    <col min="8967" max="8967" width="13.5" style="497" customWidth="1"/>
    <col min="8968" max="8968" width="16.125" style="497" customWidth="1"/>
    <col min="8969" max="8969" width="12.875" style="497" customWidth="1"/>
    <col min="8970" max="8970" width="12.625" style="497" customWidth="1"/>
    <col min="8971" max="8971" width="14.5" style="497" customWidth="1"/>
    <col min="8972" max="8972" width="13.125" style="497" bestFit="1" customWidth="1"/>
    <col min="8973" max="9022" width="10" style="497" customWidth="1"/>
    <col min="9023" max="9204" width="9" style="497"/>
    <col min="9205" max="9205" width="3.625" style="497" customWidth="1"/>
    <col min="9206" max="9206" width="3.75" style="497" customWidth="1"/>
    <col min="9207" max="9207" width="8.625" style="497" customWidth="1"/>
    <col min="9208" max="9208" width="6.5" style="497" customWidth="1"/>
    <col min="9209" max="9209" width="16.25" style="497" customWidth="1"/>
    <col min="9210" max="9211" width="12" style="497" customWidth="1"/>
    <col min="9212" max="9212" width="12.875" style="497" customWidth="1"/>
    <col min="9213" max="9213" width="53.25" style="497" customWidth="1"/>
    <col min="9214" max="9214" width="3" style="497" customWidth="1"/>
    <col min="9215" max="9215" width="12.75" style="497" customWidth="1"/>
    <col min="9216" max="9216" width="15.125" style="497" customWidth="1"/>
    <col min="9217" max="9217" width="18.875" style="497" customWidth="1"/>
    <col min="9218" max="9218" width="18.375" style="497" customWidth="1"/>
    <col min="9219" max="9219" width="16.875" style="497" customWidth="1"/>
    <col min="9220" max="9220" width="11" style="497" customWidth="1"/>
    <col min="9221" max="9221" width="12.25" style="497" customWidth="1"/>
    <col min="9222" max="9222" width="14.125" style="497" customWidth="1"/>
    <col min="9223" max="9223" width="13.5" style="497" customWidth="1"/>
    <col min="9224" max="9224" width="16.125" style="497" customWidth="1"/>
    <col min="9225" max="9225" width="12.875" style="497" customWidth="1"/>
    <col min="9226" max="9226" width="12.625" style="497" customWidth="1"/>
    <col min="9227" max="9227" width="14.5" style="497" customWidth="1"/>
    <col min="9228" max="9228" width="13.125" style="497" bestFit="1" customWidth="1"/>
    <col min="9229" max="9278" width="10" style="497" customWidth="1"/>
    <col min="9279" max="9460" width="9" style="497"/>
    <col min="9461" max="9461" width="3.625" style="497" customWidth="1"/>
    <col min="9462" max="9462" width="3.75" style="497" customWidth="1"/>
    <col min="9463" max="9463" width="8.625" style="497" customWidth="1"/>
    <col min="9464" max="9464" width="6.5" style="497" customWidth="1"/>
    <col min="9465" max="9465" width="16.25" style="497" customWidth="1"/>
    <col min="9466" max="9467" width="12" style="497" customWidth="1"/>
    <col min="9468" max="9468" width="12.875" style="497" customWidth="1"/>
    <col min="9469" max="9469" width="53.25" style="497" customWidth="1"/>
    <col min="9470" max="9470" width="3" style="497" customWidth="1"/>
    <col min="9471" max="9471" width="12.75" style="497" customWidth="1"/>
    <col min="9472" max="9472" width="15.125" style="497" customWidth="1"/>
    <col min="9473" max="9473" width="18.875" style="497" customWidth="1"/>
    <col min="9474" max="9474" width="18.375" style="497" customWidth="1"/>
    <col min="9475" max="9475" width="16.875" style="497" customWidth="1"/>
    <col min="9476" max="9476" width="11" style="497" customWidth="1"/>
    <col min="9477" max="9477" width="12.25" style="497" customWidth="1"/>
    <col min="9478" max="9478" width="14.125" style="497" customWidth="1"/>
    <col min="9479" max="9479" width="13.5" style="497" customWidth="1"/>
    <col min="9480" max="9480" width="16.125" style="497" customWidth="1"/>
    <col min="9481" max="9481" width="12.875" style="497" customWidth="1"/>
    <col min="9482" max="9482" width="12.625" style="497" customWidth="1"/>
    <col min="9483" max="9483" width="14.5" style="497" customWidth="1"/>
    <col min="9484" max="9484" width="13.125" style="497" bestFit="1" customWidth="1"/>
    <col min="9485" max="9534" width="10" style="497" customWidth="1"/>
    <col min="9535" max="9716" width="9" style="497"/>
    <col min="9717" max="9717" width="3.625" style="497" customWidth="1"/>
    <col min="9718" max="9718" width="3.75" style="497" customWidth="1"/>
    <col min="9719" max="9719" width="8.625" style="497" customWidth="1"/>
    <col min="9720" max="9720" width="6.5" style="497" customWidth="1"/>
    <col min="9721" max="9721" width="16.25" style="497" customWidth="1"/>
    <col min="9722" max="9723" width="12" style="497" customWidth="1"/>
    <col min="9724" max="9724" width="12.875" style="497" customWidth="1"/>
    <col min="9725" max="9725" width="53.25" style="497" customWidth="1"/>
    <col min="9726" max="9726" width="3" style="497" customWidth="1"/>
    <col min="9727" max="9727" width="12.75" style="497" customWidth="1"/>
    <col min="9728" max="9728" width="15.125" style="497" customWidth="1"/>
    <col min="9729" max="9729" width="18.875" style="497" customWidth="1"/>
    <col min="9730" max="9730" width="18.375" style="497" customWidth="1"/>
    <col min="9731" max="9731" width="16.875" style="497" customWidth="1"/>
    <col min="9732" max="9732" width="11" style="497" customWidth="1"/>
    <col min="9733" max="9733" width="12.25" style="497" customWidth="1"/>
    <col min="9734" max="9734" width="14.125" style="497" customWidth="1"/>
    <col min="9735" max="9735" width="13.5" style="497" customWidth="1"/>
    <col min="9736" max="9736" width="16.125" style="497" customWidth="1"/>
    <col min="9737" max="9737" width="12.875" style="497" customWidth="1"/>
    <col min="9738" max="9738" width="12.625" style="497" customWidth="1"/>
    <col min="9739" max="9739" width="14.5" style="497" customWidth="1"/>
    <col min="9740" max="9740" width="13.125" style="497" bestFit="1" customWidth="1"/>
    <col min="9741" max="9790" width="10" style="497" customWidth="1"/>
    <col min="9791" max="9972" width="9" style="497"/>
    <col min="9973" max="9973" width="3.625" style="497" customWidth="1"/>
    <col min="9974" max="9974" width="3.75" style="497" customWidth="1"/>
    <col min="9975" max="9975" width="8.625" style="497" customWidth="1"/>
    <col min="9976" max="9976" width="6.5" style="497" customWidth="1"/>
    <col min="9977" max="9977" width="16.25" style="497" customWidth="1"/>
    <col min="9978" max="9979" width="12" style="497" customWidth="1"/>
    <col min="9980" max="9980" width="12.875" style="497" customWidth="1"/>
    <col min="9981" max="9981" width="53.25" style="497" customWidth="1"/>
    <col min="9982" max="9982" width="3" style="497" customWidth="1"/>
    <col min="9983" max="9983" width="12.75" style="497" customWidth="1"/>
    <col min="9984" max="9984" width="15.125" style="497" customWidth="1"/>
    <col min="9985" max="9985" width="18.875" style="497" customWidth="1"/>
    <col min="9986" max="9986" width="18.375" style="497" customWidth="1"/>
    <col min="9987" max="9987" width="16.875" style="497" customWidth="1"/>
    <col min="9988" max="9988" width="11" style="497" customWidth="1"/>
    <col min="9989" max="9989" width="12.25" style="497" customWidth="1"/>
    <col min="9990" max="9990" width="14.125" style="497" customWidth="1"/>
    <col min="9991" max="9991" width="13.5" style="497" customWidth="1"/>
    <col min="9992" max="9992" width="16.125" style="497" customWidth="1"/>
    <col min="9993" max="9993" width="12.875" style="497" customWidth="1"/>
    <col min="9994" max="9994" width="12.625" style="497" customWidth="1"/>
    <col min="9995" max="9995" width="14.5" style="497" customWidth="1"/>
    <col min="9996" max="9996" width="13.125" style="497" bestFit="1" customWidth="1"/>
    <col min="9997" max="10046" width="10" style="497" customWidth="1"/>
    <col min="10047" max="10228" width="9" style="497"/>
    <col min="10229" max="10229" width="3.625" style="497" customWidth="1"/>
    <col min="10230" max="10230" width="3.75" style="497" customWidth="1"/>
    <col min="10231" max="10231" width="8.625" style="497" customWidth="1"/>
    <col min="10232" max="10232" width="6.5" style="497" customWidth="1"/>
    <col min="10233" max="10233" width="16.25" style="497" customWidth="1"/>
    <col min="10234" max="10235" width="12" style="497" customWidth="1"/>
    <col min="10236" max="10236" width="12.875" style="497" customWidth="1"/>
    <col min="10237" max="10237" width="53.25" style="497" customWidth="1"/>
    <col min="10238" max="10238" width="3" style="497" customWidth="1"/>
    <col min="10239" max="10239" width="12.75" style="497" customWidth="1"/>
    <col min="10240" max="10240" width="15.125" style="497" customWidth="1"/>
    <col min="10241" max="10241" width="18.875" style="497" customWidth="1"/>
    <col min="10242" max="10242" width="18.375" style="497" customWidth="1"/>
    <col min="10243" max="10243" width="16.875" style="497" customWidth="1"/>
    <col min="10244" max="10244" width="11" style="497" customWidth="1"/>
    <col min="10245" max="10245" width="12.25" style="497" customWidth="1"/>
    <col min="10246" max="10246" width="14.125" style="497" customWidth="1"/>
    <col min="10247" max="10247" width="13.5" style="497" customWidth="1"/>
    <col min="10248" max="10248" width="16.125" style="497" customWidth="1"/>
    <col min="10249" max="10249" width="12.875" style="497" customWidth="1"/>
    <col min="10250" max="10250" width="12.625" style="497" customWidth="1"/>
    <col min="10251" max="10251" width="14.5" style="497" customWidth="1"/>
    <col min="10252" max="10252" width="13.125" style="497" bestFit="1" customWidth="1"/>
    <col min="10253" max="10302" width="10" style="497" customWidth="1"/>
    <col min="10303" max="10484" width="9" style="497"/>
    <col min="10485" max="10485" width="3.625" style="497" customWidth="1"/>
    <col min="10486" max="10486" width="3.75" style="497" customWidth="1"/>
    <col min="10487" max="10487" width="8.625" style="497" customWidth="1"/>
    <col min="10488" max="10488" width="6.5" style="497" customWidth="1"/>
    <col min="10489" max="10489" width="16.25" style="497" customWidth="1"/>
    <col min="10490" max="10491" width="12" style="497" customWidth="1"/>
    <col min="10492" max="10492" width="12.875" style="497" customWidth="1"/>
    <col min="10493" max="10493" width="53.25" style="497" customWidth="1"/>
    <col min="10494" max="10494" width="3" style="497" customWidth="1"/>
    <col min="10495" max="10495" width="12.75" style="497" customWidth="1"/>
    <col min="10496" max="10496" width="15.125" style="497" customWidth="1"/>
    <col min="10497" max="10497" width="18.875" style="497" customWidth="1"/>
    <col min="10498" max="10498" width="18.375" style="497" customWidth="1"/>
    <col min="10499" max="10499" width="16.875" style="497" customWidth="1"/>
    <col min="10500" max="10500" width="11" style="497" customWidth="1"/>
    <col min="10501" max="10501" width="12.25" style="497" customWidth="1"/>
    <col min="10502" max="10502" width="14.125" style="497" customWidth="1"/>
    <col min="10503" max="10503" width="13.5" style="497" customWidth="1"/>
    <col min="10504" max="10504" width="16.125" style="497" customWidth="1"/>
    <col min="10505" max="10505" width="12.875" style="497" customWidth="1"/>
    <col min="10506" max="10506" width="12.625" style="497" customWidth="1"/>
    <col min="10507" max="10507" width="14.5" style="497" customWidth="1"/>
    <col min="10508" max="10508" width="13.125" style="497" bestFit="1" customWidth="1"/>
    <col min="10509" max="10558" width="10" style="497" customWidth="1"/>
    <col min="10559" max="10740" width="9" style="497"/>
    <col min="10741" max="10741" width="3.625" style="497" customWidth="1"/>
    <col min="10742" max="10742" width="3.75" style="497" customWidth="1"/>
    <col min="10743" max="10743" width="8.625" style="497" customWidth="1"/>
    <col min="10744" max="10744" width="6.5" style="497" customWidth="1"/>
    <col min="10745" max="10745" width="16.25" style="497" customWidth="1"/>
    <col min="10746" max="10747" width="12" style="497" customWidth="1"/>
    <col min="10748" max="10748" width="12.875" style="497" customWidth="1"/>
    <col min="10749" max="10749" width="53.25" style="497" customWidth="1"/>
    <col min="10750" max="10750" width="3" style="497" customWidth="1"/>
    <col min="10751" max="10751" width="12.75" style="497" customWidth="1"/>
    <col min="10752" max="10752" width="15.125" style="497" customWidth="1"/>
    <col min="10753" max="10753" width="18.875" style="497" customWidth="1"/>
    <col min="10754" max="10754" width="18.375" style="497" customWidth="1"/>
    <col min="10755" max="10755" width="16.875" style="497" customWidth="1"/>
    <col min="10756" max="10756" width="11" style="497" customWidth="1"/>
    <col min="10757" max="10757" width="12.25" style="497" customWidth="1"/>
    <col min="10758" max="10758" width="14.125" style="497" customWidth="1"/>
    <col min="10759" max="10759" width="13.5" style="497" customWidth="1"/>
    <col min="10760" max="10760" width="16.125" style="497" customWidth="1"/>
    <col min="10761" max="10761" width="12.875" style="497" customWidth="1"/>
    <col min="10762" max="10762" width="12.625" style="497" customWidth="1"/>
    <col min="10763" max="10763" width="14.5" style="497" customWidth="1"/>
    <col min="10764" max="10764" width="13.125" style="497" bestFit="1" customWidth="1"/>
    <col min="10765" max="10814" width="10" style="497" customWidth="1"/>
    <col min="10815" max="10996" width="9" style="497"/>
    <col min="10997" max="10997" width="3.625" style="497" customWidth="1"/>
    <col min="10998" max="10998" width="3.75" style="497" customWidth="1"/>
    <col min="10999" max="10999" width="8.625" style="497" customWidth="1"/>
    <col min="11000" max="11000" width="6.5" style="497" customWidth="1"/>
    <col min="11001" max="11001" width="16.25" style="497" customWidth="1"/>
    <col min="11002" max="11003" width="12" style="497" customWidth="1"/>
    <col min="11004" max="11004" width="12.875" style="497" customWidth="1"/>
    <col min="11005" max="11005" width="53.25" style="497" customWidth="1"/>
    <col min="11006" max="11006" width="3" style="497" customWidth="1"/>
    <col min="11007" max="11007" width="12.75" style="497" customWidth="1"/>
    <col min="11008" max="11008" width="15.125" style="497" customWidth="1"/>
    <col min="11009" max="11009" width="18.875" style="497" customWidth="1"/>
    <col min="11010" max="11010" width="18.375" style="497" customWidth="1"/>
    <col min="11011" max="11011" width="16.875" style="497" customWidth="1"/>
    <col min="11012" max="11012" width="11" style="497" customWidth="1"/>
    <col min="11013" max="11013" width="12.25" style="497" customWidth="1"/>
    <col min="11014" max="11014" width="14.125" style="497" customWidth="1"/>
    <col min="11015" max="11015" width="13.5" style="497" customWidth="1"/>
    <col min="11016" max="11016" width="16.125" style="497" customWidth="1"/>
    <col min="11017" max="11017" width="12.875" style="497" customWidth="1"/>
    <col min="11018" max="11018" width="12.625" style="497" customWidth="1"/>
    <col min="11019" max="11019" width="14.5" style="497" customWidth="1"/>
    <col min="11020" max="11020" width="13.125" style="497" bestFit="1" customWidth="1"/>
    <col min="11021" max="11070" width="10" style="497" customWidth="1"/>
    <col min="11071" max="11252" width="9" style="497"/>
    <col min="11253" max="11253" width="3.625" style="497" customWidth="1"/>
    <col min="11254" max="11254" width="3.75" style="497" customWidth="1"/>
    <col min="11255" max="11255" width="8.625" style="497" customWidth="1"/>
    <col min="11256" max="11256" width="6.5" style="497" customWidth="1"/>
    <col min="11257" max="11257" width="16.25" style="497" customWidth="1"/>
    <col min="11258" max="11259" width="12" style="497" customWidth="1"/>
    <col min="11260" max="11260" width="12.875" style="497" customWidth="1"/>
    <col min="11261" max="11261" width="53.25" style="497" customWidth="1"/>
    <col min="11262" max="11262" width="3" style="497" customWidth="1"/>
    <col min="11263" max="11263" width="12.75" style="497" customWidth="1"/>
    <col min="11264" max="11264" width="15.125" style="497" customWidth="1"/>
    <col min="11265" max="11265" width="18.875" style="497" customWidth="1"/>
    <col min="11266" max="11266" width="18.375" style="497" customWidth="1"/>
    <col min="11267" max="11267" width="16.875" style="497" customWidth="1"/>
    <col min="11268" max="11268" width="11" style="497" customWidth="1"/>
    <col min="11269" max="11269" width="12.25" style="497" customWidth="1"/>
    <col min="11270" max="11270" width="14.125" style="497" customWidth="1"/>
    <col min="11271" max="11271" width="13.5" style="497" customWidth="1"/>
    <col min="11272" max="11272" width="16.125" style="497" customWidth="1"/>
    <col min="11273" max="11273" width="12.875" style="497" customWidth="1"/>
    <col min="11274" max="11274" width="12.625" style="497" customWidth="1"/>
    <col min="11275" max="11275" width="14.5" style="497" customWidth="1"/>
    <col min="11276" max="11276" width="13.125" style="497" bestFit="1" customWidth="1"/>
    <col min="11277" max="11326" width="10" style="497" customWidth="1"/>
    <col min="11327" max="11508" width="9" style="497"/>
    <col min="11509" max="11509" width="3.625" style="497" customWidth="1"/>
    <col min="11510" max="11510" width="3.75" style="497" customWidth="1"/>
    <col min="11511" max="11511" width="8.625" style="497" customWidth="1"/>
    <col min="11512" max="11512" width="6.5" style="497" customWidth="1"/>
    <col min="11513" max="11513" width="16.25" style="497" customWidth="1"/>
    <col min="11514" max="11515" width="12" style="497" customWidth="1"/>
    <col min="11516" max="11516" width="12.875" style="497" customWidth="1"/>
    <col min="11517" max="11517" width="53.25" style="497" customWidth="1"/>
    <col min="11518" max="11518" width="3" style="497" customWidth="1"/>
    <col min="11519" max="11519" width="12.75" style="497" customWidth="1"/>
    <col min="11520" max="11520" width="15.125" style="497" customWidth="1"/>
    <col min="11521" max="11521" width="18.875" style="497" customWidth="1"/>
    <col min="11522" max="11522" width="18.375" style="497" customWidth="1"/>
    <col min="11523" max="11523" width="16.875" style="497" customWidth="1"/>
    <col min="11524" max="11524" width="11" style="497" customWidth="1"/>
    <col min="11525" max="11525" width="12.25" style="497" customWidth="1"/>
    <col min="11526" max="11526" width="14.125" style="497" customWidth="1"/>
    <col min="11527" max="11527" width="13.5" style="497" customWidth="1"/>
    <col min="11528" max="11528" width="16.125" style="497" customWidth="1"/>
    <col min="11529" max="11529" width="12.875" style="497" customWidth="1"/>
    <col min="11530" max="11530" width="12.625" style="497" customWidth="1"/>
    <col min="11531" max="11531" width="14.5" style="497" customWidth="1"/>
    <col min="11532" max="11532" width="13.125" style="497" bestFit="1" customWidth="1"/>
    <col min="11533" max="11582" width="10" style="497" customWidth="1"/>
    <col min="11583" max="11764" width="9" style="497"/>
    <col min="11765" max="11765" width="3.625" style="497" customWidth="1"/>
    <col min="11766" max="11766" width="3.75" style="497" customWidth="1"/>
    <col min="11767" max="11767" width="8.625" style="497" customWidth="1"/>
    <col min="11768" max="11768" width="6.5" style="497" customWidth="1"/>
    <col min="11769" max="11769" width="16.25" style="497" customWidth="1"/>
    <col min="11770" max="11771" width="12" style="497" customWidth="1"/>
    <col min="11772" max="11772" width="12.875" style="497" customWidth="1"/>
    <col min="11773" max="11773" width="53.25" style="497" customWidth="1"/>
    <col min="11774" max="11774" width="3" style="497" customWidth="1"/>
    <col min="11775" max="11775" width="12.75" style="497" customWidth="1"/>
    <col min="11776" max="11776" width="15.125" style="497" customWidth="1"/>
    <col min="11777" max="11777" width="18.875" style="497" customWidth="1"/>
    <col min="11778" max="11778" width="18.375" style="497" customWidth="1"/>
    <col min="11779" max="11779" width="16.875" style="497" customWidth="1"/>
    <col min="11780" max="11780" width="11" style="497" customWidth="1"/>
    <col min="11781" max="11781" width="12.25" style="497" customWidth="1"/>
    <col min="11782" max="11782" width="14.125" style="497" customWidth="1"/>
    <col min="11783" max="11783" width="13.5" style="497" customWidth="1"/>
    <col min="11784" max="11784" width="16.125" style="497" customWidth="1"/>
    <col min="11785" max="11785" width="12.875" style="497" customWidth="1"/>
    <col min="11786" max="11786" width="12.625" style="497" customWidth="1"/>
    <col min="11787" max="11787" width="14.5" style="497" customWidth="1"/>
    <col min="11788" max="11788" width="13.125" style="497" bestFit="1" customWidth="1"/>
    <col min="11789" max="11838" width="10" style="497" customWidth="1"/>
    <col min="11839" max="12020" width="9" style="497"/>
    <col min="12021" max="12021" width="3.625" style="497" customWidth="1"/>
    <col min="12022" max="12022" width="3.75" style="497" customWidth="1"/>
    <col min="12023" max="12023" width="8.625" style="497" customWidth="1"/>
    <col min="12024" max="12024" width="6.5" style="497" customWidth="1"/>
    <col min="12025" max="12025" width="16.25" style="497" customWidth="1"/>
    <col min="12026" max="12027" width="12" style="497" customWidth="1"/>
    <col min="12028" max="12028" width="12.875" style="497" customWidth="1"/>
    <col min="12029" max="12029" width="53.25" style="497" customWidth="1"/>
    <col min="12030" max="12030" width="3" style="497" customWidth="1"/>
    <col min="12031" max="12031" width="12.75" style="497" customWidth="1"/>
    <col min="12032" max="12032" width="15.125" style="497" customWidth="1"/>
    <col min="12033" max="12033" width="18.875" style="497" customWidth="1"/>
    <col min="12034" max="12034" width="18.375" style="497" customWidth="1"/>
    <col min="12035" max="12035" width="16.875" style="497" customWidth="1"/>
    <col min="12036" max="12036" width="11" style="497" customWidth="1"/>
    <col min="12037" max="12037" width="12.25" style="497" customWidth="1"/>
    <col min="12038" max="12038" width="14.125" style="497" customWidth="1"/>
    <col min="12039" max="12039" width="13.5" style="497" customWidth="1"/>
    <col min="12040" max="12040" width="16.125" style="497" customWidth="1"/>
    <col min="12041" max="12041" width="12.875" style="497" customWidth="1"/>
    <col min="12042" max="12042" width="12.625" style="497" customWidth="1"/>
    <col min="12043" max="12043" width="14.5" style="497" customWidth="1"/>
    <col min="12044" max="12044" width="13.125" style="497" bestFit="1" customWidth="1"/>
    <col min="12045" max="12094" width="10" style="497" customWidth="1"/>
    <col min="12095" max="12276" width="9" style="497"/>
    <col min="12277" max="12277" width="3.625" style="497" customWidth="1"/>
    <col min="12278" max="12278" width="3.75" style="497" customWidth="1"/>
    <col min="12279" max="12279" width="8.625" style="497" customWidth="1"/>
    <col min="12280" max="12280" width="6.5" style="497" customWidth="1"/>
    <col min="12281" max="12281" width="16.25" style="497" customWidth="1"/>
    <col min="12282" max="12283" width="12" style="497" customWidth="1"/>
    <col min="12284" max="12284" width="12.875" style="497" customWidth="1"/>
    <col min="12285" max="12285" width="53.25" style="497" customWidth="1"/>
    <col min="12286" max="12286" width="3" style="497" customWidth="1"/>
    <col min="12287" max="12287" width="12.75" style="497" customWidth="1"/>
    <col min="12288" max="12288" width="15.125" style="497" customWidth="1"/>
    <col min="12289" max="12289" width="18.875" style="497" customWidth="1"/>
    <col min="12290" max="12290" width="18.375" style="497" customWidth="1"/>
    <col min="12291" max="12291" width="16.875" style="497" customWidth="1"/>
    <col min="12292" max="12292" width="11" style="497" customWidth="1"/>
    <col min="12293" max="12293" width="12.25" style="497" customWidth="1"/>
    <col min="12294" max="12294" width="14.125" style="497" customWidth="1"/>
    <col min="12295" max="12295" width="13.5" style="497" customWidth="1"/>
    <col min="12296" max="12296" width="16.125" style="497" customWidth="1"/>
    <col min="12297" max="12297" width="12.875" style="497" customWidth="1"/>
    <col min="12298" max="12298" width="12.625" style="497" customWidth="1"/>
    <col min="12299" max="12299" width="14.5" style="497" customWidth="1"/>
    <col min="12300" max="12300" width="13.125" style="497" bestFit="1" customWidth="1"/>
    <col min="12301" max="12350" width="10" style="497" customWidth="1"/>
    <col min="12351" max="12532" width="9" style="497"/>
    <col min="12533" max="12533" width="3.625" style="497" customWidth="1"/>
    <col min="12534" max="12534" width="3.75" style="497" customWidth="1"/>
    <col min="12535" max="12535" width="8.625" style="497" customWidth="1"/>
    <col min="12536" max="12536" width="6.5" style="497" customWidth="1"/>
    <col min="12537" max="12537" width="16.25" style="497" customWidth="1"/>
    <col min="12538" max="12539" width="12" style="497" customWidth="1"/>
    <col min="12540" max="12540" width="12.875" style="497" customWidth="1"/>
    <col min="12541" max="12541" width="53.25" style="497" customWidth="1"/>
    <col min="12542" max="12542" width="3" style="497" customWidth="1"/>
    <col min="12543" max="12543" width="12.75" style="497" customWidth="1"/>
    <col min="12544" max="12544" width="15.125" style="497" customWidth="1"/>
    <col min="12545" max="12545" width="18.875" style="497" customWidth="1"/>
    <col min="12546" max="12546" width="18.375" style="497" customWidth="1"/>
    <col min="12547" max="12547" width="16.875" style="497" customWidth="1"/>
    <col min="12548" max="12548" width="11" style="497" customWidth="1"/>
    <col min="12549" max="12549" width="12.25" style="497" customWidth="1"/>
    <col min="12550" max="12550" width="14.125" style="497" customWidth="1"/>
    <col min="12551" max="12551" width="13.5" style="497" customWidth="1"/>
    <col min="12552" max="12552" width="16.125" style="497" customWidth="1"/>
    <col min="12553" max="12553" width="12.875" style="497" customWidth="1"/>
    <col min="12554" max="12554" width="12.625" style="497" customWidth="1"/>
    <col min="12555" max="12555" width="14.5" style="497" customWidth="1"/>
    <col min="12556" max="12556" width="13.125" style="497" bestFit="1" customWidth="1"/>
    <col min="12557" max="12606" width="10" style="497" customWidth="1"/>
    <col min="12607" max="12788" width="9" style="497"/>
    <col min="12789" max="12789" width="3.625" style="497" customWidth="1"/>
    <col min="12790" max="12790" width="3.75" style="497" customWidth="1"/>
    <col min="12791" max="12791" width="8.625" style="497" customWidth="1"/>
    <col min="12792" max="12792" width="6.5" style="497" customWidth="1"/>
    <col min="12793" max="12793" width="16.25" style="497" customWidth="1"/>
    <col min="12794" max="12795" width="12" style="497" customWidth="1"/>
    <col min="12796" max="12796" width="12.875" style="497" customWidth="1"/>
    <col min="12797" max="12797" width="53.25" style="497" customWidth="1"/>
    <col min="12798" max="12798" width="3" style="497" customWidth="1"/>
    <col min="12799" max="12799" width="12.75" style="497" customWidth="1"/>
    <col min="12800" max="12800" width="15.125" style="497" customWidth="1"/>
    <col min="12801" max="12801" width="18.875" style="497" customWidth="1"/>
    <col min="12802" max="12802" width="18.375" style="497" customWidth="1"/>
    <col min="12803" max="12803" width="16.875" style="497" customWidth="1"/>
    <col min="12804" max="12804" width="11" style="497" customWidth="1"/>
    <col min="12805" max="12805" width="12.25" style="497" customWidth="1"/>
    <col min="12806" max="12806" width="14.125" style="497" customWidth="1"/>
    <col min="12807" max="12807" width="13.5" style="497" customWidth="1"/>
    <col min="12808" max="12808" width="16.125" style="497" customWidth="1"/>
    <col min="12809" max="12809" width="12.875" style="497" customWidth="1"/>
    <col min="12810" max="12810" width="12.625" style="497" customWidth="1"/>
    <col min="12811" max="12811" width="14.5" style="497" customWidth="1"/>
    <col min="12812" max="12812" width="13.125" style="497" bestFit="1" customWidth="1"/>
    <col min="12813" max="12862" width="10" style="497" customWidth="1"/>
    <col min="12863" max="13044" width="9" style="497"/>
    <col min="13045" max="13045" width="3.625" style="497" customWidth="1"/>
    <col min="13046" max="13046" width="3.75" style="497" customWidth="1"/>
    <col min="13047" max="13047" width="8.625" style="497" customWidth="1"/>
    <col min="13048" max="13048" width="6.5" style="497" customWidth="1"/>
    <col min="13049" max="13049" width="16.25" style="497" customWidth="1"/>
    <col min="13050" max="13051" width="12" style="497" customWidth="1"/>
    <col min="13052" max="13052" width="12.875" style="497" customWidth="1"/>
    <col min="13053" max="13053" width="53.25" style="497" customWidth="1"/>
    <col min="13054" max="13054" width="3" style="497" customWidth="1"/>
    <col min="13055" max="13055" width="12.75" style="497" customWidth="1"/>
    <col min="13056" max="13056" width="15.125" style="497" customWidth="1"/>
    <col min="13057" max="13057" width="18.875" style="497" customWidth="1"/>
    <col min="13058" max="13058" width="18.375" style="497" customWidth="1"/>
    <col min="13059" max="13059" width="16.875" style="497" customWidth="1"/>
    <col min="13060" max="13060" width="11" style="497" customWidth="1"/>
    <col min="13061" max="13061" width="12.25" style="497" customWidth="1"/>
    <col min="13062" max="13062" width="14.125" style="497" customWidth="1"/>
    <col min="13063" max="13063" width="13.5" style="497" customWidth="1"/>
    <col min="13064" max="13064" width="16.125" style="497" customWidth="1"/>
    <col min="13065" max="13065" width="12.875" style="497" customWidth="1"/>
    <col min="13066" max="13066" width="12.625" style="497" customWidth="1"/>
    <col min="13067" max="13067" width="14.5" style="497" customWidth="1"/>
    <col min="13068" max="13068" width="13.125" style="497" bestFit="1" customWidth="1"/>
    <col min="13069" max="13118" width="10" style="497" customWidth="1"/>
    <col min="13119" max="13300" width="9" style="497"/>
    <col min="13301" max="13301" width="3.625" style="497" customWidth="1"/>
    <col min="13302" max="13302" width="3.75" style="497" customWidth="1"/>
    <col min="13303" max="13303" width="8.625" style="497" customWidth="1"/>
    <col min="13304" max="13304" width="6.5" style="497" customWidth="1"/>
    <col min="13305" max="13305" width="16.25" style="497" customWidth="1"/>
    <col min="13306" max="13307" width="12" style="497" customWidth="1"/>
    <col min="13308" max="13308" width="12.875" style="497" customWidth="1"/>
    <col min="13309" max="13309" width="53.25" style="497" customWidth="1"/>
    <col min="13310" max="13310" width="3" style="497" customWidth="1"/>
    <col min="13311" max="13311" width="12.75" style="497" customWidth="1"/>
    <col min="13312" max="13312" width="15.125" style="497" customWidth="1"/>
    <col min="13313" max="13313" width="18.875" style="497" customWidth="1"/>
    <col min="13314" max="13314" width="18.375" style="497" customWidth="1"/>
    <col min="13315" max="13315" width="16.875" style="497" customWidth="1"/>
    <col min="13316" max="13316" width="11" style="497" customWidth="1"/>
    <col min="13317" max="13317" width="12.25" style="497" customWidth="1"/>
    <col min="13318" max="13318" width="14.125" style="497" customWidth="1"/>
    <col min="13319" max="13319" width="13.5" style="497" customWidth="1"/>
    <col min="13320" max="13320" width="16.125" style="497" customWidth="1"/>
    <col min="13321" max="13321" width="12.875" style="497" customWidth="1"/>
    <col min="13322" max="13322" width="12.625" style="497" customWidth="1"/>
    <col min="13323" max="13323" width="14.5" style="497" customWidth="1"/>
    <col min="13324" max="13324" width="13.125" style="497" bestFit="1" customWidth="1"/>
    <col min="13325" max="13374" width="10" style="497" customWidth="1"/>
    <col min="13375" max="13556" width="9" style="497"/>
    <col min="13557" max="13557" width="3.625" style="497" customWidth="1"/>
    <col min="13558" max="13558" width="3.75" style="497" customWidth="1"/>
    <col min="13559" max="13559" width="8.625" style="497" customWidth="1"/>
    <col min="13560" max="13560" width="6.5" style="497" customWidth="1"/>
    <col min="13561" max="13561" width="16.25" style="497" customWidth="1"/>
    <col min="13562" max="13563" width="12" style="497" customWidth="1"/>
    <col min="13564" max="13564" width="12.875" style="497" customWidth="1"/>
    <col min="13565" max="13565" width="53.25" style="497" customWidth="1"/>
    <col min="13566" max="13566" width="3" style="497" customWidth="1"/>
    <col min="13567" max="13567" width="12.75" style="497" customWidth="1"/>
    <col min="13568" max="13568" width="15.125" style="497" customWidth="1"/>
    <col min="13569" max="13569" width="18.875" style="497" customWidth="1"/>
    <col min="13570" max="13570" width="18.375" style="497" customWidth="1"/>
    <col min="13571" max="13571" width="16.875" style="497" customWidth="1"/>
    <col min="13572" max="13572" width="11" style="497" customWidth="1"/>
    <col min="13573" max="13573" width="12.25" style="497" customWidth="1"/>
    <col min="13574" max="13574" width="14.125" style="497" customWidth="1"/>
    <col min="13575" max="13575" width="13.5" style="497" customWidth="1"/>
    <col min="13576" max="13576" width="16.125" style="497" customWidth="1"/>
    <col min="13577" max="13577" width="12.875" style="497" customWidth="1"/>
    <col min="13578" max="13578" width="12.625" style="497" customWidth="1"/>
    <col min="13579" max="13579" width="14.5" style="497" customWidth="1"/>
    <col min="13580" max="13580" width="13.125" style="497" bestFit="1" customWidth="1"/>
    <col min="13581" max="13630" width="10" style="497" customWidth="1"/>
    <col min="13631" max="13812" width="9" style="497"/>
    <col min="13813" max="13813" width="3.625" style="497" customWidth="1"/>
    <col min="13814" max="13814" width="3.75" style="497" customWidth="1"/>
    <col min="13815" max="13815" width="8.625" style="497" customWidth="1"/>
    <col min="13816" max="13816" width="6.5" style="497" customWidth="1"/>
    <col min="13817" max="13817" width="16.25" style="497" customWidth="1"/>
    <col min="13818" max="13819" width="12" style="497" customWidth="1"/>
    <col min="13820" max="13820" width="12.875" style="497" customWidth="1"/>
    <col min="13821" max="13821" width="53.25" style="497" customWidth="1"/>
    <col min="13822" max="13822" width="3" style="497" customWidth="1"/>
    <col min="13823" max="13823" width="12.75" style="497" customWidth="1"/>
    <col min="13824" max="13824" width="15.125" style="497" customWidth="1"/>
    <col min="13825" max="13825" width="18.875" style="497" customWidth="1"/>
    <col min="13826" max="13826" width="18.375" style="497" customWidth="1"/>
    <col min="13827" max="13827" width="16.875" style="497" customWidth="1"/>
    <col min="13828" max="13828" width="11" style="497" customWidth="1"/>
    <col min="13829" max="13829" width="12.25" style="497" customWidth="1"/>
    <col min="13830" max="13830" width="14.125" style="497" customWidth="1"/>
    <col min="13831" max="13831" width="13.5" style="497" customWidth="1"/>
    <col min="13832" max="13832" width="16.125" style="497" customWidth="1"/>
    <col min="13833" max="13833" width="12.875" style="497" customWidth="1"/>
    <col min="13834" max="13834" width="12.625" style="497" customWidth="1"/>
    <col min="13835" max="13835" width="14.5" style="497" customWidth="1"/>
    <col min="13836" max="13836" width="13.125" style="497" bestFit="1" customWidth="1"/>
    <col min="13837" max="13886" width="10" style="497" customWidth="1"/>
    <col min="13887" max="14068" width="9" style="497"/>
    <col min="14069" max="14069" width="3.625" style="497" customWidth="1"/>
    <col min="14070" max="14070" width="3.75" style="497" customWidth="1"/>
    <col min="14071" max="14071" width="8.625" style="497" customWidth="1"/>
    <col min="14072" max="14072" width="6.5" style="497" customWidth="1"/>
    <col min="14073" max="14073" width="16.25" style="497" customWidth="1"/>
    <col min="14074" max="14075" width="12" style="497" customWidth="1"/>
    <col min="14076" max="14076" width="12.875" style="497" customWidth="1"/>
    <col min="14077" max="14077" width="53.25" style="497" customWidth="1"/>
    <col min="14078" max="14078" width="3" style="497" customWidth="1"/>
    <col min="14079" max="14079" width="12.75" style="497" customWidth="1"/>
    <col min="14080" max="14080" width="15.125" style="497" customWidth="1"/>
    <col min="14081" max="14081" width="18.875" style="497" customWidth="1"/>
    <col min="14082" max="14082" width="18.375" style="497" customWidth="1"/>
    <col min="14083" max="14083" width="16.875" style="497" customWidth="1"/>
    <col min="14084" max="14084" width="11" style="497" customWidth="1"/>
    <col min="14085" max="14085" width="12.25" style="497" customWidth="1"/>
    <col min="14086" max="14086" width="14.125" style="497" customWidth="1"/>
    <col min="14087" max="14087" width="13.5" style="497" customWidth="1"/>
    <col min="14088" max="14088" width="16.125" style="497" customWidth="1"/>
    <col min="14089" max="14089" width="12.875" style="497" customWidth="1"/>
    <col min="14090" max="14090" width="12.625" style="497" customWidth="1"/>
    <col min="14091" max="14091" width="14.5" style="497" customWidth="1"/>
    <col min="14092" max="14092" width="13.125" style="497" bestFit="1" customWidth="1"/>
    <col min="14093" max="14142" width="10" style="497" customWidth="1"/>
    <col min="14143" max="14324" width="9" style="497"/>
    <col min="14325" max="14325" width="3.625" style="497" customWidth="1"/>
    <col min="14326" max="14326" width="3.75" style="497" customWidth="1"/>
    <col min="14327" max="14327" width="8.625" style="497" customWidth="1"/>
    <col min="14328" max="14328" width="6.5" style="497" customWidth="1"/>
    <col min="14329" max="14329" width="16.25" style="497" customWidth="1"/>
    <col min="14330" max="14331" width="12" style="497" customWidth="1"/>
    <col min="14332" max="14332" width="12.875" style="497" customWidth="1"/>
    <col min="14333" max="14333" width="53.25" style="497" customWidth="1"/>
    <col min="14334" max="14334" width="3" style="497" customWidth="1"/>
    <col min="14335" max="14335" width="12.75" style="497" customWidth="1"/>
    <col min="14336" max="14336" width="15.125" style="497" customWidth="1"/>
    <col min="14337" max="14337" width="18.875" style="497" customWidth="1"/>
    <col min="14338" max="14338" width="18.375" style="497" customWidth="1"/>
    <col min="14339" max="14339" width="16.875" style="497" customWidth="1"/>
    <col min="14340" max="14340" width="11" style="497" customWidth="1"/>
    <col min="14341" max="14341" width="12.25" style="497" customWidth="1"/>
    <col min="14342" max="14342" width="14.125" style="497" customWidth="1"/>
    <col min="14343" max="14343" width="13.5" style="497" customWidth="1"/>
    <col min="14344" max="14344" width="16.125" style="497" customWidth="1"/>
    <col min="14345" max="14345" width="12.875" style="497" customWidth="1"/>
    <col min="14346" max="14346" width="12.625" style="497" customWidth="1"/>
    <col min="14347" max="14347" width="14.5" style="497" customWidth="1"/>
    <col min="14348" max="14348" width="13.125" style="497" bestFit="1" customWidth="1"/>
    <col min="14349" max="14398" width="10" style="497" customWidth="1"/>
    <col min="14399" max="14580" width="9" style="497"/>
    <col min="14581" max="14581" width="3.625" style="497" customWidth="1"/>
    <col min="14582" max="14582" width="3.75" style="497" customWidth="1"/>
    <col min="14583" max="14583" width="8.625" style="497" customWidth="1"/>
    <col min="14584" max="14584" width="6.5" style="497" customWidth="1"/>
    <col min="14585" max="14585" width="16.25" style="497" customWidth="1"/>
    <col min="14586" max="14587" width="12" style="497" customWidth="1"/>
    <col min="14588" max="14588" width="12.875" style="497" customWidth="1"/>
    <col min="14589" max="14589" width="53.25" style="497" customWidth="1"/>
    <col min="14590" max="14590" width="3" style="497" customWidth="1"/>
    <col min="14591" max="14591" width="12.75" style="497" customWidth="1"/>
    <col min="14592" max="14592" width="15.125" style="497" customWidth="1"/>
    <col min="14593" max="14593" width="18.875" style="497" customWidth="1"/>
    <col min="14594" max="14594" width="18.375" style="497" customWidth="1"/>
    <col min="14595" max="14595" width="16.875" style="497" customWidth="1"/>
    <col min="14596" max="14596" width="11" style="497" customWidth="1"/>
    <col min="14597" max="14597" width="12.25" style="497" customWidth="1"/>
    <col min="14598" max="14598" width="14.125" style="497" customWidth="1"/>
    <col min="14599" max="14599" width="13.5" style="497" customWidth="1"/>
    <col min="14600" max="14600" width="16.125" style="497" customWidth="1"/>
    <col min="14601" max="14601" width="12.875" style="497" customWidth="1"/>
    <col min="14602" max="14602" width="12.625" style="497" customWidth="1"/>
    <col min="14603" max="14603" width="14.5" style="497" customWidth="1"/>
    <col min="14604" max="14604" width="13.125" style="497" bestFit="1" customWidth="1"/>
    <col min="14605" max="14654" width="10" style="497" customWidth="1"/>
    <col min="14655" max="14836" width="9" style="497"/>
    <col min="14837" max="14837" width="3.625" style="497" customWidth="1"/>
    <col min="14838" max="14838" width="3.75" style="497" customWidth="1"/>
    <col min="14839" max="14839" width="8.625" style="497" customWidth="1"/>
    <col min="14840" max="14840" width="6.5" style="497" customWidth="1"/>
    <col min="14841" max="14841" width="16.25" style="497" customWidth="1"/>
    <col min="14842" max="14843" width="12" style="497" customWidth="1"/>
    <col min="14844" max="14844" width="12.875" style="497" customWidth="1"/>
    <col min="14845" max="14845" width="53.25" style="497" customWidth="1"/>
    <col min="14846" max="14846" width="3" style="497" customWidth="1"/>
    <col min="14847" max="14847" width="12.75" style="497" customWidth="1"/>
    <col min="14848" max="14848" width="15.125" style="497" customWidth="1"/>
    <col min="14849" max="14849" width="18.875" style="497" customWidth="1"/>
    <col min="14850" max="14850" width="18.375" style="497" customWidth="1"/>
    <col min="14851" max="14851" width="16.875" style="497" customWidth="1"/>
    <col min="14852" max="14852" width="11" style="497" customWidth="1"/>
    <col min="14853" max="14853" width="12.25" style="497" customWidth="1"/>
    <col min="14854" max="14854" width="14.125" style="497" customWidth="1"/>
    <col min="14855" max="14855" width="13.5" style="497" customWidth="1"/>
    <col min="14856" max="14856" width="16.125" style="497" customWidth="1"/>
    <col min="14857" max="14857" width="12.875" style="497" customWidth="1"/>
    <col min="14858" max="14858" width="12.625" style="497" customWidth="1"/>
    <col min="14859" max="14859" width="14.5" style="497" customWidth="1"/>
    <col min="14860" max="14860" width="13.125" style="497" bestFit="1" customWidth="1"/>
    <col min="14861" max="14910" width="10" style="497" customWidth="1"/>
    <col min="14911" max="15092" width="9" style="497"/>
    <col min="15093" max="15093" width="3.625" style="497" customWidth="1"/>
    <col min="15094" max="15094" width="3.75" style="497" customWidth="1"/>
    <col min="15095" max="15095" width="8.625" style="497" customWidth="1"/>
    <col min="15096" max="15096" width="6.5" style="497" customWidth="1"/>
    <col min="15097" max="15097" width="16.25" style="497" customWidth="1"/>
    <col min="15098" max="15099" width="12" style="497" customWidth="1"/>
    <col min="15100" max="15100" width="12.875" style="497" customWidth="1"/>
    <col min="15101" max="15101" width="53.25" style="497" customWidth="1"/>
    <col min="15102" max="15102" width="3" style="497" customWidth="1"/>
    <col min="15103" max="15103" width="12.75" style="497" customWidth="1"/>
    <col min="15104" max="15104" width="15.125" style="497" customWidth="1"/>
    <col min="15105" max="15105" width="18.875" style="497" customWidth="1"/>
    <col min="15106" max="15106" width="18.375" style="497" customWidth="1"/>
    <col min="15107" max="15107" width="16.875" style="497" customWidth="1"/>
    <col min="15108" max="15108" width="11" style="497" customWidth="1"/>
    <col min="15109" max="15109" width="12.25" style="497" customWidth="1"/>
    <col min="15110" max="15110" width="14.125" style="497" customWidth="1"/>
    <col min="15111" max="15111" width="13.5" style="497" customWidth="1"/>
    <col min="15112" max="15112" width="16.125" style="497" customWidth="1"/>
    <col min="15113" max="15113" width="12.875" style="497" customWidth="1"/>
    <col min="15114" max="15114" width="12.625" style="497" customWidth="1"/>
    <col min="15115" max="15115" width="14.5" style="497" customWidth="1"/>
    <col min="15116" max="15116" width="13.125" style="497" bestFit="1" customWidth="1"/>
    <col min="15117" max="15166" width="10" style="497" customWidth="1"/>
    <col min="15167" max="15348" width="9" style="497"/>
    <col min="15349" max="15349" width="3.625" style="497" customWidth="1"/>
    <col min="15350" max="15350" width="3.75" style="497" customWidth="1"/>
    <col min="15351" max="15351" width="8.625" style="497" customWidth="1"/>
    <col min="15352" max="15352" width="6.5" style="497" customWidth="1"/>
    <col min="15353" max="15353" width="16.25" style="497" customWidth="1"/>
    <col min="15354" max="15355" width="12" style="497" customWidth="1"/>
    <col min="15356" max="15356" width="12.875" style="497" customWidth="1"/>
    <col min="15357" max="15357" width="53.25" style="497" customWidth="1"/>
    <col min="15358" max="15358" width="3" style="497" customWidth="1"/>
    <col min="15359" max="15359" width="12.75" style="497" customWidth="1"/>
    <col min="15360" max="15360" width="15.125" style="497" customWidth="1"/>
    <col min="15361" max="15361" width="18.875" style="497" customWidth="1"/>
    <col min="15362" max="15362" width="18.375" style="497" customWidth="1"/>
    <col min="15363" max="15363" width="16.875" style="497" customWidth="1"/>
    <col min="15364" max="15364" width="11" style="497" customWidth="1"/>
    <col min="15365" max="15365" width="12.25" style="497" customWidth="1"/>
    <col min="15366" max="15366" width="14.125" style="497" customWidth="1"/>
    <col min="15367" max="15367" width="13.5" style="497" customWidth="1"/>
    <col min="15368" max="15368" width="16.125" style="497" customWidth="1"/>
    <col min="15369" max="15369" width="12.875" style="497" customWidth="1"/>
    <col min="15370" max="15370" width="12.625" style="497" customWidth="1"/>
    <col min="15371" max="15371" width="14.5" style="497" customWidth="1"/>
    <col min="15372" max="15372" width="13.125" style="497" bestFit="1" customWidth="1"/>
    <col min="15373" max="15422" width="10" style="497" customWidth="1"/>
    <col min="15423" max="15604" width="9" style="497"/>
    <col min="15605" max="15605" width="3.625" style="497" customWidth="1"/>
    <col min="15606" max="15606" width="3.75" style="497" customWidth="1"/>
    <col min="15607" max="15607" width="8.625" style="497" customWidth="1"/>
    <col min="15608" max="15608" width="6.5" style="497" customWidth="1"/>
    <col min="15609" max="15609" width="16.25" style="497" customWidth="1"/>
    <col min="15610" max="15611" width="12" style="497" customWidth="1"/>
    <col min="15612" max="15612" width="12.875" style="497" customWidth="1"/>
    <col min="15613" max="15613" width="53.25" style="497" customWidth="1"/>
    <col min="15614" max="15614" width="3" style="497" customWidth="1"/>
    <col min="15615" max="15615" width="12.75" style="497" customWidth="1"/>
    <col min="15616" max="15616" width="15.125" style="497" customWidth="1"/>
    <col min="15617" max="15617" width="18.875" style="497" customWidth="1"/>
    <col min="15618" max="15618" width="18.375" style="497" customWidth="1"/>
    <col min="15619" max="15619" width="16.875" style="497" customWidth="1"/>
    <col min="15620" max="15620" width="11" style="497" customWidth="1"/>
    <col min="15621" max="15621" width="12.25" style="497" customWidth="1"/>
    <col min="15622" max="15622" width="14.125" style="497" customWidth="1"/>
    <col min="15623" max="15623" width="13.5" style="497" customWidth="1"/>
    <col min="15624" max="15624" width="16.125" style="497" customWidth="1"/>
    <col min="15625" max="15625" width="12.875" style="497" customWidth="1"/>
    <col min="15626" max="15626" width="12.625" style="497" customWidth="1"/>
    <col min="15627" max="15627" width="14.5" style="497" customWidth="1"/>
    <col min="15628" max="15628" width="13.125" style="497" bestFit="1" customWidth="1"/>
    <col min="15629" max="15678" width="10" style="497" customWidth="1"/>
    <col min="15679" max="15860" width="9" style="497"/>
    <col min="15861" max="15861" width="3.625" style="497" customWidth="1"/>
    <col min="15862" max="15862" width="3.75" style="497" customWidth="1"/>
    <col min="15863" max="15863" width="8.625" style="497" customWidth="1"/>
    <col min="15864" max="15864" width="6.5" style="497" customWidth="1"/>
    <col min="15865" max="15865" width="16.25" style="497" customWidth="1"/>
    <col min="15866" max="15867" width="12" style="497" customWidth="1"/>
    <col min="15868" max="15868" width="12.875" style="497" customWidth="1"/>
    <col min="15869" max="15869" width="53.25" style="497" customWidth="1"/>
    <col min="15870" max="15870" width="3" style="497" customWidth="1"/>
    <col min="15871" max="15871" width="12.75" style="497" customWidth="1"/>
    <col min="15872" max="15872" width="15.125" style="497" customWidth="1"/>
    <col min="15873" max="15873" width="18.875" style="497" customWidth="1"/>
    <col min="15874" max="15874" width="18.375" style="497" customWidth="1"/>
    <col min="15875" max="15875" width="16.875" style="497" customWidth="1"/>
    <col min="15876" max="15876" width="11" style="497" customWidth="1"/>
    <col min="15877" max="15877" width="12.25" style="497" customWidth="1"/>
    <col min="15878" max="15878" width="14.125" style="497" customWidth="1"/>
    <col min="15879" max="15879" width="13.5" style="497" customWidth="1"/>
    <col min="15880" max="15880" width="16.125" style="497" customWidth="1"/>
    <col min="15881" max="15881" width="12.875" style="497" customWidth="1"/>
    <col min="15882" max="15882" width="12.625" style="497" customWidth="1"/>
    <col min="15883" max="15883" width="14.5" style="497" customWidth="1"/>
    <col min="15884" max="15884" width="13.125" style="497" bestFit="1" customWidth="1"/>
    <col min="15885" max="15934" width="10" style="497" customWidth="1"/>
    <col min="15935" max="16116" width="9" style="497"/>
    <col min="16117" max="16117" width="3.625" style="497" customWidth="1"/>
    <col min="16118" max="16118" width="3.75" style="497" customWidth="1"/>
    <col min="16119" max="16119" width="8.625" style="497" customWidth="1"/>
    <col min="16120" max="16120" width="6.5" style="497" customWidth="1"/>
    <col min="16121" max="16121" width="16.25" style="497" customWidth="1"/>
    <col min="16122" max="16123" width="12" style="497" customWidth="1"/>
    <col min="16124" max="16124" width="12.875" style="497" customWidth="1"/>
    <col min="16125" max="16125" width="53.25" style="497" customWidth="1"/>
    <col min="16126" max="16126" width="3" style="497" customWidth="1"/>
    <col min="16127" max="16127" width="12.75" style="497" customWidth="1"/>
    <col min="16128" max="16128" width="15.125" style="497" customWidth="1"/>
    <col min="16129" max="16129" width="18.875" style="497" customWidth="1"/>
    <col min="16130" max="16130" width="18.375" style="497" customWidth="1"/>
    <col min="16131" max="16131" width="16.875" style="497" customWidth="1"/>
    <col min="16132" max="16132" width="11" style="497" customWidth="1"/>
    <col min="16133" max="16133" width="12.25" style="497" customWidth="1"/>
    <col min="16134" max="16134" width="14.125" style="497" customWidth="1"/>
    <col min="16135" max="16135" width="13.5" style="497" customWidth="1"/>
    <col min="16136" max="16136" width="16.125" style="497" customWidth="1"/>
    <col min="16137" max="16137" width="12.875" style="497" customWidth="1"/>
    <col min="16138" max="16138" width="12.625" style="497" customWidth="1"/>
    <col min="16139" max="16139" width="14.5" style="497" customWidth="1"/>
    <col min="16140" max="16140" width="13.125" style="497" bestFit="1" customWidth="1"/>
    <col min="16141" max="16190" width="10" style="497" customWidth="1"/>
    <col min="16191" max="16384" width="9" style="497"/>
  </cols>
  <sheetData>
    <row r="1" spans="1:49" ht="21" customHeight="1" thickBot="1">
      <c r="A1" s="1932" t="s">
        <v>1658</v>
      </c>
      <c r="B1" s="1932"/>
      <c r="C1" s="1932"/>
      <c r="D1" s="1932"/>
      <c r="E1" s="1932"/>
      <c r="F1" s="1932"/>
      <c r="G1" s="1932"/>
      <c r="H1" s="1932"/>
      <c r="I1" s="1933"/>
      <c r="J1" s="1934"/>
      <c r="K1" s="1935"/>
      <c r="L1" s="1936"/>
      <c r="M1" s="1937" t="s">
        <v>903</v>
      </c>
      <c r="N1" s="1030"/>
      <c r="O1" s="1030"/>
      <c r="P1" s="1030"/>
      <c r="Q1" s="1030"/>
      <c r="R1" s="1030"/>
      <c r="S1" s="1030"/>
      <c r="T1" s="1030"/>
    </row>
    <row r="2" spans="1:49" s="2" customFormat="1" ht="21" customHeight="1">
      <c r="A2" s="2930" t="s">
        <v>1018</v>
      </c>
      <c r="B2" s="2932" t="s">
        <v>845</v>
      </c>
      <c r="C2" s="2933"/>
      <c r="D2" s="2934"/>
      <c r="E2" s="2932" t="s">
        <v>846</v>
      </c>
      <c r="F2" s="2933"/>
      <c r="G2" s="2934"/>
      <c r="H2" s="2989" t="s">
        <v>33</v>
      </c>
      <c r="I2" s="2991" t="s">
        <v>35</v>
      </c>
      <c r="J2" s="2942" t="s">
        <v>73</v>
      </c>
      <c r="K2" s="2923" t="s">
        <v>105</v>
      </c>
      <c r="L2" s="2924"/>
      <c r="M2" s="2925"/>
      <c r="N2" s="699"/>
      <c r="O2" s="699"/>
      <c r="P2" s="699"/>
      <c r="Q2" s="699"/>
      <c r="R2" s="699"/>
      <c r="S2" s="699"/>
      <c r="T2" s="699"/>
    </row>
    <row r="3" spans="1:49" s="2" customFormat="1" ht="21" customHeight="1" thickBot="1">
      <c r="A3" s="2931"/>
      <c r="B3" s="1015" t="s">
        <v>847</v>
      </c>
      <c r="C3" s="1015" t="s">
        <v>848</v>
      </c>
      <c r="D3" s="1015" t="s">
        <v>849</v>
      </c>
      <c r="E3" s="1015" t="s">
        <v>850</v>
      </c>
      <c r="F3" s="1015" t="s">
        <v>851</v>
      </c>
      <c r="G3" s="1015" t="s">
        <v>852</v>
      </c>
      <c r="H3" s="2990"/>
      <c r="I3" s="2992"/>
      <c r="J3" s="2943"/>
      <c r="K3" s="2926"/>
      <c r="L3" s="2927"/>
      <c r="M3" s="2928"/>
      <c r="N3" s="699"/>
      <c r="O3" s="699"/>
      <c r="P3" s="699"/>
      <c r="Q3" s="699"/>
      <c r="R3" s="699"/>
      <c r="S3" s="699"/>
      <c r="T3" s="699"/>
    </row>
    <row r="4" spans="1:49" ht="21" customHeight="1" thickBot="1">
      <c r="A4" s="2975" t="s">
        <v>853</v>
      </c>
      <c r="B4" s="2976"/>
      <c r="C4" s="2976"/>
      <c r="D4" s="2976"/>
      <c r="E4" s="2976"/>
      <c r="F4" s="2976"/>
      <c r="G4" s="2977"/>
      <c r="H4" s="1016">
        <f>H5+H238</f>
        <v>22347560</v>
      </c>
      <c r="I4" s="1016">
        <f>I5+I238</f>
        <v>22595094</v>
      </c>
      <c r="J4" s="1017">
        <f>H4-I4</f>
        <v>-247534</v>
      </c>
      <c r="K4" s="766"/>
      <c r="L4" s="767"/>
      <c r="M4" s="1018"/>
      <c r="N4" s="699"/>
      <c r="O4" s="699"/>
      <c r="P4" s="699"/>
      <c r="Q4" s="699"/>
      <c r="R4" s="699"/>
      <c r="S4" s="699"/>
      <c r="T4" s="699"/>
    </row>
    <row r="5" spans="1:49" s="2" customFormat="1" ht="21" customHeight="1">
      <c r="A5" s="1709" t="s">
        <v>204</v>
      </c>
      <c r="B5" s="1019"/>
      <c r="C5" s="1020"/>
      <c r="D5" s="1020"/>
      <c r="E5" s="1020"/>
      <c r="F5" s="1020"/>
      <c r="G5" s="1021"/>
      <c r="H5" s="829">
        <f>H6</f>
        <v>21640560</v>
      </c>
      <c r="I5" s="829">
        <f>I6</f>
        <v>21929981</v>
      </c>
      <c r="J5" s="830">
        <f t="shared" ref="J5:J9" si="0">H5-I5</f>
        <v>-289421</v>
      </c>
      <c r="K5" s="1938"/>
      <c r="L5" s="679"/>
      <c r="M5" s="680"/>
      <c r="N5" s="2987"/>
      <c r="O5" s="2988"/>
      <c r="P5" s="2988"/>
      <c r="Q5" s="699"/>
      <c r="R5" s="699"/>
      <c r="S5" s="699"/>
      <c r="T5" s="699"/>
    </row>
    <row r="6" spans="1:49" s="2" customFormat="1" ht="21" customHeight="1">
      <c r="A6" s="64"/>
      <c r="B6" s="1026" t="s">
        <v>590</v>
      </c>
      <c r="C6" s="1026"/>
      <c r="D6" s="1027"/>
      <c r="E6" s="1027"/>
      <c r="F6" s="1027"/>
      <c r="G6" s="1028"/>
      <c r="H6" s="829">
        <f>H7+H187</f>
        <v>21640560</v>
      </c>
      <c r="I6" s="829">
        <f>I7+I187</f>
        <v>21929981</v>
      </c>
      <c r="J6" s="830">
        <f t="shared" si="0"/>
        <v>-289421</v>
      </c>
      <c r="K6" s="1938"/>
      <c r="L6" s="679"/>
      <c r="M6" s="680"/>
      <c r="N6" s="2987"/>
      <c r="O6" s="2988"/>
      <c r="P6" s="2988"/>
      <c r="Q6" s="699"/>
      <c r="R6" s="699"/>
      <c r="S6" s="699"/>
      <c r="T6" s="699"/>
    </row>
    <row r="7" spans="1:49" s="2" customFormat="1" ht="21" customHeight="1">
      <c r="A7" s="64"/>
      <c r="B7" s="22"/>
      <c r="C7" s="1451" t="s">
        <v>913</v>
      </c>
      <c r="D7" s="1027"/>
      <c r="E7" s="1027"/>
      <c r="F7" s="1027"/>
      <c r="G7" s="1028"/>
      <c r="H7" s="829">
        <f>H8+H147+H178</f>
        <v>21539757</v>
      </c>
      <c r="I7" s="829">
        <v>21828236</v>
      </c>
      <c r="J7" s="830">
        <f t="shared" si="0"/>
        <v>-288479</v>
      </c>
      <c r="K7" s="1938"/>
      <c r="L7" s="679"/>
      <c r="M7" s="680"/>
      <c r="N7" s="2987"/>
      <c r="O7" s="2988"/>
      <c r="P7" s="2988"/>
      <c r="Q7" s="1030"/>
      <c r="R7" s="1030"/>
      <c r="S7" s="1030"/>
      <c r="T7" s="1030"/>
    </row>
    <row r="8" spans="1:49" s="2" customFormat="1" ht="21" customHeight="1" thickBot="1">
      <c r="A8" s="64"/>
      <c r="B8" s="22"/>
      <c r="C8" s="25"/>
      <c r="D8" s="1451" t="s">
        <v>914</v>
      </c>
      <c r="E8" s="1027"/>
      <c r="F8" s="1027"/>
      <c r="G8" s="1028"/>
      <c r="H8" s="1029">
        <f>H9+H66</f>
        <v>20452402</v>
      </c>
      <c r="I8" s="1029">
        <v>20789419</v>
      </c>
      <c r="J8" s="51">
        <f t="shared" si="0"/>
        <v>-337017</v>
      </c>
      <c r="K8" s="684"/>
      <c r="L8" s="1030"/>
      <c r="M8" s="680"/>
      <c r="N8" s="2987"/>
      <c r="O8" s="2988"/>
      <c r="P8" s="2988"/>
      <c r="Q8" s="1030"/>
      <c r="R8" s="1030"/>
      <c r="S8" s="1030"/>
      <c r="T8" s="1030"/>
    </row>
    <row r="9" spans="1:49" s="2" customFormat="1" ht="21" customHeight="1">
      <c r="A9" s="64"/>
      <c r="B9" s="22"/>
      <c r="C9" s="832"/>
      <c r="D9" s="1032"/>
      <c r="E9" s="1451" t="s">
        <v>854</v>
      </c>
      <c r="F9" s="1027"/>
      <c r="G9" s="1028"/>
      <c r="H9" s="825">
        <f>H10</f>
        <v>18499480</v>
      </c>
      <c r="I9" s="825">
        <v>18866047</v>
      </c>
      <c r="J9" s="826">
        <f t="shared" si="0"/>
        <v>-366567</v>
      </c>
      <c r="K9" s="728"/>
      <c r="L9" s="827"/>
      <c r="M9" s="694"/>
      <c r="N9" s="2676"/>
      <c r="O9" s="1939" t="s">
        <v>1659</v>
      </c>
      <c r="P9" s="1940">
        <v>3.9E-2</v>
      </c>
      <c r="Q9" s="1941"/>
      <c r="R9" s="1942"/>
      <c r="S9" s="1941"/>
      <c r="T9" s="1941"/>
    </row>
    <row r="10" spans="1:49" ht="21" customHeight="1">
      <c r="A10" s="501"/>
      <c r="B10" s="503"/>
      <c r="C10" s="503"/>
      <c r="D10" s="503"/>
      <c r="E10" s="502"/>
      <c r="F10" s="1144" t="s">
        <v>348</v>
      </c>
      <c r="G10" s="1144"/>
      <c r="H10" s="1145">
        <f>H11+H62</f>
        <v>18499480</v>
      </c>
      <c r="I10" s="1145">
        <v>18866047</v>
      </c>
      <c r="J10" s="520">
        <f>H10-I10</f>
        <v>-366567</v>
      </c>
      <c r="K10" s="512"/>
      <c r="L10" s="513"/>
      <c r="M10" s="514"/>
      <c r="N10" s="2676"/>
      <c r="O10" s="1943" t="s">
        <v>1660</v>
      </c>
      <c r="P10" s="1944" t="s">
        <v>1661</v>
      </c>
      <c r="Q10" s="1945"/>
      <c r="R10" s="1945"/>
      <c r="S10" s="1945"/>
      <c r="T10" s="1945"/>
    </row>
    <row r="11" spans="1:49" s="500" customFormat="1" ht="21" customHeight="1" thickBot="1">
      <c r="A11" s="501"/>
      <c r="B11" s="503"/>
      <c r="C11" s="503"/>
      <c r="D11" s="503"/>
      <c r="E11" s="503"/>
      <c r="F11" s="1052"/>
      <c r="G11" s="522" t="s">
        <v>338</v>
      </c>
      <c r="H11" s="1146">
        <f>M11</f>
        <v>18427286</v>
      </c>
      <c r="I11" s="1146">
        <v>18793855</v>
      </c>
      <c r="J11" s="520">
        <f>H11-I11</f>
        <v>-366569</v>
      </c>
      <c r="K11" s="636" t="s">
        <v>1662</v>
      </c>
      <c r="L11" s="329"/>
      <c r="M11" s="637">
        <f>M12+M35</f>
        <v>18427286</v>
      </c>
      <c r="N11" s="2676"/>
      <c r="O11" s="1946">
        <v>1.4E-2</v>
      </c>
      <c r="P11" s="1947">
        <v>2.5000000000000001E-2</v>
      </c>
      <c r="Q11" s="1948"/>
      <c r="R11" s="1948"/>
      <c r="S11" s="1949"/>
      <c r="T11" s="1949"/>
      <c r="V11" s="497"/>
      <c r="W11" s="497"/>
      <c r="X11" s="497"/>
      <c r="Y11" s="497"/>
      <c r="Z11" s="497"/>
      <c r="AA11" s="497"/>
      <c r="AB11" s="497"/>
      <c r="AC11" s="497"/>
      <c r="AD11" s="497"/>
      <c r="AE11" s="497"/>
      <c r="AF11" s="497"/>
      <c r="AG11" s="497"/>
      <c r="AH11" s="497"/>
      <c r="AI11" s="497"/>
      <c r="AJ11" s="497"/>
      <c r="AK11" s="497"/>
      <c r="AL11" s="497"/>
      <c r="AM11" s="497"/>
      <c r="AN11" s="497"/>
      <c r="AO11" s="497"/>
      <c r="AP11" s="497"/>
      <c r="AQ11" s="497"/>
      <c r="AR11" s="497"/>
      <c r="AS11" s="497"/>
      <c r="AT11" s="497"/>
      <c r="AU11" s="497"/>
      <c r="AV11" s="497"/>
      <c r="AW11" s="497"/>
    </row>
    <row r="12" spans="1:49" s="500" customFormat="1" ht="21" customHeight="1" thickBot="1">
      <c r="A12" s="501"/>
      <c r="B12" s="503"/>
      <c r="C12" s="503"/>
      <c r="D12" s="503"/>
      <c r="E12" s="503"/>
      <c r="F12" s="1052"/>
      <c r="G12" s="521"/>
      <c r="H12" s="1147"/>
      <c r="I12" s="1147"/>
      <c r="J12" s="515"/>
      <c r="K12" s="914" t="s">
        <v>1663</v>
      </c>
      <c r="L12" s="330"/>
      <c r="M12" s="1950">
        <f>M13+M16+M17+M18+M21+M25+M26+M27+M31+M32</f>
        <v>196535</v>
      </c>
      <c r="N12" s="2999" t="s">
        <v>1664</v>
      </c>
      <c r="O12" s="3000"/>
      <c r="P12" s="3000"/>
      <c r="Q12" s="3000"/>
      <c r="R12" s="3000"/>
      <c r="S12" s="3000"/>
      <c r="T12" s="3000"/>
      <c r="V12" s="497"/>
      <c r="W12" s="497"/>
      <c r="X12" s="497"/>
      <c r="Y12" s="497"/>
      <c r="Z12" s="497"/>
      <c r="AA12" s="497"/>
      <c r="AB12" s="497"/>
      <c r="AC12" s="497"/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497"/>
      <c r="AO12" s="497"/>
      <c r="AP12" s="497"/>
      <c r="AQ12" s="497"/>
      <c r="AR12" s="497"/>
      <c r="AS12" s="497"/>
      <c r="AT12" s="497"/>
      <c r="AU12" s="497"/>
      <c r="AV12" s="497"/>
      <c r="AW12" s="497"/>
    </row>
    <row r="13" spans="1:49" s="500" customFormat="1" ht="21" customHeight="1">
      <c r="A13" s="501"/>
      <c r="B13" s="503"/>
      <c r="C13" s="503"/>
      <c r="D13" s="503"/>
      <c r="E13" s="503"/>
      <c r="F13" s="1052"/>
      <c r="G13" s="521"/>
      <c r="H13" s="1147"/>
      <c r="I13" s="1147"/>
      <c r="J13" s="515"/>
      <c r="K13" s="308" t="s">
        <v>1665</v>
      </c>
      <c r="L13" s="303"/>
      <c r="M13" s="1951">
        <f>SUM(M14:M15)</f>
        <v>102372</v>
      </c>
      <c r="N13" s="1952" t="s">
        <v>1666</v>
      </c>
      <c r="O13" s="1953" t="s">
        <v>1667</v>
      </c>
      <c r="P13" s="1954"/>
      <c r="Q13" s="1955"/>
      <c r="R13" s="1955"/>
      <c r="S13" s="1955"/>
      <c r="T13" s="1956"/>
      <c r="U13" s="497"/>
      <c r="V13" s="497"/>
      <c r="W13" s="497"/>
      <c r="X13" s="497"/>
      <c r="Y13" s="497"/>
      <c r="Z13" s="497"/>
      <c r="AA13" s="497"/>
      <c r="AB13" s="497"/>
      <c r="AC13" s="497"/>
      <c r="AD13" s="497"/>
      <c r="AE13" s="497"/>
      <c r="AF13" s="497"/>
      <c r="AG13" s="497"/>
      <c r="AH13" s="497"/>
      <c r="AI13" s="497"/>
      <c r="AJ13" s="497"/>
      <c r="AK13" s="497"/>
      <c r="AL13" s="497"/>
      <c r="AM13" s="497"/>
      <c r="AN13" s="497"/>
      <c r="AO13" s="497"/>
      <c r="AP13" s="497"/>
      <c r="AQ13" s="497"/>
      <c r="AR13" s="497"/>
      <c r="AS13" s="497"/>
    </row>
    <row r="14" spans="1:49" s="500" customFormat="1" ht="21" customHeight="1">
      <c r="A14" s="501"/>
      <c r="B14" s="503"/>
      <c r="C14" s="503"/>
      <c r="D14" s="503"/>
      <c r="E14" s="503"/>
      <c r="F14" s="1052"/>
      <c r="G14" s="521"/>
      <c r="H14" s="1149"/>
      <c r="I14" s="1149"/>
      <c r="J14" s="515"/>
      <c r="K14" s="1151" t="s">
        <v>1668</v>
      </c>
      <c r="L14" s="545" t="s">
        <v>6</v>
      </c>
      <c r="M14" s="1957">
        <f>R14</f>
        <v>52589</v>
      </c>
      <c r="N14" s="1958">
        <v>4217900</v>
      </c>
      <c r="O14" s="2675">
        <f>ROUNDUP(N14*(100%+$P$9),-1)</f>
        <v>4382400</v>
      </c>
      <c r="P14" s="2675">
        <v>1</v>
      </c>
      <c r="Q14" s="1959">
        <v>12</v>
      </c>
      <c r="R14" s="1960">
        <f>ROUNDUP(O14*P14*Q14/1000,0)</f>
        <v>52589</v>
      </c>
      <c r="S14" s="1959"/>
      <c r="T14" s="1158"/>
      <c r="U14" s="497"/>
      <c r="V14" s="497"/>
      <c r="W14" s="497"/>
      <c r="X14" s="497"/>
      <c r="Y14" s="497"/>
      <c r="Z14" s="497"/>
      <c r="AA14" s="497"/>
      <c r="AB14" s="497"/>
      <c r="AC14" s="497"/>
      <c r="AD14" s="497"/>
      <c r="AE14" s="497"/>
      <c r="AF14" s="497"/>
      <c r="AG14" s="497"/>
      <c r="AH14" s="497"/>
      <c r="AI14" s="497"/>
      <c r="AJ14" s="497"/>
      <c r="AK14" s="497"/>
      <c r="AL14" s="497"/>
      <c r="AM14" s="497"/>
      <c r="AN14" s="497"/>
      <c r="AO14" s="497"/>
      <c r="AP14" s="497"/>
      <c r="AQ14" s="497"/>
      <c r="AR14" s="497"/>
      <c r="AS14" s="497"/>
    </row>
    <row r="15" spans="1:49" s="500" customFormat="1" ht="21" customHeight="1">
      <c r="A15" s="501"/>
      <c r="B15" s="503"/>
      <c r="C15" s="503"/>
      <c r="D15" s="503"/>
      <c r="E15" s="503"/>
      <c r="F15" s="1052"/>
      <c r="G15" s="521"/>
      <c r="H15" s="1149"/>
      <c r="I15" s="1149"/>
      <c r="J15" s="515"/>
      <c r="K15" s="1151" t="s">
        <v>1669</v>
      </c>
      <c r="L15" s="545" t="s">
        <v>6</v>
      </c>
      <c r="M15" s="1957">
        <f>R15</f>
        <v>49783</v>
      </c>
      <c r="N15" s="1958">
        <v>3992800</v>
      </c>
      <c r="O15" s="2675">
        <f>ROUNDUP(N15*(100%+$P$9),-1)</f>
        <v>4148520</v>
      </c>
      <c r="P15" s="2675">
        <v>1</v>
      </c>
      <c r="Q15" s="1959">
        <v>12</v>
      </c>
      <c r="R15" s="1960">
        <f t="shared" ref="R15:R26" si="1">ROUNDUP(O15*P15*Q15/1000,0)</f>
        <v>49783</v>
      </c>
      <c r="S15" s="1959"/>
      <c r="T15" s="1158"/>
      <c r="U15" s="497"/>
      <c r="V15" s="497"/>
      <c r="W15" s="497"/>
      <c r="X15" s="497"/>
      <c r="Y15" s="497"/>
      <c r="Z15" s="497"/>
      <c r="AA15" s="497"/>
      <c r="AB15" s="497"/>
      <c r="AC15" s="497"/>
      <c r="AD15" s="497"/>
      <c r="AE15" s="497"/>
      <c r="AF15" s="497"/>
      <c r="AG15" s="497"/>
      <c r="AH15" s="497"/>
      <c r="AI15" s="497"/>
      <c r="AJ15" s="497"/>
      <c r="AK15" s="497"/>
      <c r="AL15" s="497"/>
      <c r="AM15" s="497"/>
      <c r="AN15" s="497"/>
      <c r="AO15" s="497"/>
      <c r="AP15" s="497"/>
      <c r="AQ15" s="497"/>
      <c r="AR15" s="497"/>
      <c r="AS15" s="497"/>
    </row>
    <row r="16" spans="1:49" s="500" customFormat="1" ht="21" customHeight="1">
      <c r="A16" s="501"/>
      <c r="B16" s="503"/>
      <c r="C16" s="503"/>
      <c r="D16" s="503"/>
      <c r="E16" s="503"/>
      <c r="F16" s="1052"/>
      <c r="G16" s="503"/>
      <c r="H16" s="1149"/>
      <c r="I16" s="1149"/>
      <c r="J16" s="515"/>
      <c r="K16" s="1154" t="s">
        <v>1670</v>
      </c>
      <c r="L16" s="545" t="s">
        <v>6</v>
      </c>
      <c r="M16" s="1957">
        <f>R16</f>
        <v>1680</v>
      </c>
      <c r="N16" s="2674"/>
      <c r="O16" s="2675">
        <v>70000</v>
      </c>
      <c r="P16" s="2675">
        <v>2</v>
      </c>
      <c r="Q16" s="1959">
        <v>12</v>
      </c>
      <c r="R16" s="1960">
        <f t="shared" si="1"/>
        <v>1680</v>
      </c>
      <c r="S16" s="1959"/>
      <c r="T16" s="1158"/>
      <c r="U16" s="497"/>
      <c r="V16" s="497"/>
      <c r="W16" s="497"/>
      <c r="X16" s="497"/>
      <c r="Y16" s="497"/>
      <c r="Z16" s="497"/>
      <c r="AA16" s="497"/>
      <c r="AB16" s="497"/>
      <c r="AC16" s="497"/>
      <c r="AD16" s="497"/>
      <c r="AE16" s="497"/>
      <c r="AF16" s="497"/>
      <c r="AG16" s="497"/>
      <c r="AH16" s="497"/>
      <c r="AI16" s="497"/>
      <c r="AJ16" s="497"/>
      <c r="AK16" s="497"/>
      <c r="AL16" s="497"/>
      <c r="AM16" s="497"/>
      <c r="AN16" s="497"/>
      <c r="AO16" s="497"/>
    </row>
    <row r="17" spans="1:49" s="500" customFormat="1" ht="21" customHeight="1">
      <c r="A17" s="501"/>
      <c r="B17" s="503"/>
      <c r="C17" s="503"/>
      <c r="D17" s="503"/>
      <c r="E17" s="503"/>
      <c r="F17" s="1052"/>
      <c r="G17" s="503"/>
      <c r="H17" s="1149"/>
      <c r="I17" s="1149"/>
      <c r="J17" s="515"/>
      <c r="K17" s="1154" t="s">
        <v>1671</v>
      </c>
      <c r="L17" s="545" t="s">
        <v>6</v>
      </c>
      <c r="M17" s="1957">
        <f>R17</f>
        <v>4320</v>
      </c>
      <c r="N17" s="2674"/>
      <c r="O17" s="2675">
        <v>180000</v>
      </c>
      <c r="P17" s="2675">
        <v>2</v>
      </c>
      <c r="Q17" s="1959">
        <v>12</v>
      </c>
      <c r="R17" s="1960">
        <f t="shared" si="1"/>
        <v>4320</v>
      </c>
      <c r="S17" s="1959"/>
      <c r="T17" s="1158"/>
      <c r="U17" s="497"/>
      <c r="V17" s="497"/>
      <c r="W17" s="497"/>
      <c r="X17" s="497"/>
      <c r="Y17" s="497"/>
      <c r="Z17" s="497"/>
      <c r="AA17" s="497"/>
      <c r="AB17" s="497"/>
      <c r="AC17" s="497"/>
      <c r="AD17" s="497"/>
      <c r="AE17" s="497"/>
      <c r="AF17" s="497"/>
      <c r="AG17" s="497"/>
      <c r="AH17" s="497"/>
      <c r="AI17" s="497"/>
      <c r="AJ17" s="497"/>
      <c r="AK17" s="497"/>
      <c r="AL17" s="497"/>
      <c r="AM17" s="497"/>
      <c r="AN17" s="497"/>
      <c r="AO17" s="497"/>
      <c r="AP17" s="497"/>
      <c r="AQ17" s="497"/>
      <c r="AR17" s="497"/>
      <c r="AS17" s="497"/>
      <c r="AT17" s="497"/>
    </row>
    <row r="18" spans="1:49" s="500" customFormat="1" ht="21" customHeight="1">
      <c r="A18" s="501"/>
      <c r="B18" s="503"/>
      <c r="C18" s="503"/>
      <c r="D18" s="503"/>
      <c r="E18" s="503"/>
      <c r="F18" s="1052"/>
      <c r="G18" s="521"/>
      <c r="H18" s="1149"/>
      <c r="I18" s="1149"/>
      <c r="J18" s="515"/>
      <c r="K18" s="1151" t="s">
        <v>1672</v>
      </c>
      <c r="L18" s="1153"/>
      <c r="M18" s="1951">
        <f>SUM(M19:M20)</f>
        <v>9032</v>
      </c>
      <c r="N18" s="3001"/>
      <c r="O18" s="3002"/>
      <c r="P18" s="3002"/>
      <c r="Q18" s="1959"/>
      <c r="R18" s="1959"/>
      <c r="S18" s="1959"/>
      <c r="T18" s="1158"/>
      <c r="V18" s="497"/>
      <c r="W18" s="497"/>
      <c r="X18" s="497"/>
      <c r="Y18" s="497"/>
      <c r="Z18" s="497"/>
      <c r="AA18" s="497"/>
      <c r="AB18" s="497"/>
      <c r="AC18" s="497"/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7"/>
      <c r="AS18" s="497"/>
      <c r="AT18" s="497"/>
      <c r="AU18" s="497"/>
      <c r="AV18" s="497"/>
      <c r="AW18" s="497"/>
    </row>
    <row r="19" spans="1:49" s="500" customFormat="1" ht="21" customHeight="1">
      <c r="A19" s="501"/>
      <c r="B19" s="503"/>
      <c r="C19" s="503"/>
      <c r="D19" s="503"/>
      <c r="E19" s="503"/>
      <c r="F19" s="1052"/>
      <c r="G19" s="521"/>
      <c r="H19" s="1149"/>
      <c r="I19" s="1149"/>
      <c r="J19" s="515"/>
      <c r="K19" s="1151" t="s">
        <v>1673</v>
      </c>
      <c r="L19" s="545" t="s">
        <v>6</v>
      </c>
      <c r="M19" s="1957">
        <f>R19</f>
        <v>4633</v>
      </c>
      <c r="N19" s="2674"/>
      <c r="O19" s="2675">
        <f>O14+O16+O17</f>
        <v>4632400</v>
      </c>
      <c r="P19" s="1961">
        <v>1</v>
      </c>
      <c r="Q19" s="1959">
        <v>1</v>
      </c>
      <c r="R19" s="1960">
        <f t="shared" si="1"/>
        <v>4633</v>
      </c>
      <c r="S19" s="1959"/>
      <c r="T19" s="1158"/>
      <c r="V19" s="497"/>
      <c r="W19" s="497"/>
      <c r="X19" s="497"/>
      <c r="Y19" s="497"/>
      <c r="Z19" s="497"/>
      <c r="AA19" s="497"/>
      <c r="AB19" s="497"/>
      <c r="AC19" s="497"/>
      <c r="AD19" s="497"/>
      <c r="AE19" s="497"/>
      <c r="AF19" s="497"/>
      <c r="AG19" s="497"/>
      <c r="AH19" s="497"/>
      <c r="AI19" s="497"/>
      <c r="AJ19" s="497"/>
      <c r="AK19" s="497"/>
      <c r="AL19" s="497"/>
      <c r="AM19" s="497"/>
      <c r="AN19" s="497"/>
      <c r="AO19" s="497"/>
      <c r="AP19" s="497"/>
      <c r="AQ19" s="497"/>
      <c r="AR19" s="497"/>
      <c r="AS19" s="497"/>
      <c r="AT19" s="497"/>
      <c r="AU19" s="497"/>
      <c r="AV19" s="497"/>
      <c r="AW19" s="497"/>
    </row>
    <row r="20" spans="1:49" s="500" customFormat="1" ht="21" customHeight="1">
      <c r="A20" s="501"/>
      <c r="B20" s="503"/>
      <c r="C20" s="503"/>
      <c r="D20" s="503"/>
      <c r="E20" s="503"/>
      <c r="F20" s="1052"/>
      <c r="G20" s="521"/>
      <c r="H20" s="1149"/>
      <c r="I20" s="1149"/>
      <c r="J20" s="515"/>
      <c r="K20" s="1151" t="s">
        <v>1674</v>
      </c>
      <c r="L20" s="545" t="s">
        <v>6</v>
      </c>
      <c r="M20" s="1957">
        <f>R20</f>
        <v>4399</v>
      </c>
      <c r="N20" s="2674"/>
      <c r="O20" s="2675">
        <f>O15+O16+O17</f>
        <v>4398520</v>
      </c>
      <c r="P20" s="1961">
        <v>1</v>
      </c>
      <c r="Q20" s="1959">
        <v>1</v>
      </c>
      <c r="R20" s="1960">
        <f t="shared" si="1"/>
        <v>4399</v>
      </c>
      <c r="S20" s="1959"/>
      <c r="T20" s="1158"/>
      <c r="V20" s="497"/>
      <c r="W20" s="497"/>
      <c r="X20" s="497"/>
      <c r="Y20" s="497"/>
      <c r="Z20" s="497"/>
      <c r="AA20" s="497"/>
      <c r="AB20" s="497"/>
      <c r="AC20" s="497"/>
      <c r="AD20" s="497"/>
      <c r="AE20" s="497"/>
      <c r="AF20" s="497"/>
      <c r="AG20" s="497"/>
      <c r="AH20" s="497"/>
      <c r="AI20" s="497"/>
      <c r="AJ20" s="497"/>
      <c r="AK20" s="497"/>
      <c r="AL20" s="497"/>
      <c r="AM20" s="497"/>
      <c r="AN20" s="497"/>
      <c r="AO20" s="497"/>
      <c r="AP20" s="497"/>
      <c r="AQ20" s="497"/>
      <c r="AR20" s="497"/>
      <c r="AS20" s="497"/>
      <c r="AT20" s="497"/>
      <c r="AU20" s="497"/>
      <c r="AV20" s="497"/>
      <c r="AW20" s="497"/>
    </row>
    <row r="21" spans="1:49" s="500" customFormat="1" ht="21" customHeight="1">
      <c r="A21" s="501"/>
      <c r="B21" s="503"/>
      <c r="C21" s="503"/>
      <c r="D21" s="503"/>
      <c r="E21" s="503"/>
      <c r="F21" s="1052"/>
      <c r="G21" s="521"/>
      <c r="H21" s="1149"/>
      <c r="I21" s="1149"/>
      <c r="J21" s="515"/>
      <c r="K21" s="1151" t="s">
        <v>1675</v>
      </c>
      <c r="L21" s="545"/>
      <c r="M21" s="1957">
        <f>SUM(M22:M24)</f>
        <v>2040</v>
      </c>
      <c r="N21" s="2674"/>
      <c r="O21" s="2675"/>
      <c r="P21" s="2675"/>
      <c r="Q21" s="1959"/>
      <c r="R21" s="1959"/>
      <c r="S21" s="1959"/>
      <c r="T21" s="1158"/>
      <c r="V21" s="497"/>
      <c r="W21" s="497"/>
      <c r="X21" s="497"/>
      <c r="Y21" s="497"/>
      <c r="Z21" s="497"/>
      <c r="AA21" s="497"/>
      <c r="AB21" s="497"/>
      <c r="AC21" s="497"/>
      <c r="AD21" s="497"/>
      <c r="AE21" s="497"/>
      <c r="AF21" s="497"/>
      <c r="AG21" s="497"/>
      <c r="AH21" s="497"/>
      <c r="AI21" s="497"/>
      <c r="AJ21" s="497"/>
      <c r="AK21" s="497"/>
      <c r="AL21" s="497"/>
      <c r="AM21" s="497"/>
      <c r="AN21" s="497"/>
      <c r="AO21" s="497"/>
      <c r="AP21" s="497"/>
      <c r="AQ21" s="497"/>
      <c r="AR21" s="497"/>
      <c r="AS21" s="497"/>
      <c r="AT21" s="497"/>
      <c r="AU21" s="497"/>
      <c r="AV21" s="497"/>
      <c r="AW21" s="497"/>
    </row>
    <row r="22" spans="1:49" s="500" customFormat="1" ht="21" customHeight="1">
      <c r="A22" s="501"/>
      <c r="B22" s="503"/>
      <c r="C22" s="503"/>
      <c r="D22" s="503"/>
      <c r="E22" s="503"/>
      <c r="F22" s="1052"/>
      <c r="G22" s="521"/>
      <c r="H22" s="1149"/>
      <c r="I22" s="1149"/>
      <c r="J22" s="515"/>
      <c r="K22" s="1151" t="s">
        <v>1676</v>
      </c>
      <c r="L22" s="545" t="s">
        <v>6</v>
      </c>
      <c r="M22" s="1957">
        <f>R22</f>
        <v>960</v>
      </c>
      <c r="N22" s="2674"/>
      <c r="O22" s="2675">
        <v>40000</v>
      </c>
      <c r="P22" s="2675">
        <v>2</v>
      </c>
      <c r="Q22" s="1959">
        <v>12</v>
      </c>
      <c r="R22" s="1960">
        <f t="shared" si="1"/>
        <v>960</v>
      </c>
      <c r="S22" s="1959"/>
      <c r="T22" s="1158"/>
      <c r="V22" s="497"/>
      <c r="W22" s="497"/>
      <c r="X22" s="497"/>
      <c r="Y22" s="497"/>
      <c r="Z22" s="497"/>
      <c r="AA22" s="497"/>
      <c r="AB22" s="497"/>
      <c r="AC22" s="497"/>
      <c r="AD22" s="497"/>
      <c r="AE22" s="497"/>
      <c r="AF22" s="497"/>
      <c r="AG22" s="497"/>
      <c r="AH22" s="497"/>
      <c r="AI22" s="497"/>
      <c r="AJ22" s="497"/>
      <c r="AK22" s="497"/>
      <c r="AL22" s="497"/>
      <c r="AM22" s="497"/>
      <c r="AN22" s="497"/>
      <c r="AO22" s="497"/>
      <c r="AP22" s="497"/>
      <c r="AQ22" s="497"/>
      <c r="AR22" s="497"/>
      <c r="AS22" s="497"/>
      <c r="AT22" s="497"/>
      <c r="AU22" s="497"/>
      <c r="AV22" s="497"/>
      <c r="AW22" s="497"/>
    </row>
    <row r="23" spans="1:49" ht="21" customHeight="1">
      <c r="A23" s="501"/>
      <c r="B23" s="503"/>
      <c r="C23" s="503"/>
      <c r="D23" s="503"/>
      <c r="E23" s="503"/>
      <c r="F23" s="1052"/>
      <c r="G23" s="521"/>
      <c r="H23" s="1149"/>
      <c r="I23" s="1149"/>
      <c r="J23" s="515"/>
      <c r="K23" s="1151" t="s">
        <v>1677</v>
      </c>
      <c r="L23" s="545" t="s">
        <v>6</v>
      </c>
      <c r="M23" s="1957">
        <f>R23</f>
        <v>240</v>
      </c>
      <c r="N23" s="2674"/>
      <c r="O23" s="2675">
        <v>20000</v>
      </c>
      <c r="P23" s="2675">
        <v>1</v>
      </c>
      <c r="Q23" s="1959">
        <v>12</v>
      </c>
      <c r="R23" s="1960">
        <f t="shared" si="1"/>
        <v>240</v>
      </c>
      <c r="S23" s="1959"/>
      <c r="T23" s="1158"/>
    </row>
    <row r="24" spans="1:49" ht="21" customHeight="1">
      <c r="A24" s="501"/>
      <c r="B24" s="503"/>
      <c r="C24" s="503"/>
      <c r="D24" s="503"/>
      <c r="E24" s="503"/>
      <c r="F24" s="1052"/>
      <c r="G24" s="521"/>
      <c r="H24" s="1149"/>
      <c r="I24" s="1149"/>
      <c r="J24" s="515"/>
      <c r="K24" s="1151" t="s">
        <v>1678</v>
      </c>
      <c r="L24" s="545" t="s">
        <v>6</v>
      </c>
      <c r="M24" s="1957">
        <f>R24</f>
        <v>840</v>
      </c>
      <c r="N24" s="2674"/>
      <c r="O24" s="2675">
        <v>70000</v>
      </c>
      <c r="P24" s="2675">
        <v>1</v>
      </c>
      <c r="Q24" s="1959">
        <v>12</v>
      </c>
      <c r="R24" s="1960">
        <f t="shared" si="1"/>
        <v>840</v>
      </c>
      <c r="S24" s="1959"/>
      <c r="T24" s="1158"/>
    </row>
    <row r="25" spans="1:49" ht="21" customHeight="1">
      <c r="A25" s="501"/>
      <c r="B25" s="503"/>
      <c r="C25" s="503"/>
      <c r="D25" s="503"/>
      <c r="E25" s="503"/>
      <c r="F25" s="1052"/>
      <c r="G25" s="503"/>
      <c r="H25" s="1149"/>
      <c r="I25" s="1149"/>
      <c r="J25" s="1150"/>
      <c r="K25" s="1154" t="s">
        <v>1679</v>
      </c>
      <c r="L25" s="545" t="s">
        <v>292</v>
      </c>
      <c r="M25" s="1957">
        <f>R25</f>
        <v>3120</v>
      </c>
      <c r="N25" s="2674"/>
      <c r="O25" s="2675">
        <v>130000</v>
      </c>
      <c r="P25" s="2675">
        <v>2</v>
      </c>
      <c r="Q25" s="1959">
        <v>12</v>
      </c>
      <c r="R25" s="1960">
        <f t="shared" si="1"/>
        <v>3120</v>
      </c>
      <c r="S25" s="1959"/>
      <c r="T25" s="1158"/>
    </row>
    <row r="26" spans="1:49" ht="21" customHeight="1">
      <c r="A26" s="501"/>
      <c r="B26" s="503"/>
      <c r="C26" s="503"/>
      <c r="D26" s="503"/>
      <c r="E26" s="503"/>
      <c r="F26" s="1052"/>
      <c r="G26" s="503"/>
      <c r="H26" s="1149"/>
      <c r="I26" s="1149"/>
      <c r="J26" s="1150"/>
      <c r="K26" s="1154" t="s">
        <v>1680</v>
      </c>
      <c r="L26" s="545" t="s">
        <v>292</v>
      </c>
      <c r="M26" s="1957">
        <f>R26</f>
        <v>4320</v>
      </c>
      <c r="N26" s="2674"/>
      <c r="O26" s="2675">
        <v>180000</v>
      </c>
      <c r="P26" s="2675">
        <v>2</v>
      </c>
      <c r="Q26" s="1959">
        <v>12</v>
      </c>
      <c r="R26" s="1960">
        <f t="shared" si="1"/>
        <v>4320</v>
      </c>
      <c r="S26" s="1959"/>
      <c r="T26" s="1158"/>
    </row>
    <row r="27" spans="1:49" ht="21" customHeight="1">
      <c r="A27" s="501"/>
      <c r="B27" s="503"/>
      <c r="C27" s="503"/>
      <c r="D27" s="503"/>
      <c r="E27" s="503"/>
      <c r="F27" s="1052"/>
      <c r="G27" s="503"/>
      <c r="H27" s="1149"/>
      <c r="I27" s="1149"/>
      <c r="J27" s="1150"/>
      <c r="K27" s="1151" t="s">
        <v>1681</v>
      </c>
      <c r="L27" s="853"/>
      <c r="M27" s="1957">
        <f>M28+M29+M30</f>
        <v>52097</v>
      </c>
      <c r="N27" s="3001"/>
      <c r="O27" s="3002"/>
      <c r="P27" s="3002"/>
      <c r="Q27" s="1959"/>
      <c r="R27" s="1959"/>
      <c r="S27" s="1959"/>
      <c r="T27" s="1158"/>
    </row>
    <row r="28" spans="1:49" ht="21" customHeight="1">
      <c r="A28" s="501"/>
      <c r="B28" s="503"/>
      <c r="C28" s="503"/>
      <c r="D28" s="503"/>
      <c r="E28" s="503"/>
      <c r="F28" s="1052"/>
      <c r="G28" s="503"/>
      <c r="H28" s="1149"/>
      <c r="I28" s="1149"/>
      <c r="J28" s="1150"/>
      <c r="K28" s="1154" t="s">
        <v>1682</v>
      </c>
      <c r="L28" s="853" t="s">
        <v>6</v>
      </c>
      <c r="M28" s="1957">
        <f>T28</f>
        <v>3658</v>
      </c>
      <c r="N28" s="1962"/>
      <c r="O28" s="2675">
        <v>25400</v>
      </c>
      <c r="P28" s="1961">
        <v>1.5</v>
      </c>
      <c r="Q28" s="1959">
        <v>4</v>
      </c>
      <c r="R28" s="1959">
        <v>2</v>
      </c>
      <c r="S28" s="1959">
        <v>12</v>
      </c>
      <c r="T28" s="1158">
        <f>ROUNDUP(O28*P28*Q28*R28*S28/1000,0)</f>
        <v>3658</v>
      </c>
    </row>
    <row r="29" spans="1:49" ht="21" customHeight="1">
      <c r="A29" s="501"/>
      <c r="B29" s="503"/>
      <c r="C29" s="503"/>
      <c r="D29" s="503"/>
      <c r="E29" s="503"/>
      <c r="F29" s="1052"/>
      <c r="G29" s="503"/>
      <c r="H29" s="1149"/>
      <c r="I29" s="1149"/>
      <c r="J29" s="1150"/>
      <c r="K29" s="1154" t="s">
        <v>1683</v>
      </c>
      <c r="L29" s="853" t="s">
        <v>6</v>
      </c>
      <c r="M29" s="1957">
        <f t="shared" ref="M29:M30" si="2">T29</f>
        <v>40844</v>
      </c>
      <c r="N29" s="2674"/>
      <c r="O29" s="2675">
        <v>25400</v>
      </c>
      <c r="P29" s="1961">
        <v>1.5</v>
      </c>
      <c r="Q29" s="1959">
        <v>8</v>
      </c>
      <c r="R29" s="1959">
        <v>2</v>
      </c>
      <c r="S29" s="1959">
        <v>67</v>
      </c>
      <c r="T29" s="1158">
        <f t="shared" ref="T29:T30" si="3">ROUNDUP(O29*P29*Q29*R29*S29/1000,0)</f>
        <v>40844</v>
      </c>
    </row>
    <row r="30" spans="1:49" ht="21" customHeight="1">
      <c r="A30" s="501"/>
      <c r="B30" s="503"/>
      <c r="C30" s="503"/>
      <c r="D30" s="503"/>
      <c r="E30" s="503"/>
      <c r="F30" s="1052"/>
      <c r="G30" s="503"/>
      <c r="H30" s="1149"/>
      <c r="I30" s="1149"/>
      <c r="J30" s="1150"/>
      <c r="K30" s="1154" t="s">
        <v>1684</v>
      </c>
      <c r="L30" s="853" t="s">
        <v>6</v>
      </c>
      <c r="M30" s="1957">
        <f t="shared" si="2"/>
        <v>7595</v>
      </c>
      <c r="N30" s="2674"/>
      <c r="O30" s="2675">
        <v>25400</v>
      </c>
      <c r="P30" s="1961">
        <v>0.5</v>
      </c>
      <c r="Q30" s="1959">
        <v>1</v>
      </c>
      <c r="R30" s="1959">
        <v>2</v>
      </c>
      <c r="S30" s="1959">
        <v>299</v>
      </c>
      <c r="T30" s="1158">
        <f t="shared" si="3"/>
        <v>7595</v>
      </c>
    </row>
    <row r="31" spans="1:49" ht="21" customHeight="1">
      <c r="A31" s="501"/>
      <c r="B31" s="503"/>
      <c r="C31" s="503"/>
      <c r="D31" s="503"/>
      <c r="E31" s="503"/>
      <c r="F31" s="1052"/>
      <c r="G31" s="503"/>
      <c r="H31" s="1149"/>
      <c r="I31" s="1149"/>
      <c r="J31" s="1150"/>
      <c r="K31" s="1154" t="s">
        <v>1685</v>
      </c>
      <c r="L31" s="853" t="s">
        <v>6</v>
      </c>
      <c r="M31" s="1957">
        <f>R31</f>
        <v>7316</v>
      </c>
      <c r="N31" s="2674"/>
      <c r="O31" s="2675">
        <f>O30*8</f>
        <v>203200</v>
      </c>
      <c r="P31" s="2675">
        <v>2</v>
      </c>
      <c r="Q31" s="1959">
        <v>18</v>
      </c>
      <c r="R31" s="1960">
        <f t="shared" ref="R31:R34" si="4">ROUNDUP(O31*P31*Q31/1000,0)</f>
        <v>7316</v>
      </c>
      <c r="S31" s="1959"/>
      <c r="T31" s="1158"/>
    </row>
    <row r="32" spans="1:49" ht="21" customHeight="1">
      <c r="A32" s="501"/>
      <c r="B32" s="503"/>
      <c r="C32" s="503"/>
      <c r="D32" s="503"/>
      <c r="E32" s="503"/>
      <c r="F32" s="1052"/>
      <c r="G32" s="521"/>
      <c r="H32" s="1147"/>
      <c r="I32" s="1147"/>
      <c r="J32" s="515"/>
      <c r="K32" s="308" t="s">
        <v>1686</v>
      </c>
      <c r="L32" s="303"/>
      <c r="M32" s="1951">
        <f>SUM(M33:M34)</f>
        <v>10238</v>
      </c>
      <c r="N32" s="2674"/>
      <c r="O32" s="2675"/>
      <c r="P32" s="2675"/>
      <c r="Q32" s="1959"/>
      <c r="R32" s="1959"/>
      <c r="S32" s="1959"/>
      <c r="T32" s="1158"/>
    </row>
    <row r="33" spans="1:49" ht="21" customHeight="1">
      <c r="A33" s="501"/>
      <c r="B33" s="503"/>
      <c r="C33" s="503"/>
      <c r="D33" s="503"/>
      <c r="E33" s="503"/>
      <c r="F33" s="1052"/>
      <c r="G33" s="521"/>
      <c r="H33" s="1149"/>
      <c r="I33" s="1149"/>
      <c r="J33" s="515"/>
      <c r="K33" s="1151" t="s">
        <v>1687</v>
      </c>
      <c r="L33" s="545" t="s">
        <v>6</v>
      </c>
      <c r="M33" s="1957">
        <f>R33</f>
        <v>5259</v>
      </c>
      <c r="N33" s="2674"/>
      <c r="O33" s="2675">
        <f>O14</f>
        <v>4382400</v>
      </c>
      <c r="P33" s="1961">
        <v>1.2</v>
      </c>
      <c r="Q33" s="1959">
        <v>1</v>
      </c>
      <c r="R33" s="1960">
        <f t="shared" si="4"/>
        <v>5259</v>
      </c>
      <c r="S33" s="1959"/>
      <c r="T33" s="1158"/>
    </row>
    <row r="34" spans="1:49" ht="21" customHeight="1">
      <c r="A34" s="501"/>
      <c r="B34" s="503"/>
      <c r="C34" s="503"/>
      <c r="D34" s="503"/>
      <c r="E34" s="503"/>
      <c r="F34" s="1052"/>
      <c r="G34" s="521"/>
      <c r="H34" s="1149"/>
      <c r="I34" s="1149"/>
      <c r="J34" s="515"/>
      <c r="K34" s="1151" t="s">
        <v>1688</v>
      </c>
      <c r="L34" s="545" t="s">
        <v>6</v>
      </c>
      <c r="M34" s="1957">
        <f>R34</f>
        <v>4979</v>
      </c>
      <c r="N34" s="2674"/>
      <c r="O34" s="2675">
        <f>O15</f>
        <v>4148520</v>
      </c>
      <c r="P34" s="1961">
        <v>1.2</v>
      </c>
      <c r="Q34" s="1959">
        <v>1</v>
      </c>
      <c r="R34" s="1960">
        <f t="shared" si="4"/>
        <v>4979</v>
      </c>
      <c r="S34" s="1959"/>
      <c r="T34" s="1158"/>
    </row>
    <row r="35" spans="1:49" ht="21" customHeight="1">
      <c r="A35" s="501"/>
      <c r="B35" s="503"/>
      <c r="C35" s="503"/>
      <c r="D35" s="503"/>
      <c r="E35" s="503"/>
      <c r="F35" s="1052"/>
      <c r="G35" s="503"/>
      <c r="H35" s="1149"/>
      <c r="I35" s="1149"/>
      <c r="J35" s="1150"/>
      <c r="K35" s="1155" t="s">
        <v>1689</v>
      </c>
      <c r="L35" s="1153"/>
      <c r="M35" s="1156">
        <f>M36+M37+M38+M39+M40+M44+M50+M53+M57+M58+M59+M60+M61</f>
        <v>18230751</v>
      </c>
      <c r="N35" s="1963" t="s">
        <v>1690</v>
      </c>
      <c r="O35" s="1964" t="s">
        <v>1691</v>
      </c>
      <c r="P35" s="2675"/>
      <c r="Q35" s="1959"/>
      <c r="R35" s="1959"/>
      <c r="S35" s="1965"/>
      <c r="T35" s="1966"/>
    </row>
    <row r="36" spans="1:49" ht="21" customHeight="1">
      <c r="A36" s="501"/>
      <c r="B36" s="503"/>
      <c r="C36" s="503"/>
      <c r="D36" s="503"/>
      <c r="E36" s="503"/>
      <c r="F36" s="1052"/>
      <c r="G36" s="503"/>
      <c r="H36" s="1149"/>
      <c r="I36" s="1149"/>
      <c r="J36" s="515"/>
      <c r="K36" s="1151" t="s">
        <v>1692</v>
      </c>
      <c r="L36" s="1153" t="s">
        <v>292</v>
      </c>
      <c r="M36" s="1152">
        <f>R36</f>
        <v>6861818</v>
      </c>
      <c r="N36" s="1958">
        <v>2030820</v>
      </c>
      <c r="O36" s="2675">
        <f>ROUNDUP(N36*(100%+$P$9),-1)</f>
        <v>2110030</v>
      </c>
      <c r="P36" s="2675">
        <v>271</v>
      </c>
      <c r="Q36" s="1959">
        <v>12</v>
      </c>
      <c r="R36" s="1960">
        <f t="shared" ref="R36:R39" si="5">ROUNDUP(O36*P36*Q36/1000,0)</f>
        <v>6861818</v>
      </c>
      <c r="S36" s="1959"/>
      <c r="T36" s="1158"/>
    </row>
    <row r="37" spans="1:49" ht="21" customHeight="1">
      <c r="A37" s="501"/>
      <c r="B37" s="503"/>
      <c r="C37" s="503"/>
      <c r="D37" s="503"/>
      <c r="E37" s="503"/>
      <c r="F37" s="1052"/>
      <c r="G37" s="1052"/>
      <c r="H37" s="1149"/>
      <c r="I37" s="1149"/>
      <c r="J37" s="515"/>
      <c r="K37" s="1151" t="s">
        <v>1693</v>
      </c>
      <c r="L37" s="545" t="s">
        <v>292</v>
      </c>
      <c r="M37" s="1152">
        <f>R37</f>
        <v>292680</v>
      </c>
      <c r="N37" s="2674"/>
      <c r="O37" s="2675">
        <v>90000</v>
      </c>
      <c r="P37" s="2675">
        <v>271</v>
      </c>
      <c r="Q37" s="1965">
        <v>12</v>
      </c>
      <c r="R37" s="1960">
        <f t="shared" si="5"/>
        <v>292680</v>
      </c>
      <c r="S37" s="1959"/>
      <c r="T37" s="1158"/>
      <c r="U37" s="500"/>
    </row>
    <row r="38" spans="1:49" ht="21" customHeight="1">
      <c r="A38" s="501"/>
      <c r="B38" s="503"/>
      <c r="C38" s="503"/>
      <c r="D38" s="503"/>
      <c r="E38" s="503"/>
      <c r="F38" s="1052"/>
      <c r="G38" s="503"/>
      <c r="H38" s="1149"/>
      <c r="I38" s="1149"/>
      <c r="J38" s="515"/>
      <c r="K38" s="1154" t="s">
        <v>1694</v>
      </c>
      <c r="L38" s="545" t="s">
        <v>292</v>
      </c>
      <c r="M38" s="1152">
        <f>R38</f>
        <v>227640</v>
      </c>
      <c r="N38" s="2674"/>
      <c r="O38" s="2675">
        <v>70000</v>
      </c>
      <c r="P38" s="2675">
        <v>271</v>
      </c>
      <c r="Q38" s="1959">
        <v>12</v>
      </c>
      <c r="R38" s="1960">
        <f t="shared" si="5"/>
        <v>227640</v>
      </c>
      <c r="S38" s="1967"/>
      <c r="T38" s="1968"/>
    </row>
    <row r="39" spans="1:49" s="500" customFormat="1" ht="21" customHeight="1">
      <c r="A39" s="501"/>
      <c r="B39" s="503"/>
      <c r="C39" s="503"/>
      <c r="D39" s="503"/>
      <c r="E39" s="503"/>
      <c r="F39" s="1052"/>
      <c r="G39" s="1052"/>
      <c r="H39" s="1149"/>
      <c r="I39" s="1149"/>
      <c r="J39" s="515"/>
      <c r="K39" s="1151" t="s">
        <v>1695</v>
      </c>
      <c r="L39" s="545" t="s">
        <v>6</v>
      </c>
      <c r="M39" s="1152">
        <f>R39</f>
        <v>585360</v>
      </c>
      <c r="N39" s="2674"/>
      <c r="O39" s="2675">
        <v>180000</v>
      </c>
      <c r="P39" s="2675">
        <v>271</v>
      </c>
      <c r="Q39" s="1959">
        <v>12</v>
      </c>
      <c r="R39" s="1960">
        <f t="shared" si="5"/>
        <v>585360</v>
      </c>
      <c r="S39" s="1959"/>
      <c r="T39" s="1158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  <c r="AL39" s="497"/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</row>
    <row r="40" spans="1:49" ht="21" customHeight="1">
      <c r="A40" s="501"/>
      <c r="B40" s="503"/>
      <c r="C40" s="503"/>
      <c r="D40" s="503"/>
      <c r="E40" s="503"/>
      <c r="F40" s="1052"/>
      <c r="G40" s="503"/>
      <c r="H40" s="1149"/>
      <c r="I40" s="1149"/>
      <c r="J40" s="515"/>
      <c r="K40" s="1157" t="s">
        <v>1696</v>
      </c>
      <c r="L40" s="1153"/>
      <c r="M40" s="1152">
        <f>SUM(M41:M43)</f>
        <v>3651772</v>
      </c>
      <c r="N40" s="2674"/>
      <c r="O40" s="2675"/>
      <c r="P40" s="2675"/>
      <c r="Q40" s="1967"/>
      <c r="R40" s="1967"/>
      <c r="S40" s="1959"/>
      <c r="T40" s="1158"/>
    </row>
    <row r="41" spans="1:49" ht="21" customHeight="1">
      <c r="A41" s="501"/>
      <c r="B41" s="503"/>
      <c r="C41" s="503"/>
      <c r="D41" s="503"/>
      <c r="E41" s="503"/>
      <c r="F41" s="1052"/>
      <c r="G41" s="503"/>
      <c r="H41" s="1149"/>
      <c r="I41" s="1149"/>
      <c r="J41" s="515"/>
      <c r="K41" s="1154" t="s">
        <v>1697</v>
      </c>
      <c r="L41" s="853" t="s">
        <v>6</v>
      </c>
      <c r="M41" s="1152">
        <f>R41</f>
        <v>1327917</v>
      </c>
      <c r="N41" s="2674"/>
      <c r="O41" s="2675">
        <f>SUM($O$36:$O$39)</f>
        <v>2450030</v>
      </c>
      <c r="P41" s="1961">
        <v>2</v>
      </c>
      <c r="Q41" s="1959">
        <v>271</v>
      </c>
      <c r="R41" s="1960">
        <f t="shared" ref="R41:R43" si="6">ROUNDUP(O41*P41*Q41/1000,0)</f>
        <v>1327917</v>
      </c>
      <c r="S41" s="1959"/>
      <c r="T41" s="1158"/>
      <c r="U41" s="500"/>
    </row>
    <row r="42" spans="1:49" ht="21" customHeight="1">
      <c r="A42" s="501"/>
      <c r="B42" s="503"/>
      <c r="C42" s="503"/>
      <c r="D42" s="503"/>
      <c r="E42" s="503"/>
      <c r="F42" s="1052"/>
      <c r="G42" s="503"/>
      <c r="H42" s="1149"/>
      <c r="I42" s="1149"/>
      <c r="J42" s="515"/>
      <c r="K42" s="1154" t="s">
        <v>1698</v>
      </c>
      <c r="L42" s="853" t="s">
        <v>6</v>
      </c>
      <c r="M42" s="1152">
        <f t="shared" ref="M42:M43" si="7">R42</f>
        <v>1659896</v>
      </c>
      <c r="N42" s="2674"/>
      <c r="O42" s="2675">
        <f t="shared" ref="O42:O43" si="8">SUM($O$36:$O$39)</f>
        <v>2450030</v>
      </c>
      <c r="P42" s="1961">
        <v>2.5</v>
      </c>
      <c r="Q42" s="1959">
        <v>271</v>
      </c>
      <c r="R42" s="1960">
        <f t="shared" si="6"/>
        <v>1659896</v>
      </c>
      <c r="S42" s="1959"/>
      <c r="T42" s="1158"/>
      <c r="U42" s="500"/>
    </row>
    <row r="43" spans="1:49" ht="21" customHeight="1">
      <c r="A43" s="501"/>
      <c r="B43" s="503"/>
      <c r="C43" s="503"/>
      <c r="D43" s="503"/>
      <c r="E43" s="503"/>
      <c r="F43" s="1052"/>
      <c r="G43" s="503"/>
      <c r="H43" s="1149"/>
      <c r="I43" s="1149"/>
      <c r="J43" s="515"/>
      <c r="K43" s="1154" t="s">
        <v>1699</v>
      </c>
      <c r="L43" s="853" t="s">
        <v>6</v>
      </c>
      <c r="M43" s="1152">
        <f t="shared" si="7"/>
        <v>663959</v>
      </c>
      <c r="N43" s="2674"/>
      <c r="O43" s="2675">
        <f t="shared" si="8"/>
        <v>2450030</v>
      </c>
      <c r="P43" s="1961">
        <v>1</v>
      </c>
      <c r="Q43" s="1959">
        <v>271</v>
      </c>
      <c r="R43" s="1960">
        <f t="shared" si="6"/>
        <v>663959</v>
      </c>
      <c r="S43" s="1959"/>
      <c r="T43" s="1158"/>
      <c r="U43" s="500"/>
    </row>
    <row r="44" spans="1:49" ht="21" customHeight="1">
      <c r="A44" s="501"/>
      <c r="B44" s="503"/>
      <c r="C44" s="503"/>
      <c r="D44" s="503"/>
      <c r="E44" s="503"/>
      <c r="F44" s="1052"/>
      <c r="G44" s="1052"/>
      <c r="H44" s="1149"/>
      <c r="I44" s="1149"/>
      <c r="J44" s="515"/>
      <c r="K44" s="1151" t="s">
        <v>1675</v>
      </c>
      <c r="L44" s="545"/>
      <c r="M44" s="1152">
        <f>SUM(M45:M49)</f>
        <v>272880</v>
      </c>
      <c r="N44" s="2674"/>
      <c r="O44" s="2675"/>
      <c r="P44" s="2675"/>
      <c r="Q44" s="1959"/>
      <c r="R44" s="1959"/>
      <c r="S44" s="1959"/>
      <c r="T44" s="1158"/>
      <c r="U44" s="500"/>
    </row>
    <row r="45" spans="1:49" ht="21" customHeight="1">
      <c r="A45" s="501"/>
      <c r="B45" s="503"/>
      <c r="C45" s="503"/>
      <c r="D45" s="503"/>
      <c r="E45" s="503"/>
      <c r="F45" s="1052"/>
      <c r="G45" s="1052"/>
      <c r="H45" s="1149"/>
      <c r="I45" s="1149"/>
      <c r="J45" s="515"/>
      <c r="K45" s="1151" t="s">
        <v>1700</v>
      </c>
      <c r="L45" s="545" t="s">
        <v>6</v>
      </c>
      <c r="M45" s="1152">
        <f>R45</f>
        <v>92640</v>
      </c>
      <c r="N45" s="2674"/>
      <c r="O45" s="2675">
        <v>40000</v>
      </c>
      <c r="P45" s="2675">
        <v>193</v>
      </c>
      <c r="Q45" s="1959">
        <v>12</v>
      </c>
      <c r="R45" s="1960">
        <f t="shared" ref="R45:R49" si="9">ROUNDUP(O45*P45*Q45/1000,0)</f>
        <v>92640</v>
      </c>
      <c r="S45" s="1959"/>
      <c r="T45" s="1158"/>
      <c r="U45" s="500"/>
    </row>
    <row r="46" spans="1:49" ht="21" customHeight="1">
      <c r="A46" s="501"/>
      <c r="B46" s="503"/>
      <c r="C46" s="503"/>
      <c r="D46" s="503"/>
      <c r="E46" s="503"/>
      <c r="F46" s="1052"/>
      <c r="G46" s="1052"/>
      <c r="H46" s="1149"/>
      <c r="I46" s="1149"/>
      <c r="J46" s="515"/>
      <c r="K46" s="1151" t="s">
        <v>1701</v>
      </c>
      <c r="L46" s="545" t="s">
        <v>6</v>
      </c>
      <c r="M46" s="1152">
        <f t="shared" ref="M46:M49" si="10">R46</f>
        <v>24000</v>
      </c>
      <c r="N46" s="2674"/>
      <c r="O46" s="2675">
        <v>20000</v>
      </c>
      <c r="P46" s="2675">
        <v>100</v>
      </c>
      <c r="Q46" s="1959">
        <v>12</v>
      </c>
      <c r="R46" s="1960">
        <f t="shared" si="9"/>
        <v>24000</v>
      </c>
      <c r="S46" s="1959"/>
      <c r="T46" s="1158"/>
    </row>
    <row r="47" spans="1:49" ht="21" customHeight="1">
      <c r="A47" s="501"/>
      <c r="B47" s="503"/>
      <c r="C47" s="503"/>
      <c r="D47" s="503"/>
      <c r="E47" s="503"/>
      <c r="F47" s="1052"/>
      <c r="G47" s="1052"/>
      <c r="H47" s="1149"/>
      <c r="I47" s="1149"/>
      <c r="J47" s="515"/>
      <c r="K47" s="1151" t="s">
        <v>1702</v>
      </c>
      <c r="L47" s="545" t="s">
        <v>6</v>
      </c>
      <c r="M47" s="1152">
        <f t="shared" si="10"/>
        <v>35640</v>
      </c>
      <c r="N47" s="2674"/>
      <c r="O47" s="2675">
        <v>30000</v>
      </c>
      <c r="P47" s="2675">
        <v>99</v>
      </c>
      <c r="Q47" s="1959">
        <v>12</v>
      </c>
      <c r="R47" s="1960">
        <f t="shared" si="9"/>
        <v>35640</v>
      </c>
      <c r="S47" s="1959"/>
      <c r="T47" s="1158"/>
    </row>
    <row r="48" spans="1:49" ht="21" customHeight="1">
      <c r="A48" s="501"/>
      <c r="B48" s="503"/>
      <c r="C48" s="503"/>
      <c r="D48" s="503"/>
      <c r="E48" s="503"/>
      <c r="F48" s="1052"/>
      <c r="G48" s="1052"/>
      <c r="H48" s="1149"/>
      <c r="I48" s="1149"/>
      <c r="J48" s="515"/>
      <c r="K48" s="1151" t="s">
        <v>1703</v>
      </c>
      <c r="L48" s="545" t="s">
        <v>6</v>
      </c>
      <c r="M48" s="1152">
        <f t="shared" si="10"/>
        <v>73080</v>
      </c>
      <c r="N48" s="2674"/>
      <c r="O48" s="2675">
        <v>70000</v>
      </c>
      <c r="P48" s="2675">
        <v>87</v>
      </c>
      <c r="Q48" s="1959">
        <v>12</v>
      </c>
      <c r="R48" s="1960">
        <f t="shared" si="9"/>
        <v>73080</v>
      </c>
      <c r="S48" s="1959"/>
      <c r="T48" s="1158"/>
    </row>
    <row r="49" spans="1:22" ht="21" customHeight="1">
      <c r="A49" s="501"/>
      <c r="B49" s="503"/>
      <c r="C49" s="503"/>
      <c r="D49" s="503"/>
      <c r="E49" s="503"/>
      <c r="F49" s="1052"/>
      <c r="G49" s="1052"/>
      <c r="H49" s="1149"/>
      <c r="I49" s="1149"/>
      <c r="J49" s="515"/>
      <c r="K49" s="1151" t="s">
        <v>1704</v>
      </c>
      <c r="L49" s="545" t="s">
        <v>6</v>
      </c>
      <c r="M49" s="1152">
        <f t="shared" si="10"/>
        <v>47520</v>
      </c>
      <c r="N49" s="2674"/>
      <c r="O49" s="2675">
        <v>110000</v>
      </c>
      <c r="P49" s="2675">
        <v>36</v>
      </c>
      <c r="Q49" s="1959">
        <v>12</v>
      </c>
      <c r="R49" s="1960">
        <f t="shared" si="9"/>
        <v>47520</v>
      </c>
      <c r="S49" s="1959"/>
      <c r="T49" s="1158"/>
    </row>
    <row r="50" spans="1:22" ht="21" customHeight="1">
      <c r="A50" s="501"/>
      <c r="B50" s="503"/>
      <c r="C50" s="503"/>
      <c r="D50" s="503"/>
      <c r="E50" s="503"/>
      <c r="F50" s="1052"/>
      <c r="G50" s="1052"/>
      <c r="H50" s="1149"/>
      <c r="I50" s="1149"/>
      <c r="J50" s="515"/>
      <c r="K50" s="1151" t="s">
        <v>1705</v>
      </c>
      <c r="L50" s="545"/>
      <c r="M50" s="1152">
        <f>SUM(M51:M52)</f>
        <v>120288</v>
      </c>
      <c r="N50" s="2674"/>
      <c r="O50" s="2675"/>
      <c r="P50" s="2675"/>
      <c r="Q50" s="1959"/>
      <c r="R50" s="1960"/>
      <c r="S50" s="1959"/>
      <c r="T50" s="1158"/>
    </row>
    <row r="51" spans="1:22" ht="21" customHeight="1">
      <c r="A51" s="501"/>
      <c r="B51" s="503"/>
      <c r="C51" s="503"/>
      <c r="D51" s="503"/>
      <c r="E51" s="503"/>
      <c r="F51" s="1052"/>
      <c r="G51" s="1052"/>
      <c r="H51" s="1149"/>
      <c r="I51" s="1149"/>
      <c r="J51" s="515"/>
      <c r="K51" s="1151" t="s">
        <v>1706</v>
      </c>
      <c r="L51" s="545" t="s">
        <v>292</v>
      </c>
      <c r="M51" s="1152">
        <f t="shared" ref="M51:M52" si="11">R51</f>
        <v>43680</v>
      </c>
      <c r="N51" s="2674"/>
      <c r="O51" s="2675">
        <v>40000</v>
      </c>
      <c r="P51" s="2675">
        <v>91</v>
      </c>
      <c r="Q51" s="1959">
        <v>12</v>
      </c>
      <c r="R51" s="1960">
        <f t="shared" ref="R51:R52" si="12">ROUNDUP(O51*P51*Q51/1000,0)</f>
        <v>43680</v>
      </c>
      <c r="S51" s="3003" t="s">
        <v>1707</v>
      </c>
      <c r="T51" s="3004"/>
    </row>
    <row r="52" spans="1:22" ht="21" customHeight="1">
      <c r="A52" s="501"/>
      <c r="B52" s="503"/>
      <c r="C52" s="503"/>
      <c r="D52" s="503"/>
      <c r="E52" s="503"/>
      <c r="F52" s="1052"/>
      <c r="G52" s="1052"/>
      <c r="H52" s="1149"/>
      <c r="I52" s="1149"/>
      <c r="J52" s="515"/>
      <c r="K52" s="1151" t="s">
        <v>1708</v>
      </c>
      <c r="L52" s="545" t="s">
        <v>292</v>
      </c>
      <c r="M52" s="1152">
        <f t="shared" si="11"/>
        <v>76608</v>
      </c>
      <c r="N52" s="2674"/>
      <c r="O52" s="2675">
        <v>48000</v>
      </c>
      <c r="P52" s="2675">
        <v>133</v>
      </c>
      <c r="Q52" s="1959">
        <v>12</v>
      </c>
      <c r="R52" s="1960">
        <f t="shared" si="12"/>
        <v>76608</v>
      </c>
      <c r="S52" s="1959"/>
      <c r="T52" s="1158"/>
    </row>
    <row r="53" spans="1:22" ht="21" customHeight="1">
      <c r="A53" s="501"/>
      <c r="B53" s="503"/>
      <c r="C53" s="503"/>
      <c r="D53" s="503"/>
      <c r="E53" s="503"/>
      <c r="F53" s="1052"/>
      <c r="G53" s="503"/>
      <c r="H53" s="1149"/>
      <c r="I53" s="1149"/>
      <c r="J53" s="515"/>
      <c r="K53" s="1151" t="s">
        <v>1681</v>
      </c>
      <c r="L53" s="853"/>
      <c r="M53" s="1152">
        <f>SUM(M54:M56)</f>
        <v>4663575</v>
      </c>
      <c r="N53" s="2674"/>
      <c r="O53" s="2675"/>
      <c r="P53" s="2675"/>
      <c r="Q53" s="1959"/>
      <c r="R53" s="1959"/>
      <c r="S53" s="1959"/>
      <c r="T53" s="1158"/>
    </row>
    <row r="54" spans="1:22" ht="21" customHeight="1">
      <c r="A54" s="501"/>
      <c r="B54" s="503"/>
      <c r="C54" s="503"/>
      <c r="D54" s="503"/>
      <c r="E54" s="503"/>
      <c r="F54" s="1052"/>
      <c r="G54" s="521"/>
      <c r="H54" s="1149"/>
      <c r="I54" s="1149"/>
      <c r="J54" s="515"/>
      <c r="K54" s="1154" t="s">
        <v>1709</v>
      </c>
      <c r="L54" s="853" t="s">
        <v>6</v>
      </c>
      <c r="M54" s="1152">
        <f>T54</f>
        <v>64080</v>
      </c>
      <c r="N54" s="2674"/>
      <c r="O54" s="2675">
        <v>17800</v>
      </c>
      <c r="P54" s="1961">
        <v>1.5</v>
      </c>
      <c r="Q54" s="1959">
        <v>4</v>
      </c>
      <c r="R54" s="1959">
        <v>50</v>
      </c>
      <c r="S54" s="1959">
        <v>12</v>
      </c>
      <c r="T54" s="1158">
        <f t="shared" ref="T54:T56" si="13">ROUNDUP(O54*P54*Q54*R54*S54/1000,0)</f>
        <v>64080</v>
      </c>
    </row>
    <row r="55" spans="1:22" ht="21" customHeight="1">
      <c r="A55" s="501"/>
      <c r="B55" s="503"/>
      <c r="C55" s="503"/>
      <c r="D55" s="503"/>
      <c r="E55" s="503"/>
      <c r="F55" s="1052"/>
      <c r="G55" s="503"/>
      <c r="H55" s="1149"/>
      <c r="I55" s="1149"/>
      <c r="J55" s="515"/>
      <c r="K55" s="1154" t="s">
        <v>1710</v>
      </c>
      <c r="L55" s="853" t="s">
        <v>6</v>
      </c>
      <c r="M55" s="1152">
        <f t="shared" ref="M55:M56" si="14">T55</f>
        <v>3878336</v>
      </c>
      <c r="N55" s="2674"/>
      <c r="O55" s="2675">
        <v>17800</v>
      </c>
      <c r="P55" s="1961">
        <v>1.5</v>
      </c>
      <c r="Q55" s="1959">
        <v>8</v>
      </c>
      <c r="R55" s="1959">
        <v>271</v>
      </c>
      <c r="S55" s="1959">
        <v>67</v>
      </c>
      <c r="T55" s="1158">
        <f t="shared" si="13"/>
        <v>3878336</v>
      </c>
    </row>
    <row r="56" spans="1:22" ht="21" customHeight="1">
      <c r="A56" s="501"/>
      <c r="B56" s="503"/>
      <c r="C56" s="503"/>
      <c r="D56" s="503"/>
      <c r="E56" s="503"/>
      <c r="F56" s="1052"/>
      <c r="G56" s="503"/>
      <c r="H56" s="1149"/>
      <c r="I56" s="1149"/>
      <c r="J56" s="515"/>
      <c r="K56" s="1154" t="s">
        <v>1711</v>
      </c>
      <c r="L56" s="853" t="s">
        <v>6</v>
      </c>
      <c r="M56" s="1152">
        <f t="shared" si="14"/>
        <v>721159</v>
      </c>
      <c r="N56" s="2674"/>
      <c r="O56" s="2675">
        <v>17800</v>
      </c>
      <c r="P56" s="1961">
        <v>0.5</v>
      </c>
      <c r="Q56" s="1959">
        <v>1</v>
      </c>
      <c r="R56" s="1959">
        <v>271</v>
      </c>
      <c r="S56" s="1959">
        <v>299</v>
      </c>
      <c r="T56" s="1158">
        <f t="shared" si="13"/>
        <v>721159</v>
      </c>
    </row>
    <row r="57" spans="1:22" ht="21" customHeight="1">
      <c r="A57" s="501"/>
      <c r="B57" s="503"/>
      <c r="C57" s="503"/>
      <c r="D57" s="503"/>
      <c r="E57" s="503"/>
      <c r="F57" s="1052"/>
      <c r="G57" s="503"/>
      <c r="H57" s="1149"/>
      <c r="I57" s="1149"/>
      <c r="J57" s="515"/>
      <c r="K57" s="1154" t="s">
        <v>1712</v>
      </c>
      <c r="L57" s="853" t="s">
        <v>292</v>
      </c>
      <c r="M57" s="1152">
        <f>R57</f>
        <v>694628</v>
      </c>
      <c r="N57" s="2674"/>
      <c r="O57" s="2675">
        <f>O56*8</f>
        <v>142400</v>
      </c>
      <c r="P57" s="2675">
        <v>271</v>
      </c>
      <c r="Q57" s="1959">
        <v>18</v>
      </c>
      <c r="R57" s="1960">
        <f t="shared" ref="R57:R61" si="15">ROUNDUP(O57*P57*Q57/1000,0)</f>
        <v>694628</v>
      </c>
      <c r="S57" s="1959"/>
      <c r="T57" s="1158"/>
    </row>
    <row r="58" spans="1:22" ht="21" customHeight="1">
      <c r="A58" s="501"/>
      <c r="B58" s="503"/>
      <c r="C58" s="503"/>
      <c r="D58" s="503"/>
      <c r="E58" s="503"/>
      <c r="F58" s="1052"/>
      <c r="G58" s="1052"/>
      <c r="H58" s="1149"/>
      <c r="I58" s="1149"/>
      <c r="J58" s="515"/>
      <c r="K58" s="1151" t="s">
        <v>1713</v>
      </c>
      <c r="L58" s="545" t="s">
        <v>6</v>
      </c>
      <c r="M58" s="1152">
        <f>R58</f>
        <v>796750</v>
      </c>
      <c r="N58" s="2674"/>
      <c r="O58" s="2675">
        <f>SUM($O$36:$O$39)</f>
        <v>2450030</v>
      </c>
      <c r="P58" s="2675">
        <v>271</v>
      </c>
      <c r="Q58" s="1969">
        <v>1.2</v>
      </c>
      <c r="R58" s="1960">
        <f t="shared" si="15"/>
        <v>796750</v>
      </c>
      <c r="S58" s="1959"/>
      <c r="T58" s="1158"/>
    </row>
    <row r="59" spans="1:22" ht="21" customHeight="1">
      <c r="A59" s="501"/>
      <c r="B59" s="503"/>
      <c r="C59" s="503"/>
      <c r="D59" s="503"/>
      <c r="E59" s="503"/>
      <c r="F59" s="1052"/>
      <c r="G59" s="1052"/>
      <c r="H59" s="1149"/>
      <c r="I59" s="1149"/>
      <c r="J59" s="1150"/>
      <c r="K59" s="1151" t="s">
        <v>1714</v>
      </c>
      <c r="L59" s="545" t="s">
        <v>292</v>
      </c>
      <c r="M59" s="1152">
        <f>R59</f>
        <v>25200</v>
      </c>
      <c r="N59" s="2674"/>
      <c r="O59" s="2675">
        <v>10000</v>
      </c>
      <c r="P59" s="2675">
        <v>210</v>
      </c>
      <c r="Q59" s="1959">
        <v>12</v>
      </c>
      <c r="R59" s="1960">
        <f t="shared" si="15"/>
        <v>25200</v>
      </c>
      <c r="S59" s="1959"/>
      <c r="T59" s="1158"/>
    </row>
    <row r="60" spans="1:22" ht="21" customHeight="1">
      <c r="A60" s="501"/>
      <c r="B60" s="503"/>
      <c r="C60" s="503"/>
      <c r="D60" s="503"/>
      <c r="E60" s="503"/>
      <c r="F60" s="1052"/>
      <c r="G60" s="1052"/>
      <c r="H60" s="1149"/>
      <c r="I60" s="1149"/>
      <c r="J60" s="1150"/>
      <c r="K60" s="1151" t="s">
        <v>1715</v>
      </c>
      <c r="L60" s="545" t="s">
        <v>292</v>
      </c>
      <c r="M60" s="1158">
        <f>R60</f>
        <v>13200</v>
      </c>
      <c r="N60" s="2674"/>
      <c r="O60" s="2675">
        <v>100000</v>
      </c>
      <c r="P60" s="2675">
        <v>11</v>
      </c>
      <c r="Q60" s="1959">
        <v>12</v>
      </c>
      <c r="R60" s="1960">
        <f t="shared" si="15"/>
        <v>13200</v>
      </c>
      <c r="S60" s="1959"/>
      <c r="T60" s="1158"/>
    </row>
    <row r="61" spans="1:22" ht="21" customHeight="1">
      <c r="A61" s="501"/>
      <c r="B61" s="503"/>
      <c r="C61" s="503"/>
      <c r="D61" s="503"/>
      <c r="E61" s="503"/>
      <c r="F61" s="1052"/>
      <c r="G61" s="1052"/>
      <c r="H61" s="1149"/>
      <c r="I61" s="1149"/>
      <c r="J61" s="1150"/>
      <c r="K61" s="1151" t="s">
        <v>1716</v>
      </c>
      <c r="L61" s="545" t="s">
        <v>292</v>
      </c>
      <c r="M61" s="1152">
        <f>R61</f>
        <v>24960</v>
      </c>
      <c r="N61" s="2674"/>
      <c r="O61" s="2675">
        <v>40000</v>
      </c>
      <c r="P61" s="2675">
        <v>52</v>
      </c>
      <c r="Q61" s="1959">
        <v>12</v>
      </c>
      <c r="R61" s="1960">
        <f t="shared" si="15"/>
        <v>24960</v>
      </c>
      <c r="S61" s="1959"/>
      <c r="T61" s="1158"/>
    </row>
    <row r="62" spans="1:22" ht="21" customHeight="1">
      <c r="A62" s="501"/>
      <c r="B62" s="503"/>
      <c r="C62" s="503"/>
      <c r="D62" s="503"/>
      <c r="E62" s="503"/>
      <c r="F62" s="1052"/>
      <c r="G62" s="522" t="s">
        <v>500</v>
      </c>
      <c r="H62" s="1159">
        <f>M62</f>
        <v>72194</v>
      </c>
      <c r="I62" s="1159">
        <v>72192</v>
      </c>
      <c r="J62" s="520">
        <f>H62-I62</f>
        <v>2</v>
      </c>
      <c r="K62" s="540" t="s">
        <v>1717</v>
      </c>
      <c r="L62" s="546"/>
      <c r="M62" s="534">
        <f>M63</f>
        <v>72194</v>
      </c>
      <c r="N62" s="2674"/>
      <c r="O62" s="2675"/>
      <c r="P62" s="2675"/>
      <c r="Q62" s="1959"/>
      <c r="R62" s="1959"/>
      <c r="S62" s="1959"/>
      <c r="T62" s="1158"/>
    </row>
    <row r="63" spans="1:22" ht="21" customHeight="1">
      <c r="A63" s="501"/>
      <c r="B63" s="503"/>
      <c r="C63" s="503"/>
      <c r="D63" s="503"/>
      <c r="E63" s="503"/>
      <c r="F63" s="1052"/>
      <c r="G63" s="1052"/>
      <c r="H63" s="1147"/>
      <c r="I63" s="1147"/>
      <c r="J63" s="1150"/>
      <c r="K63" s="1970" t="s">
        <v>1718</v>
      </c>
      <c r="L63" s="545"/>
      <c r="M63" s="526">
        <f>M64+M65</f>
        <v>72194</v>
      </c>
      <c r="N63" s="2987"/>
      <c r="O63" s="2988"/>
      <c r="P63" s="2675"/>
      <c r="Q63" s="1959"/>
      <c r="R63" s="1959"/>
      <c r="S63" s="1959"/>
      <c r="T63" s="1158"/>
    </row>
    <row r="64" spans="1:22" s="500" customFormat="1" ht="21" customHeight="1">
      <c r="A64" s="501"/>
      <c r="B64" s="503"/>
      <c r="C64" s="503"/>
      <c r="D64" s="503"/>
      <c r="E64" s="503"/>
      <c r="F64" s="1052"/>
      <c r="G64" s="1052"/>
      <c r="H64" s="1147"/>
      <c r="I64" s="1147"/>
      <c r="J64" s="1150"/>
      <c r="K64" s="308" t="s">
        <v>1719</v>
      </c>
      <c r="L64" s="545" t="s">
        <v>6</v>
      </c>
      <c r="M64" s="638">
        <f>S64</f>
        <v>66962</v>
      </c>
      <c r="N64" s="2674"/>
      <c r="O64" s="2675">
        <v>174380</v>
      </c>
      <c r="P64" s="2675">
        <v>2</v>
      </c>
      <c r="Q64" s="1959">
        <v>16</v>
      </c>
      <c r="R64" s="1959">
        <v>12</v>
      </c>
      <c r="S64" s="1960">
        <f>ROUNDUP(O64*P64*Q64*R64/1000,0)</f>
        <v>66962</v>
      </c>
      <c r="T64" s="1158"/>
      <c r="U64" s="497"/>
      <c r="V64" s="497"/>
    </row>
    <row r="65" spans="1:22" s="500" customFormat="1" ht="21" customHeight="1">
      <c r="A65" s="501"/>
      <c r="B65" s="503"/>
      <c r="C65" s="503"/>
      <c r="D65" s="503"/>
      <c r="E65" s="503"/>
      <c r="F65" s="1052"/>
      <c r="G65" s="1052"/>
      <c r="H65" s="1147"/>
      <c r="I65" s="1147"/>
      <c r="J65" s="1150"/>
      <c r="K65" s="308" t="s">
        <v>1720</v>
      </c>
      <c r="L65" s="545" t="s">
        <v>6</v>
      </c>
      <c r="M65" s="638">
        <f>R65</f>
        <v>5232</v>
      </c>
      <c r="N65" s="2674"/>
      <c r="O65" s="2675">
        <v>174380</v>
      </c>
      <c r="P65" s="2675">
        <v>2</v>
      </c>
      <c r="Q65" s="1959">
        <v>15</v>
      </c>
      <c r="R65" s="1960">
        <f t="shared" ref="R65" si="16">ROUNDUP(O65*P65*Q65/1000,0)</f>
        <v>5232</v>
      </c>
      <c r="S65" s="1959"/>
      <c r="T65" s="1158"/>
      <c r="U65" s="497"/>
      <c r="V65" s="497"/>
    </row>
    <row r="66" spans="1:22" ht="21" customHeight="1">
      <c r="A66" s="501"/>
      <c r="B66" s="503"/>
      <c r="C66" s="503"/>
      <c r="D66" s="503"/>
      <c r="E66" s="1026" t="s">
        <v>855</v>
      </c>
      <c r="F66" s="1160"/>
      <c r="G66" s="1161"/>
      <c r="H66" s="1162">
        <f>H67+H134+H143</f>
        <v>1952922</v>
      </c>
      <c r="I66" s="1162">
        <v>1923372</v>
      </c>
      <c r="J66" s="1163">
        <f>H66-I66</f>
        <v>29550</v>
      </c>
      <c r="K66" s="1164"/>
      <c r="L66" s="1165"/>
      <c r="M66" s="1166"/>
      <c r="N66" s="2674"/>
      <c r="O66" s="2675"/>
      <c r="P66" s="2675"/>
      <c r="Q66" s="1959"/>
      <c r="R66" s="1959"/>
      <c r="S66" s="1959"/>
      <c r="T66" s="1158"/>
      <c r="U66" s="500"/>
    </row>
    <row r="67" spans="1:22" ht="21" customHeight="1">
      <c r="A67" s="501"/>
      <c r="B67" s="503"/>
      <c r="C67" s="503"/>
      <c r="D67" s="503"/>
      <c r="E67" s="503"/>
      <c r="F67" s="1144" t="s">
        <v>49</v>
      </c>
      <c r="G67" s="1144"/>
      <c r="H67" s="1145">
        <f>H68+H99+H107+H117+H126+H96+H94</f>
        <v>1905562</v>
      </c>
      <c r="I67" s="1145">
        <v>1875532</v>
      </c>
      <c r="J67" s="516">
        <f>H67-I67</f>
        <v>30030</v>
      </c>
      <c r="K67" s="528"/>
      <c r="L67" s="529"/>
      <c r="M67" s="530"/>
      <c r="N67" s="2674"/>
      <c r="O67" s="2675"/>
      <c r="P67" s="2675"/>
      <c r="Q67" s="1959"/>
      <c r="R67" s="1959"/>
      <c r="S67" s="1959"/>
      <c r="T67" s="1158"/>
      <c r="U67" s="500"/>
    </row>
    <row r="68" spans="1:22" ht="21" customHeight="1">
      <c r="A68" s="501"/>
      <c r="B68" s="499"/>
      <c r="C68" s="499"/>
      <c r="D68" s="503"/>
      <c r="E68" s="503"/>
      <c r="F68" s="502"/>
      <c r="G68" s="502" t="s">
        <v>340</v>
      </c>
      <c r="H68" s="1146">
        <f>M68</f>
        <v>49295</v>
      </c>
      <c r="I68" s="1146">
        <v>50980</v>
      </c>
      <c r="J68" s="520">
        <f>H68-I68</f>
        <v>-1685</v>
      </c>
      <c r="K68" s="1971"/>
      <c r="L68" s="533"/>
      <c r="M68" s="534">
        <f>M69+M80+M88+M89+M90+M91+M93+M87+M92</f>
        <v>49295</v>
      </c>
      <c r="N68" s="2674"/>
      <c r="O68" s="2675"/>
      <c r="P68" s="2675"/>
      <c r="Q68" s="1959"/>
      <c r="R68" s="1959"/>
      <c r="S68" s="1959"/>
      <c r="T68" s="1158"/>
      <c r="U68" s="500"/>
    </row>
    <row r="69" spans="1:22" s="500" customFormat="1" ht="21" customHeight="1">
      <c r="A69" s="501"/>
      <c r="B69" s="499"/>
      <c r="C69" s="499"/>
      <c r="D69" s="499"/>
      <c r="E69" s="499"/>
      <c r="F69" s="499"/>
      <c r="G69" s="499"/>
      <c r="H69" s="1609"/>
      <c r="I69" s="1609"/>
      <c r="J69" s="1150"/>
      <c r="K69" s="524" t="s">
        <v>398</v>
      </c>
      <c r="L69" s="532"/>
      <c r="M69" s="638">
        <f>SUM(M70:M79)</f>
        <v>27210</v>
      </c>
      <c r="N69" s="2674"/>
      <c r="O69" s="2675"/>
      <c r="P69" s="2675"/>
      <c r="Q69" s="1959"/>
      <c r="R69" s="1959"/>
      <c r="S69" s="1959"/>
      <c r="T69" s="1158"/>
    </row>
    <row r="70" spans="1:22" s="500" customFormat="1" ht="21" customHeight="1">
      <c r="A70" s="501"/>
      <c r="B70" s="499"/>
      <c r="C70" s="499"/>
      <c r="D70" s="499"/>
      <c r="E70" s="499"/>
      <c r="F70" s="499"/>
      <c r="G70" s="499"/>
      <c r="H70" s="1609"/>
      <c r="I70" s="1609"/>
      <c r="J70" s="1150"/>
      <c r="K70" s="523" t="s">
        <v>1721</v>
      </c>
      <c r="L70" s="532" t="s">
        <v>6</v>
      </c>
      <c r="M70" s="638">
        <f t="shared" ref="M70:M76" si="17">R70</f>
        <v>4800</v>
      </c>
      <c r="N70" s="2674"/>
      <c r="O70" s="2675">
        <v>4000</v>
      </c>
      <c r="P70" s="2675">
        <v>200</v>
      </c>
      <c r="Q70" s="1959">
        <v>6</v>
      </c>
      <c r="R70" s="1960">
        <f t="shared" ref="R70:R79" si="18">ROUNDUP(O70*P70*Q70/1000,0)</f>
        <v>4800</v>
      </c>
      <c r="S70" s="1960"/>
      <c r="T70" s="1158"/>
    </row>
    <row r="71" spans="1:22" ht="21" customHeight="1">
      <c r="A71" s="501"/>
      <c r="B71" s="499"/>
      <c r="C71" s="499"/>
      <c r="D71" s="499"/>
      <c r="E71" s="499"/>
      <c r="F71" s="499"/>
      <c r="G71" s="499"/>
      <c r="H71" s="1609"/>
      <c r="I71" s="1609"/>
      <c r="J71" s="1150"/>
      <c r="K71" s="523" t="s">
        <v>1722</v>
      </c>
      <c r="L71" s="532" t="s">
        <v>292</v>
      </c>
      <c r="M71" s="638">
        <f t="shared" si="17"/>
        <v>3120</v>
      </c>
      <c r="N71" s="2674"/>
      <c r="O71" s="2675">
        <v>6500</v>
      </c>
      <c r="P71" s="2675">
        <v>80</v>
      </c>
      <c r="Q71" s="1959">
        <v>6</v>
      </c>
      <c r="R71" s="1960">
        <f t="shared" si="18"/>
        <v>3120</v>
      </c>
      <c r="S71" s="1959"/>
      <c r="T71" s="1158"/>
      <c r="U71" s="500"/>
    </row>
    <row r="72" spans="1:22" s="500" customFormat="1" ht="21" customHeight="1">
      <c r="A72" s="501"/>
      <c r="B72" s="499"/>
      <c r="C72" s="499"/>
      <c r="D72" s="499"/>
      <c r="E72" s="499"/>
      <c r="F72" s="499"/>
      <c r="G72" s="499"/>
      <c r="H72" s="1609"/>
      <c r="I72" s="1609"/>
      <c r="J72" s="1150"/>
      <c r="K72" s="1620" t="s">
        <v>1723</v>
      </c>
      <c r="L72" s="532" t="s">
        <v>6</v>
      </c>
      <c r="M72" s="638">
        <f t="shared" si="17"/>
        <v>3360</v>
      </c>
      <c r="N72" s="2674"/>
      <c r="O72" s="2675">
        <v>8000</v>
      </c>
      <c r="P72" s="2675">
        <v>70</v>
      </c>
      <c r="Q72" s="1959">
        <v>6</v>
      </c>
      <c r="R72" s="1960">
        <f t="shared" si="18"/>
        <v>3360</v>
      </c>
      <c r="S72" s="1959"/>
      <c r="T72" s="1158"/>
    </row>
    <row r="73" spans="1:22" s="500" customFormat="1" ht="21" customHeight="1">
      <c r="A73" s="501"/>
      <c r="B73" s="499"/>
      <c r="C73" s="499"/>
      <c r="D73" s="499"/>
      <c r="E73" s="499"/>
      <c r="F73" s="499"/>
      <c r="G73" s="499"/>
      <c r="H73" s="1609"/>
      <c r="I73" s="1609"/>
      <c r="J73" s="1150"/>
      <c r="K73" s="1148" t="s">
        <v>1724</v>
      </c>
      <c r="L73" s="1103" t="s">
        <v>6</v>
      </c>
      <c r="M73" s="638">
        <f t="shared" si="17"/>
        <v>1800</v>
      </c>
      <c r="N73" s="2674"/>
      <c r="O73" s="2675">
        <v>600</v>
      </c>
      <c r="P73" s="2675">
        <v>1000</v>
      </c>
      <c r="Q73" s="1959">
        <v>3</v>
      </c>
      <c r="R73" s="1960">
        <f t="shared" si="18"/>
        <v>1800</v>
      </c>
      <c r="S73" s="1972"/>
      <c r="T73" s="1973"/>
    </row>
    <row r="74" spans="1:22" s="500" customFormat="1" ht="21" customHeight="1">
      <c r="A74" s="501"/>
      <c r="B74" s="499"/>
      <c r="C74" s="499"/>
      <c r="D74" s="499"/>
      <c r="E74" s="499"/>
      <c r="F74" s="499"/>
      <c r="G74" s="499"/>
      <c r="H74" s="1609"/>
      <c r="I74" s="1609"/>
      <c r="J74" s="1150"/>
      <c r="K74" s="523" t="s">
        <v>974</v>
      </c>
      <c r="L74" s="532" t="s">
        <v>6</v>
      </c>
      <c r="M74" s="638">
        <f t="shared" si="17"/>
        <v>1200</v>
      </c>
      <c r="N74" s="2674"/>
      <c r="O74" s="2675">
        <v>6000</v>
      </c>
      <c r="P74" s="2675">
        <v>100</v>
      </c>
      <c r="Q74" s="1959">
        <v>2</v>
      </c>
      <c r="R74" s="1959">
        <f t="shared" si="18"/>
        <v>1200</v>
      </c>
      <c r="S74" s="1972"/>
      <c r="T74" s="1973"/>
    </row>
    <row r="75" spans="1:22" s="500" customFormat="1" ht="21" customHeight="1">
      <c r="A75" s="501"/>
      <c r="B75" s="499"/>
      <c r="C75" s="499"/>
      <c r="D75" s="499"/>
      <c r="E75" s="499"/>
      <c r="F75" s="499"/>
      <c r="G75" s="499"/>
      <c r="H75" s="1609"/>
      <c r="I75" s="1609"/>
      <c r="J75" s="1150"/>
      <c r="K75" s="1148" t="s">
        <v>1725</v>
      </c>
      <c r="L75" s="1103" t="s">
        <v>6</v>
      </c>
      <c r="M75" s="638">
        <f t="shared" si="17"/>
        <v>330</v>
      </c>
      <c r="N75" s="2674"/>
      <c r="O75" s="2675">
        <v>33000</v>
      </c>
      <c r="P75" s="2675">
        <v>10</v>
      </c>
      <c r="Q75" s="1972">
        <v>1</v>
      </c>
      <c r="R75" s="1972">
        <f t="shared" si="18"/>
        <v>330</v>
      </c>
      <c r="S75" s="1974"/>
      <c r="T75" s="1975"/>
    </row>
    <row r="76" spans="1:22" s="500" customFormat="1" ht="21" customHeight="1">
      <c r="A76" s="501"/>
      <c r="B76" s="499"/>
      <c r="C76" s="499"/>
      <c r="D76" s="499"/>
      <c r="E76" s="499"/>
      <c r="F76" s="499"/>
      <c r="G76" s="499"/>
      <c r="H76" s="1609"/>
      <c r="I76" s="1609"/>
      <c r="J76" s="1150"/>
      <c r="K76" s="1976" t="s">
        <v>1726</v>
      </c>
      <c r="L76" s="1103" t="s">
        <v>6</v>
      </c>
      <c r="M76" s="638">
        <f t="shared" si="17"/>
        <v>5000</v>
      </c>
      <c r="N76" s="2674"/>
      <c r="O76" s="2675">
        <v>50000</v>
      </c>
      <c r="P76" s="2675">
        <v>50</v>
      </c>
      <c r="Q76" s="1972">
        <v>2</v>
      </c>
      <c r="R76" s="1972">
        <f t="shared" si="18"/>
        <v>5000</v>
      </c>
      <c r="S76" s="1974"/>
      <c r="T76" s="1975"/>
    </row>
    <row r="77" spans="1:22" s="500" customFormat="1" ht="21" customHeight="1">
      <c r="A77" s="501"/>
      <c r="B77" s="499"/>
      <c r="C77" s="499"/>
      <c r="D77" s="499"/>
      <c r="E77" s="499"/>
      <c r="F77" s="499"/>
      <c r="G77" s="499"/>
      <c r="H77" s="1609"/>
      <c r="I77" s="1609"/>
      <c r="J77" s="1150"/>
      <c r="K77" s="1976" t="s">
        <v>1727</v>
      </c>
      <c r="L77" s="1103" t="s">
        <v>6</v>
      </c>
      <c r="M77" s="638">
        <f>S77</f>
        <v>2000</v>
      </c>
      <c r="N77" s="2674"/>
      <c r="O77" s="2675">
        <v>10000</v>
      </c>
      <c r="P77" s="2675">
        <v>50</v>
      </c>
      <c r="Q77" s="1974">
        <v>2</v>
      </c>
      <c r="R77" s="1974">
        <v>2</v>
      </c>
      <c r="S77" s="1959">
        <f>ROUNDUP(O77*P77*Q77*R77/1000,0)</f>
        <v>2000</v>
      </c>
      <c r="T77" s="1973"/>
    </row>
    <row r="78" spans="1:22" s="500" customFormat="1" ht="21" customHeight="1">
      <c r="A78" s="501"/>
      <c r="B78" s="499"/>
      <c r="C78" s="499"/>
      <c r="D78" s="499"/>
      <c r="E78" s="499"/>
      <c r="F78" s="499"/>
      <c r="G78" s="499"/>
      <c r="H78" s="1609"/>
      <c r="I78" s="1609"/>
      <c r="J78" s="1150"/>
      <c r="K78" s="1976" t="s">
        <v>971</v>
      </c>
      <c r="L78" s="1103" t="s">
        <v>6</v>
      </c>
      <c r="M78" s="638">
        <f>R78</f>
        <v>800</v>
      </c>
      <c r="N78" s="2674"/>
      <c r="O78" s="2675">
        <v>50000</v>
      </c>
      <c r="P78" s="2675">
        <v>16</v>
      </c>
      <c r="Q78" s="1974">
        <v>1</v>
      </c>
      <c r="R78" s="1959">
        <f t="shared" si="18"/>
        <v>800</v>
      </c>
      <c r="S78" s="1974"/>
      <c r="T78" s="1977"/>
    </row>
    <row r="79" spans="1:22" s="500" customFormat="1" ht="21" customHeight="1">
      <c r="A79" s="501"/>
      <c r="B79" s="499"/>
      <c r="C79" s="499"/>
      <c r="D79" s="499"/>
      <c r="E79" s="499"/>
      <c r="F79" s="499"/>
      <c r="G79" s="499"/>
      <c r="H79" s="1609"/>
      <c r="I79" s="1609"/>
      <c r="J79" s="1150"/>
      <c r="K79" s="1620" t="s">
        <v>972</v>
      </c>
      <c r="L79" s="532" t="s">
        <v>6</v>
      </c>
      <c r="M79" s="638">
        <f>R79</f>
        <v>4800</v>
      </c>
      <c r="N79" s="2674"/>
      <c r="O79" s="2675">
        <v>400000</v>
      </c>
      <c r="P79" s="2675">
        <v>1</v>
      </c>
      <c r="Q79" s="1972">
        <v>12</v>
      </c>
      <c r="R79" s="1959">
        <f t="shared" si="18"/>
        <v>4800</v>
      </c>
      <c r="S79" s="1974"/>
      <c r="T79" s="1977"/>
    </row>
    <row r="80" spans="1:22" s="500" customFormat="1" ht="21" customHeight="1">
      <c r="A80" s="501"/>
      <c r="B80" s="499"/>
      <c r="C80" s="499"/>
      <c r="D80" s="499"/>
      <c r="E80" s="499"/>
      <c r="F80" s="499"/>
      <c r="G80" s="499"/>
      <c r="H80" s="1609"/>
      <c r="I80" s="1609"/>
      <c r="J80" s="1150"/>
      <c r="K80" s="1621" t="s">
        <v>1728</v>
      </c>
      <c r="L80" s="532"/>
      <c r="M80" s="638">
        <f>SUM(M81:M86)</f>
        <v>12900</v>
      </c>
      <c r="N80" s="2674"/>
      <c r="O80" s="2675"/>
      <c r="P80" s="2675"/>
      <c r="Q80" s="1974"/>
      <c r="R80" s="1974"/>
      <c r="S80" s="1974"/>
      <c r="T80" s="1975"/>
    </row>
    <row r="81" spans="1:49" ht="21" customHeight="1">
      <c r="A81" s="501"/>
      <c r="B81" s="499"/>
      <c r="C81" s="499"/>
      <c r="D81" s="499"/>
      <c r="E81" s="499"/>
      <c r="F81" s="499"/>
      <c r="G81" s="499"/>
      <c r="H81" s="1609"/>
      <c r="I81" s="1609"/>
      <c r="J81" s="1150"/>
      <c r="K81" s="2623" t="s">
        <v>2406</v>
      </c>
      <c r="L81" s="2702" t="s">
        <v>6</v>
      </c>
      <c r="M81" s="638">
        <f>R81</f>
        <v>2300</v>
      </c>
      <c r="N81" s="2674"/>
      <c r="O81" s="2675">
        <v>23000</v>
      </c>
      <c r="P81" s="2675">
        <v>10</v>
      </c>
      <c r="Q81" s="1974">
        <v>10</v>
      </c>
      <c r="R81" s="1960">
        <f t="shared" ref="R81:R95" si="19">ROUNDUP(O81*P81*Q81/1000,0)</f>
        <v>2300</v>
      </c>
      <c r="S81" s="1972"/>
      <c r="T81" s="1973"/>
      <c r="U81" s="500"/>
    </row>
    <row r="82" spans="1:49" ht="21" customHeight="1">
      <c r="A82" s="501"/>
      <c r="B82" s="499"/>
      <c r="C82" s="499"/>
      <c r="D82" s="499"/>
      <c r="E82" s="499"/>
      <c r="F82" s="499"/>
      <c r="G82" s="499"/>
      <c r="H82" s="1609"/>
      <c r="I82" s="1609"/>
      <c r="J82" s="1150"/>
      <c r="K82" s="2623" t="s">
        <v>2407</v>
      </c>
      <c r="L82" s="2702" t="s">
        <v>6</v>
      </c>
      <c r="M82" s="1608">
        <f t="shared" ref="M82:M93" si="20">R82</f>
        <v>200</v>
      </c>
      <c r="N82" s="2674"/>
      <c r="O82" s="2675">
        <v>25000</v>
      </c>
      <c r="P82" s="2675">
        <v>4</v>
      </c>
      <c r="Q82" s="1974">
        <v>2</v>
      </c>
      <c r="R82" s="1960">
        <f t="shared" si="19"/>
        <v>200</v>
      </c>
      <c r="S82" s="1972"/>
      <c r="T82" s="1973"/>
      <c r="U82" s="500"/>
    </row>
    <row r="83" spans="1:49" ht="21" customHeight="1">
      <c r="A83" s="501"/>
      <c r="B83" s="499"/>
      <c r="C83" s="499"/>
      <c r="D83" s="499"/>
      <c r="E83" s="499"/>
      <c r="F83" s="499"/>
      <c r="G83" s="499"/>
      <c r="H83" s="1609"/>
      <c r="I83" s="1609"/>
      <c r="J83" s="1150"/>
      <c r="K83" s="1976" t="s">
        <v>2408</v>
      </c>
      <c r="L83" s="1103" t="s">
        <v>6</v>
      </c>
      <c r="M83" s="1608">
        <f t="shared" si="20"/>
        <v>3600</v>
      </c>
      <c r="N83" s="2674"/>
      <c r="O83" s="2675">
        <v>300000</v>
      </c>
      <c r="P83" s="2675">
        <v>12</v>
      </c>
      <c r="Q83" s="1972">
        <v>1</v>
      </c>
      <c r="R83" s="1960">
        <f t="shared" si="19"/>
        <v>3600</v>
      </c>
      <c r="S83" s="1974"/>
      <c r="T83" s="1975"/>
      <c r="U83" s="500"/>
    </row>
    <row r="84" spans="1:49" ht="21" customHeight="1">
      <c r="A84" s="501"/>
      <c r="B84" s="499"/>
      <c r="C84" s="499"/>
      <c r="D84" s="499"/>
      <c r="E84" s="499"/>
      <c r="F84" s="499"/>
      <c r="G84" s="499"/>
      <c r="H84" s="1609"/>
      <c r="I84" s="1609"/>
      <c r="J84" s="1610"/>
      <c r="K84" s="1976" t="s">
        <v>1729</v>
      </c>
      <c r="L84" s="1103" t="s">
        <v>6</v>
      </c>
      <c r="M84" s="1608">
        <f t="shared" si="20"/>
        <v>400</v>
      </c>
      <c r="N84" s="2674"/>
      <c r="O84" s="2675">
        <v>80000</v>
      </c>
      <c r="P84" s="2675">
        <v>5</v>
      </c>
      <c r="Q84" s="1972">
        <v>1</v>
      </c>
      <c r="R84" s="1960">
        <f t="shared" si="19"/>
        <v>400</v>
      </c>
      <c r="S84" s="1974"/>
      <c r="T84" s="1975"/>
      <c r="U84" s="500"/>
    </row>
    <row r="85" spans="1:49" ht="21" customHeight="1">
      <c r="A85" s="501"/>
      <c r="B85" s="499"/>
      <c r="C85" s="499"/>
      <c r="D85" s="499"/>
      <c r="E85" s="499"/>
      <c r="F85" s="499"/>
      <c r="G85" s="499"/>
      <c r="H85" s="1609"/>
      <c r="I85" s="1609"/>
      <c r="J85" s="1150"/>
      <c r="K85" s="1976" t="s">
        <v>1730</v>
      </c>
      <c r="L85" s="1103" t="s">
        <v>6</v>
      </c>
      <c r="M85" s="1608">
        <f t="shared" si="20"/>
        <v>2800</v>
      </c>
      <c r="N85" s="2674"/>
      <c r="O85" s="2675">
        <v>700000</v>
      </c>
      <c r="P85" s="2675">
        <v>4</v>
      </c>
      <c r="Q85" s="1974">
        <v>1</v>
      </c>
      <c r="R85" s="1960">
        <f t="shared" si="19"/>
        <v>2800</v>
      </c>
      <c r="S85" s="1974"/>
      <c r="T85" s="1975"/>
      <c r="U85" s="500"/>
    </row>
    <row r="86" spans="1:49" ht="21" customHeight="1">
      <c r="A86" s="501"/>
      <c r="B86" s="499"/>
      <c r="C86" s="499"/>
      <c r="D86" s="499"/>
      <c r="E86" s="499"/>
      <c r="F86" s="499"/>
      <c r="G86" s="499"/>
      <c r="H86" s="1609"/>
      <c r="I86" s="1609"/>
      <c r="J86" s="1150"/>
      <c r="K86" s="1976" t="s">
        <v>973</v>
      </c>
      <c r="L86" s="1103" t="s">
        <v>6</v>
      </c>
      <c r="M86" s="1608">
        <f t="shared" si="20"/>
        <v>3600</v>
      </c>
      <c r="N86" s="2674"/>
      <c r="O86" s="2675">
        <v>300000</v>
      </c>
      <c r="P86" s="2675">
        <v>12</v>
      </c>
      <c r="Q86" s="1974">
        <v>1</v>
      </c>
      <c r="R86" s="1960">
        <f t="shared" si="19"/>
        <v>3600</v>
      </c>
      <c r="S86" s="1974"/>
      <c r="T86" s="1975"/>
      <c r="U86" s="500"/>
    </row>
    <row r="87" spans="1:49" ht="21" customHeight="1">
      <c r="A87" s="501"/>
      <c r="B87" s="499"/>
      <c r="C87" s="499"/>
      <c r="D87" s="499"/>
      <c r="E87" s="499"/>
      <c r="F87" s="499"/>
      <c r="G87" s="499"/>
      <c r="H87" s="1609"/>
      <c r="I87" s="1609"/>
      <c r="J87" s="1150"/>
      <c r="K87" s="1976" t="s">
        <v>1731</v>
      </c>
      <c r="L87" s="1103" t="s">
        <v>292</v>
      </c>
      <c r="M87" s="1608">
        <f t="shared" si="20"/>
        <v>320</v>
      </c>
      <c r="N87" s="2674"/>
      <c r="O87" s="2675">
        <v>80000</v>
      </c>
      <c r="P87" s="2675">
        <v>4</v>
      </c>
      <c r="Q87" s="1974">
        <v>1</v>
      </c>
      <c r="R87" s="1960">
        <f t="shared" si="19"/>
        <v>320</v>
      </c>
      <c r="S87" s="1974"/>
      <c r="T87" s="1975"/>
      <c r="U87" s="500"/>
    </row>
    <row r="88" spans="1:49" ht="21" customHeight="1">
      <c r="A88" s="501"/>
      <c r="B88" s="499"/>
      <c r="C88" s="499"/>
      <c r="D88" s="499"/>
      <c r="E88" s="499"/>
      <c r="F88" s="499"/>
      <c r="G88" s="499"/>
      <c r="H88" s="1609"/>
      <c r="I88" s="1609"/>
      <c r="J88" s="1150"/>
      <c r="K88" s="710" t="s">
        <v>1732</v>
      </c>
      <c r="L88" s="1103" t="s">
        <v>6</v>
      </c>
      <c r="M88" s="1608">
        <f t="shared" si="20"/>
        <v>600</v>
      </c>
      <c r="N88" s="2674"/>
      <c r="O88" s="2675">
        <v>300000</v>
      </c>
      <c r="P88" s="2675">
        <v>2</v>
      </c>
      <c r="Q88" s="1974">
        <v>1</v>
      </c>
      <c r="R88" s="1960">
        <f t="shared" si="19"/>
        <v>600</v>
      </c>
      <c r="S88" s="1974"/>
      <c r="T88" s="1975"/>
      <c r="U88" s="500"/>
      <c r="V88" s="500"/>
      <c r="W88" s="500"/>
      <c r="X88" s="500"/>
      <c r="Y88" s="500"/>
      <c r="Z88" s="500"/>
      <c r="AA88" s="500"/>
      <c r="AB88" s="500"/>
      <c r="AC88" s="500"/>
      <c r="AD88" s="500"/>
      <c r="AE88" s="500"/>
      <c r="AF88" s="500"/>
      <c r="AG88" s="500"/>
      <c r="AH88" s="500"/>
      <c r="AI88" s="500"/>
      <c r="AJ88" s="500"/>
      <c r="AK88" s="500"/>
      <c r="AL88" s="500"/>
      <c r="AM88" s="500"/>
      <c r="AN88" s="500"/>
      <c r="AO88" s="500"/>
      <c r="AP88" s="500"/>
      <c r="AQ88" s="500"/>
      <c r="AR88" s="500"/>
      <c r="AS88" s="500"/>
      <c r="AT88" s="500"/>
      <c r="AU88" s="500"/>
      <c r="AV88" s="500"/>
      <c r="AW88" s="500"/>
    </row>
    <row r="89" spans="1:49" ht="21" customHeight="1">
      <c r="A89" s="501"/>
      <c r="B89" s="499"/>
      <c r="C89" s="499"/>
      <c r="D89" s="499"/>
      <c r="E89" s="499"/>
      <c r="F89" s="499"/>
      <c r="G89" s="499"/>
      <c r="H89" s="1611"/>
      <c r="I89" s="1611"/>
      <c r="J89" s="1150"/>
      <c r="K89" s="931" t="s">
        <v>1733</v>
      </c>
      <c r="L89" s="1103" t="s">
        <v>6</v>
      </c>
      <c r="M89" s="1608">
        <f t="shared" si="20"/>
        <v>1500</v>
      </c>
      <c r="N89" s="2674"/>
      <c r="O89" s="2675">
        <v>15000</v>
      </c>
      <c r="P89" s="2675">
        <v>100</v>
      </c>
      <c r="Q89" s="1974">
        <v>1</v>
      </c>
      <c r="R89" s="1960">
        <f t="shared" si="19"/>
        <v>1500</v>
      </c>
      <c r="S89" s="1974"/>
      <c r="T89" s="1975"/>
      <c r="U89" s="500"/>
      <c r="V89" s="500"/>
      <c r="W89" s="500"/>
      <c r="X89" s="500"/>
      <c r="Y89" s="500"/>
      <c r="Z89" s="500"/>
      <c r="AA89" s="500"/>
      <c r="AB89" s="500"/>
      <c r="AC89" s="500"/>
      <c r="AD89" s="500"/>
      <c r="AE89" s="500"/>
      <c r="AF89" s="500"/>
      <c r="AG89" s="500"/>
      <c r="AH89" s="500"/>
      <c r="AI89" s="500"/>
      <c r="AJ89" s="500"/>
      <c r="AK89" s="500"/>
      <c r="AL89" s="500"/>
      <c r="AM89" s="500"/>
      <c r="AN89" s="500"/>
      <c r="AO89" s="500"/>
      <c r="AP89" s="500"/>
      <c r="AQ89" s="500"/>
      <c r="AR89" s="500"/>
      <c r="AS89" s="500"/>
      <c r="AT89" s="500"/>
      <c r="AU89" s="500"/>
      <c r="AV89" s="500"/>
      <c r="AW89" s="500"/>
    </row>
    <row r="90" spans="1:49" s="500" customFormat="1" ht="21" customHeight="1">
      <c r="A90" s="501"/>
      <c r="B90" s="499"/>
      <c r="C90" s="499"/>
      <c r="D90" s="499"/>
      <c r="E90" s="499"/>
      <c r="F90" s="499"/>
      <c r="G90" s="499"/>
      <c r="H90" s="1611"/>
      <c r="I90" s="1611"/>
      <c r="J90" s="1150"/>
      <c r="K90" s="931" t="s">
        <v>1734</v>
      </c>
      <c r="L90" s="1103" t="s">
        <v>6</v>
      </c>
      <c r="M90" s="1608">
        <f t="shared" si="20"/>
        <v>600</v>
      </c>
      <c r="N90" s="2674"/>
      <c r="O90" s="2675">
        <v>30000</v>
      </c>
      <c r="P90" s="2675">
        <v>5</v>
      </c>
      <c r="Q90" s="1974">
        <v>4</v>
      </c>
      <c r="R90" s="1960">
        <f t="shared" si="19"/>
        <v>600</v>
      </c>
      <c r="S90" s="1974"/>
      <c r="T90" s="1975"/>
    </row>
    <row r="91" spans="1:49" s="500" customFormat="1" ht="21" customHeight="1">
      <c r="A91" s="501"/>
      <c r="B91" s="499"/>
      <c r="C91" s="1613"/>
      <c r="D91" s="499"/>
      <c r="E91" s="499"/>
      <c r="F91" s="499"/>
      <c r="G91" s="499"/>
      <c r="H91" s="1611"/>
      <c r="I91" s="1611"/>
      <c r="J91" s="1150"/>
      <c r="K91" s="931" t="s">
        <v>1735</v>
      </c>
      <c r="L91" s="1103" t="s">
        <v>6</v>
      </c>
      <c r="M91" s="1608">
        <f t="shared" si="20"/>
        <v>4800</v>
      </c>
      <c r="N91" s="2674"/>
      <c r="O91" s="2675">
        <v>150</v>
      </c>
      <c r="P91" s="2675">
        <v>8000</v>
      </c>
      <c r="Q91" s="1974">
        <v>4</v>
      </c>
      <c r="R91" s="1960">
        <f t="shared" si="19"/>
        <v>4800</v>
      </c>
      <c r="S91" s="1974"/>
      <c r="T91" s="1975"/>
    </row>
    <row r="92" spans="1:49" s="500" customFormat="1" ht="21" customHeight="1">
      <c r="A92" s="501"/>
      <c r="B92" s="503"/>
      <c r="C92" s="505"/>
      <c r="D92" s="499"/>
      <c r="E92" s="503"/>
      <c r="F92" s="503"/>
      <c r="G92" s="503"/>
      <c r="H92" s="1614"/>
      <c r="I92" s="1614"/>
      <c r="J92" s="1615"/>
      <c r="K92" s="710" t="s">
        <v>2409</v>
      </c>
      <c r="L92" s="1978" t="s">
        <v>6</v>
      </c>
      <c r="M92" s="1979">
        <f t="shared" si="20"/>
        <v>960</v>
      </c>
      <c r="N92" s="2674"/>
      <c r="O92" s="2675">
        <v>8000</v>
      </c>
      <c r="P92" s="2675">
        <v>40</v>
      </c>
      <c r="Q92" s="1974">
        <v>3</v>
      </c>
      <c r="R92" s="1974">
        <f t="shared" si="19"/>
        <v>960</v>
      </c>
      <c r="S92" s="1974"/>
      <c r="T92" s="1975"/>
    </row>
    <row r="93" spans="1:49" s="500" customFormat="1" ht="21" customHeight="1">
      <c r="A93" s="501"/>
      <c r="B93" s="499"/>
      <c r="C93" s="1613"/>
      <c r="D93" s="499"/>
      <c r="E93" s="499"/>
      <c r="F93" s="499"/>
      <c r="G93" s="499"/>
      <c r="H93" s="1611"/>
      <c r="I93" s="1611"/>
      <c r="J93" s="1612"/>
      <c r="K93" s="916" t="s">
        <v>1736</v>
      </c>
      <c r="L93" s="1103" t="s">
        <v>6</v>
      </c>
      <c r="M93" s="1608">
        <f t="shared" si="20"/>
        <v>405</v>
      </c>
      <c r="N93" s="2674"/>
      <c r="O93" s="2675">
        <v>27000</v>
      </c>
      <c r="P93" s="2675">
        <v>15</v>
      </c>
      <c r="Q93" s="1974">
        <v>1</v>
      </c>
      <c r="R93" s="1974">
        <f t="shared" si="19"/>
        <v>405</v>
      </c>
      <c r="S93" s="1974"/>
      <c r="T93" s="1975"/>
    </row>
    <row r="94" spans="1:49" ht="21" customHeight="1">
      <c r="A94" s="501"/>
      <c r="B94" s="503"/>
      <c r="C94" s="503"/>
      <c r="D94" s="503"/>
      <c r="E94" s="503"/>
      <c r="F94" s="503"/>
      <c r="G94" s="502" t="s">
        <v>329</v>
      </c>
      <c r="H94" s="1146">
        <f>M94</f>
        <v>400</v>
      </c>
      <c r="I94" s="1146">
        <v>0</v>
      </c>
      <c r="J94" s="520">
        <f>H94-I94</f>
        <v>400</v>
      </c>
      <c r="K94" s="542"/>
      <c r="L94" s="533"/>
      <c r="M94" s="534">
        <f>M95+M96</f>
        <v>400</v>
      </c>
      <c r="N94" s="2674"/>
      <c r="O94" s="2675"/>
      <c r="P94" s="2675"/>
      <c r="Q94" s="1974"/>
      <c r="R94" s="1974"/>
      <c r="S94" s="1974"/>
      <c r="T94" s="1975"/>
      <c r="U94" s="500"/>
    </row>
    <row r="95" spans="1:49" ht="21" customHeight="1">
      <c r="A95" s="501"/>
      <c r="B95" s="503"/>
      <c r="C95" s="503"/>
      <c r="D95" s="503"/>
      <c r="E95" s="503"/>
      <c r="F95" s="503"/>
      <c r="G95" s="503"/>
      <c r="H95" s="1147"/>
      <c r="I95" s="1147"/>
      <c r="J95" s="515"/>
      <c r="K95" s="307" t="s">
        <v>2410</v>
      </c>
      <c r="L95" s="853" t="s">
        <v>6</v>
      </c>
      <c r="M95" s="638">
        <f>R95</f>
        <v>400</v>
      </c>
      <c r="N95" s="1980"/>
      <c r="O95" s="1981">
        <v>400000</v>
      </c>
      <c r="P95" s="1981">
        <v>1</v>
      </c>
      <c r="Q95" s="1974">
        <v>1</v>
      </c>
      <c r="R95" s="1974">
        <f t="shared" si="19"/>
        <v>400</v>
      </c>
      <c r="S95" s="1974"/>
      <c r="T95" s="1975"/>
      <c r="U95" s="500"/>
    </row>
    <row r="96" spans="1:49" ht="21" customHeight="1">
      <c r="A96" s="501"/>
      <c r="B96" s="503"/>
      <c r="C96" s="503"/>
      <c r="D96" s="503"/>
      <c r="E96" s="503"/>
      <c r="F96" s="503"/>
      <c r="G96" s="502" t="s">
        <v>1737</v>
      </c>
      <c r="H96" s="1146">
        <f>M96</f>
        <v>0</v>
      </c>
      <c r="I96" s="1146">
        <v>1900</v>
      </c>
      <c r="J96" s="520">
        <f>H96-I96</f>
        <v>-1900</v>
      </c>
      <c r="K96" s="542"/>
      <c r="L96" s="533"/>
      <c r="M96" s="534">
        <f>M97+M98</f>
        <v>0</v>
      </c>
      <c r="N96" s="2674"/>
      <c r="O96" s="2675"/>
      <c r="P96" s="2675"/>
      <c r="Q96" s="1974"/>
      <c r="R96" s="1974"/>
      <c r="S96" s="1974"/>
      <c r="T96" s="1975"/>
      <c r="U96" s="500"/>
    </row>
    <row r="97" spans="1:49" ht="21" customHeight="1">
      <c r="A97" s="501"/>
      <c r="B97" s="503"/>
      <c r="C97" s="503"/>
      <c r="D97" s="503"/>
      <c r="E97" s="503"/>
      <c r="F97" s="503"/>
      <c r="G97" s="503"/>
      <c r="H97" s="1147"/>
      <c r="I97" s="1147"/>
      <c r="J97" s="515"/>
      <c r="K97" s="307" t="s">
        <v>1738</v>
      </c>
      <c r="L97" s="853" t="s">
        <v>6</v>
      </c>
      <c r="M97" s="638">
        <f>R97</f>
        <v>0</v>
      </c>
      <c r="N97" s="1980"/>
      <c r="O97" s="1981">
        <v>0</v>
      </c>
      <c r="P97" s="1981">
        <v>0</v>
      </c>
      <c r="Q97" s="1974">
        <v>0</v>
      </c>
      <c r="R97" s="1974">
        <v>0</v>
      </c>
      <c r="S97" s="1974"/>
      <c r="T97" s="1975"/>
      <c r="U97" s="500"/>
    </row>
    <row r="98" spans="1:49" ht="21" customHeight="1">
      <c r="A98" s="501"/>
      <c r="B98" s="503"/>
      <c r="C98" s="503"/>
      <c r="D98" s="503"/>
      <c r="E98" s="503"/>
      <c r="F98" s="499"/>
      <c r="G98" s="499"/>
      <c r="H98" s="1609"/>
      <c r="I98" s="1609"/>
      <c r="J98" s="1150"/>
      <c r="K98" s="916" t="s">
        <v>1739</v>
      </c>
      <c r="L98" s="853" t="s">
        <v>6</v>
      </c>
      <c r="M98" s="638">
        <f>R98</f>
        <v>0</v>
      </c>
      <c r="N98" s="1980"/>
      <c r="O98" s="1981">
        <v>0</v>
      </c>
      <c r="P98" s="1981">
        <v>0</v>
      </c>
      <c r="Q98" s="1974">
        <v>0</v>
      </c>
      <c r="R98" s="1974">
        <f t="shared" ref="R98" si="21">ROUNDUP(O98*P98*Q98/1000,0)</f>
        <v>0</v>
      </c>
      <c r="S98" s="1974"/>
      <c r="T98" s="1975"/>
      <c r="U98" s="500"/>
    </row>
    <row r="99" spans="1:49" ht="21" customHeight="1">
      <c r="A99" s="501"/>
      <c r="B99" s="503"/>
      <c r="C99" s="503"/>
      <c r="D99" s="503"/>
      <c r="E99" s="503"/>
      <c r="F99" s="503"/>
      <c r="G99" s="502" t="s">
        <v>31</v>
      </c>
      <c r="H99" s="1146">
        <f>M99</f>
        <v>100778</v>
      </c>
      <c r="I99" s="1146">
        <v>16458</v>
      </c>
      <c r="J99" s="520">
        <f>H99-I99</f>
        <v>84320</v>
      </c>
      <c r="K99" s="542"/>
      <c r="L99" s="533"/>
      <c r="M99" s="534">
        <f>M100+M105</f>
        <v>100778</v>
      </c>
      <c r="N99" s="2674"/>
      <c r="O99" s="2675"/>
      <c r="P99" s="2675"/>
      <c r="Q99" s="1974"/>
      <c r="R99" s="1974"/>
      <c r="S99" s="1974"/>
      <c r="T99" s="1975"/>
      <c r="U99" s="500"/>
    </row>
    <row r="100" spans="1:49" ht="21" customHeight="1">
      <c r="A100" s="501"/>
      <c r="B100" s="503"/>
      <c r="C100" s="503"/>
      <c r="D100" s="503"/>
      <c r="E100" s="503"/>
      <c r="F100" s="503"/>
      <c r="G100" s="503"/>
      <c r="H100" s="1147"/>
      <c r="I100" s="1147"/>
      <c r="J100" s="515"/>
      <c r="K100" s="544" t="s">
        <v>1740</v>
      </c>
      <c r="L100" s="532"/>
      <c r="M100" s="526">
        <f>SUM(M101:M104)</f>
        <v>15778</v>
      </c>
      <c r="N100" s="1980"/>
      <c r="O100" s="1981"/>
      <c r="P100" s="1981"/>
      <c r="Q100" s="1974"/>
      <c r="R100" s="1974"/>
      <c r="S100" s="1974"/>
      <c r="T100" s="1975"/>
      <c r="U100" s="500"/>
    </row>
    <row r="101" spans="1:49" ht="21" customHeight="1">
      <c r="A101" s="501"/>
      <c r="B101" s="503"/>
      <c r="C101" s="503"/>
      <c r="D101" s="503"/>
      <c r="E101" s="503"/>
      <c r="F101" s="499"/>
      <c r="G101" s="499"/>
      <c r="H101" s="1609"/>
      <c r="I101" s="1609"/>
      <c r="J101" s="1150"/>
      <c r="K101" s="1619" t="s">
        <v>1741</v>
      </c>
      <c r="L101" s="1103" t="s">
        <v>6</v>
      </c>
      <c r="M101" s="638">
        <f>R101</f>
        <v>4200</v>
      </c>
      <c r="N101" s="1980"/>
      <c r="O101" s="1981">
        <v>70000</v>
      </c>
      <c r="P101" s="1981">
        <v>60</v>
      </c>
      <c r="Q101" s="1974">
        <v>1</v>
      </c>
      <c r="R101" s="1974">
        <f t="shared" ref="R101:R104" si="22">ROUNDUP(O101*P101*Q101/1000,0)</f>
        <v>4200</v>
      </c>
      <c r="S101" s="1974"/>
      <c r="T101" s="1975"/>
      <c r="U101" s="500"/>
    </row>
    <row r="102" spans="1:49" ht="21" customHeight="1">
      <c r="A102" s="501"/>
      <c r="B102" s="499"/>
      <c r="C102" s="1613"/>
      <c r="D102" s="503"/>
      <c r="E102" s="503"/>
      <c r="F102" s="503"/>
      <c r="G102" s="503"/>
      <c r="H102" s="1147"/>
      <c r="I102" s="1147"/>
      <c r="J102" s="1150"/>
      <c r="K102" s="308" t="s">
        <v>657</v>
      </c>
      <c r="L102" s="1103" t="s">
        <v>6</v>
      </c>
      <c r="M102" s="638">
        <f t="shared" ref="M102:M104" si="23">R102</f>
        <v>8000</v>
      </c>
      <c r="N102" s="1980"/>
      <c r="O102" s="1981">
        <v>400000</v>
      </c>
      <c r="P102" s="1981">
        <v>20</v>
      </c>
      <c r="Q102" s="1974">
        <v>1</v>
      </c>
      <c r="R102" s="1974">
        <f t="shared" si="22"/>
        <v>8000</v>
      </c>
      <c r="S102" s="1974"/>
      <c r="T102" s="1975"/>
      <c r="U102" s="500"/>
    </row>
    <row r="103" spans="1:49" ht="21" customHeight="1">
      <c r="A103" s="501"/>
      <c r="B103" s="503"/>
      <c r="C103" s="503"/>
      <c r="D103" s="499"/>
      <c r="E103" s="499"/>
      <c r="F103" s="503"/>
      <c r="G103" s="503"/>
      <c r="H103" s="1147"/>
      <c r="I103" s="1147"/>
      <c r="J103" s="1150"/>
      <c r="K103" s="916" t="s">
        <v>1742</v>
      </c>
      <c r="L103" s="1103" t="s">
        <v>6</v>
      </c>
      <c r="M103" s="638">
        <f t="shared" si="23"/>
        <v>2126</v>
      </c>
      <c r="N103" s="1980"/>
      <c r="O103" s="1981">
        <v>177150</v>
      </c>
      <c r="P103" s="1981">
        <v>12</v>
      </c>
      <c r="Q103" s="1974">
        <v>1</v>
      </c>
      <c r="R103" s="1974">
        <f t="shared" si="22"/>
        <v>2126</v>
      </c>
      <c r="S103" s="1974"/>
      <c r="T103" s="1975"/>
      <c r="U103" s="500"/>
    </row>
    <row r="104" spans="1:49" ht="21" customHeight="1">
      <c r="A104" s="501"/>
      <c r="B104" s="503"/>
      <c r="C104" s="503"/>
      <c r="D104" s="503"/>
      <c r="E104" s="503"/>
      <c r="F104" s="503"/>
      <c r="G104" s="503"/>
      <c r="H104" s="1147"/>
      <c r="I104" s="1147"/>
      <c r="J104" s="1150"/>
      <c r="K104" s="916" t="s">
        <v>1743</v>
      </c>
      <c r="L104" s="1103" t="s">
        <v>6</v>
      </c>
      <c r="M104" s="1608">
        <f t="shared" si="23"/>
        <v>1452</v>
      </c>
      <c r="N104" s="1980"/>
      <c r="O104" s="1981">
        <v>121000</v>
      </c>
      <c r="P104" s="1981">
        <v>12</v>
      </c>
      <c r="Q104" s="1974">
        <v>1</v>
      </c>
      <c r="R104" s="1974">
        <f t="shared" si="22"/>
        <v>1452</v>
      </c>
      <c r="S104" s="1974"/>
      <c r="T104" s="1975"/>
      <c r="U104" s="500"/>
    </row>
    <row r="105" spans="1:49" ht="21" customHeight="1">
      <c r="A105" s="501"/>
      <c r="B105" s="503"/>
      <c r="C105" s="503"/>
      <c r="D105" s="503"/>
      <c r="E105" s="503"/>
      <c r="F105" s="503"/>
      <c r="G105" s="503"/>
      <c r="H105" s="1147"/>
      <c r="I105" s="1147"/>
      <c r="J105" s="515"/>
      <c r="K105" s="916" t="s">
        <v>1744</v>
      </c>
      <c r="L105" s="1103"/>
      <c r="M105" s="1608">
        <f>S106</f>
        <v>85000</v>
      </c>
      <c r="N105" s="1980"/>
      <c r="O105" s="1981"/>
      <c r="P105" s="1981"/>
      <c r="Q105" s="1974"/>
      <c r="R105" s="1974"/>
      <c r="S105" s="1974"/>
      <c r="T105" s="1975"/>
      <c r="U105" s="500"/>
    </row>
    <row r="106" spans="1:49" ht="21" customHeight="1">
      <c r="A106" s="501"/>
      <c r="B106" s="503"/>
      <c r="C106" s="503"/>
      <c r="D106" s="503"/>
      <c r="E106" s="503"/>
      <c r="F106" s="503"/>
      <c r="G106" s="503"/>
      <c r="H106" s="1147"/>
      <c r="I106" s="1147"/>
      <c r="J106" s="515"/>
      <c r="K106" s="916" t="s">
        <v>1745</v>
      </c>
      <c r="L106" s="1103" t="s">
        <v>292</v>
      </c>
      <c r="M106" s="1608">
        <f>S106</f>
        <v>85000</v>
      </c>
      <c r="N106" s="1980"/>
      <c r="O106" s="1981">
        <v>75000</v>
      </c>
      <c r="P106" s="1981">
        <v>1000</v>
      </c>
      <c r="Q106" s="1974">
        <v>50000</v>
      </c>
      <c r="R106" s="1974">
        <v>200</v>
      </c>
      <c r="S106" s="1974">
        <f>ROUNDUP(((O106*P106)+(Q106*R106))/1000,0)</f>
        <v>85000</v>
      </c>
      <c r="T106" s="1975"/>
      <c r="U106" s="500"/>
    </row>
    <row r="107" spans="1:49" ht="21" customHeight="1">
      <c r="A107" s="501"/>
      <c r="B107" s="503"/>
      <c r="C107" s="503"/>
      <c r="D107" s="503"/>
      <c r="E107" s="503"/>
      <c r="F107" s="503"/>
      <c r="G107" s="525" t="s">
        <v>76</v>
      </c>
      <c r="H107" s="1168">
        <f>M107</f>
        <v>74091</v>
      </c>
      <c r="I107" s="1168">
        <v>74477</v>
      </c>
      <c r="J107" s="507">
        <f>H107-I107</f>
        <v>-386</v>
      </c>
      <c r="K107" s="543"/>
      <c r="L107" s="533"/>
      <c r="M107" s="534">
        <f>M108+M115+M116</f>
        <v>74091</v>
      </c>
      <c r="N107" s="1980"/>
      <c r="O107" s="1981"/>
      <c r="P107" s="1981"/>
      <c r="Q107" s="1974"/>
      <c r="R107" s="1974"/>
      <c r="S107" s="1974"/>
      <c r="T107" s="1975"/>
      <c r="U107" s="500"/>
      <c r="V107" s="500"/>
      <c r="W107" s="500"/>
      <c r="X107" s="500"/>
      <c r="Y107" s="500"/>
      <c r="Z107" s="500"/>
      <c r="AA107" s="500"/>
      <c r="AB107" s="500"/>
      <c r="AC107" s="500"/>
      <c r="AD107" s="500"/>
      <c r="AE107" s="500"/>
      <c r="AF107" s="500"/>
      <c r="AG107" s="500"/>
      <c r="AH107" s="500"/>
      <c r="AI107" s="500"/>
      <c r="AJ107" s="500"/>
      <c r="AK107" s="500"/>
      <c r="AL107" s="500"/>
      <c r="AM107" s="500"/>
      <c r="AN107" s="500"/>
      <c r="AO107" s="500"/>
      <c r="AP107" s="500"/>
      <c r="AQ107" s="500"/>
      <c r="AR107" s="500"/>
      <c r="AS107" s="500"/>
      <c r="AT107" s="500"/>
      <c r="AU107" s="500"/>
      <c r="AV107" s="500"/>
      <c r="AW107" s="500"/>
    </row>
    <row r="108" spans="1:49" ht="21" customHeight="1">
      <c r="A108" s="501"/>
      <c r="B108" s="503"/>
      <c r="C108" s="503"/>
      <c r="D108" s="503"/>
      <c r="E108" s="503"/>
      <c r="F108" s="503"/>
      <c r="G108" s="1169"/>
      <c r="H108" s="1170"/>
      <c r="I108" s="1170"/>
      <c r="J108" s="508"/>
      <c r="K108" s="1148" t="s">
        <v>1746</v>
      </c>
      <c r="L108" s="1103"/>
      <c r="M108" s="638">
        <f>SUM(M109:M114)</f>
        <v>7991</v>
      </c>
      <c r="N108" s="1980"/>
      <c r="O108" s="1981"/>
      <c r="P108" s="1981"/>
      <c r="Q108" s="1974"/>
      <c r="R108" s="1974"/>
      <c r="S108" s="1982"/>
      <c r="T108" s="1983"/>
      <c r="U108" s="500"/>
      <c r="V108" s="500"/>
      <c r="W108" s="500"/>
      <c r="X108" s="500"/>
      <c r="Y108" s="500"/>
      <c r="Z108" s="500"/>
      <c r="AA108" s="500"/>
      <c r="AB108" s="500"/>
      <c r="AC108" s="500"/>
      <c r="AD108" s="500"/>
      <c r="AE108" s="500"/>
      <c r="AF108" s="500"/>
      <c r="AG108" s="500"/>
      <c r="AH108" s="500"/>
      <c r="AI108" s="500"/>
      <c r="AJ108" s="500"/>
      <c r="AK108" s="500"/>
      <c r="AL108" s="500"/>
      <c r="AM108" s="500"/>
      <c r="AN108" s="500"/>
      <c r="AO108" s="500"/>
      <c r="AP108" s="500"/>
      <c r="AQ108" s="500"/>
      <c r="AR108" s="500"/>
      <c r="AS108" s="500"/>
      <c r="AT108" s="500"/>
      <c r="AU108" s="500"/>
      <c r="AV108" s="500"/>
      <c r="AW108" s="500"/>
    </row>
    <row r="109" spans="1:49" ht="21" customHeight="1">
      <c r="A109" s="501"/>
      <c r="B109" s="503"/>
      <c r="C109" s="503"/>
      <c r="D109" s="503"/>
      <c r="E109" s="503"/>
      <c r="F109" s="503"/>
      <c r="G109" s="503"/>
      <c r="H109" s="1147"/>
      <c r="I109" s="1147"/>
      <c r="J109" s="1150"/>
      <c r="K109" s="916" t="s">
        <v>658</v>
      </c>
      <c r="L109" s="1103" t="s">
        <v>6</v>
      </c>
      <c r="M109" s="638">
        <f>R109</f>
        <v>1440</v>
      </c>
      <c r="N109" s="1980"/>
      <c r="O109" s="1981">
        <v>120000</v>
      </c>
      <c r="P109" s="1981">
        <v>12</v>
      </c>
      <c r="Q109" s="1974">
        <v>1</v>
      </c>
      <c r="R109" s="1974">
        <f t="shared" ref="R109:R120" si="24">ROUNDUP(O109*P109*Q109/1000,0)</f>
        <v>1440</v>
      </c>
      <c r="S109" s="1982"/>
      <c r="T109" s="1983"/>
      <c r="U109" s="500"/>
      <c r="V109" s="500"/>
      <c r="W109" s="500"/>
      <c r="X109" s="500"/>
      <c r="Y109" s="500"/>
      <c r="Z109" s="500"/>
      <c r="AA109" s="500"/>
      <c r="AB109" s="500"/>
      <c r="AC109" s="500"/>
      <c r="AD109" s="500"/>
      <c r="AE109" s="500"/>
      <c r="AF109" s="500"/>
      <c r="AG109" s="500"/>
      <c r="AH109" s="500"/>
      <c r="AI109" s="500"/>
      <c r="AJ109" s="500"/>
      <c r="AK109" s="500"/>
      <c r="AL109" s="500"/>
      <c r="AM109" s="500"/>
      <c r="AN109" s="500"/>
      <c r="AO109" s="500"/>
      <c r="AP109" s="500"/>
      <c r="AQ109" s="500"/>
      <c r="AR109" s="500"/>
      <c r="AS109" s="500"/>
      <c r="AT109" s="500"/>
      <c r="AU109" s="500"/>
      <c r="AV109" s="500"/>
      <c r="AW109" s="500"/>
    </row>
    <row r="110" spans="1:49" ht="21" customHeight="1">
      <c r="A110" s="501"/>
      <c r="B110" s="503"/>
      <c r="C110" s="503"/>
      <c r="D110" s="503"/>
      <c r="E110" s="503"/>
      <c r="F110" s="503"/>
      <c r="G110" s="503"/>
      <c r="H110" s="1147"/>
      <c r="I110" s="1147"/>
      <c r="J110" s="1150"/>
      <c r="K110" s="916" t="s">
        <v>1747</v>
      </c>
      <c r="L110" s="1103" t="s">
        <v>6</v>
      </c>
      <c r="M110" s="1608">
        <f t="shared" ref="M110:M116" si="25">R110</f>
        <v>1667</v>
      </c>
      <c r="N110" s="1980"/>
      <c r="O110" s="1981">
        <v>19840</v>
      </c>
      <c r="P110" s="1981">
        <v>7</v>
      </c>
      <c r="Q110" s="1982">
        <v>12</v>
      </c>
      <c r="R110" s="1974">
        <f t="shared" si="24"/>
        <v>1667</v>
      </c>
      <c r="S110" s="1982"/>
      <c r="T110" s="1983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500"/>
      <c r="AM110" s="500"/>
      <c r="AN110" s="500"/>
      <c r="AO110" s="500"/>
      <c r="AP110" s="500"/>
      <c r="AQ110" s="500"/>
      <c r="AR110" s="500"/>
      <c r="AS110" s="500"/>
      <c r="AT110" s="500"/>
      <c r="AU110" s="500"/>
      <c r="AV110" s="500"/>
      <c r="AW110" s="500"/>
    </row>
    <row r="111" spans="1:49" ht="21" customHeight="1">
      <c r="A111" s="501"/>
      <c r="B111" s="503"/>
      <c r="C111" s="503"/>
      <c r="D111" s="503"/>
      <c r="E111" s="503"/>
      <c r="F111" s="503"/>
      <c r="G111" s="503"/>
      <c r="H111" s="1147"/>
      <c r="I111" s="1147"/>
      <c r="J111" s="1150"/>
      <c r="K111" s="916" t="s">
        <v>659</v>
      </c>
      <c r="L111" s="1103" t="s">
        <v>6</v>
      </c>
      <c r="M111" s="1608">
        <f t="shared" si="25"/>
        <v>960</v>
      </c>
      <c r="N111" s="1980"/>
      <c r="O111" s="1981">
        <v>40000</v>
      </c>
      <c r="P111" s="1981">
        <v>2</v>
      </c>
      <c r="Q111" s="1982">
        <v>12</v>
      </c>
      <c r="R111" s="1974">
        <f t="shared" si="24"/>
        <v>960</v>
      </c>
      <c r="S111" s="1982"/>
      <c r="T111" s="1975"/>
      <c r="U111" s="500"/>
      <c r="V111" s="500"/>
      <c r="W111" s="500"/>
      <c r="X111" s="500"/>
      <c r="Y111" s="500"/>
      <c r="Z111" s="500"/>
      <c r="AA111" s="500"/>
      <c r="AB111" s="500"/>
      <c r="AC111" s="500"/>
      <c r="AD111" s="500"/>
      <c r="AE111" s="500"/>
      <c r="AF111" s="500"/>
      <c r="AG111" s="500"/>
      <c r="AH111" s="500"/>
      <c r="AI111" s="500"/>
      <c r="AJ111" s="500"/>
      <c r="AK111" s="500"/>
      <c r="AL111" s="500"/>
      <c r="AM111" s="500"/>
      <c r="AN111" s="500"/>
      <c r="AO111" s="500"/>
      <c r="AP111" s="500"/>
      <c r="AQ111" s="500"/>
      <c r="AR111" s="500"/>
      <c r="AS111" s="500"/>
      <c r="AT111" s="500"/>
      <c r="AU111" s="500"/>
      <c r="AV111" s="500"/>
      <c r="AW111" s="500"/>
    </row>
    <row r="112" spans="1:49" s="500" customFormat="1" ht="21" customHeight="1">
      <c r="A112" s="501"/>
      <c r="B112" s="503"/>
      <c r="C112" s="503"/>
      <c r="D112" s="503"/>
      <c r="E112" s="503"/>
      <c r="F112" s="503"/>
      <c r="G112" s="503"/>
      <c r="H112" s="1147"/>
      <c r="I112" s="1147"/>
      <c r="J112" s="1150"/>
      <c r="K112" s="916" t="s">
        <v>660</v>
      </c>
      <c r="L112" s="1103" t="s">
        <v>6</v>
      </c>
      <c r="M112" s="1608">
        <f t="shared" si="25"/>
        <v>2400</v>
      </c>
      <c r="N112" s="1980"/>
      <c r="O112" s="1981">
        <v>200000</v>
      </c>
      <c r="P112" s="1981">
        <v>1</v>
      </c>
      <c r="Q112" s="1982">
        <v>12</v>
      </c>
      <c r="R112" s="1974">
        <f t="shared" si="24"/>
        <v>2400</v>
      </c>
      <c r="S112" s="1984"/>
      <c r="T112" s="1985"/>
    </row>
    <row r="113" spans="1:21" s="500" customFormat="1" ht="21" customHeight="1">
      <c r="A113" s="501"/>
      <c r="B113" s="503"/>
      <c r="C113" s="503"/>
      <c r="D113" s="503"/>
      <c r="E113" s="503"/>
      <c r="F113" s="503"/>
      <c r="G113" s="503"/>
      <c r="H113" s="1147"/>
      <c r="I113" s="1147"/>
      <c r="J113" s="1150"/>
      <c r="K113" s="916" t="s">
        <v>661</v>
      </c>
      <c r="L113" s="1103" t="s">
        <v>6</v>
      </c>
      <c r="M113" s="1608">
        <f t="shared" si="25"/>
        <v>600</v>
      </c>
      <c r="N113" s="1980"/>
      <c r="O113" s="1981">
        <v>50000</v>
      </c>
      <c r="P113" s="1981">
        <v>1</v>
      </c>
      <c r="Q113" s="1982">
        <v>12</v>
      </c>
      <c r="R113" s="1974">
        <f t="shared" si="24"/>
        <v>600</v>
      </c>
      <c r="S113" s="1986"/>
      <c r="T113" s="1987"/>
    </row>
    <row r="114" spans="1:21" s="500" customFormat="1" ht="21" customHeight="1">
      <c r="A114" s="501"/>
      <c r="B114" s="503"/>
      <c r="C114" s="503"/>
      <c r="D114" s="503"/>
      <c r="E114" s="503"/>
      <c r="F114" s="503"/>
      <c r="G114" s="503"/>
      <c r="H114" s="1147"/>
      <c r="I114" s="1147"/>
      <c r="J114" s="1150"/>
      <c r="K114" s="916" t="s">
        <v>1748</v>
      </c>
      <c r="L114" s="1103" t="s">
        <v>6</v>
      </c>
      <c r="M114" s="1608">
        <f t="shared" si="25"/>
        <v>924</v>
      </c>
      <c r="N114" s="1980"/>
      <c r="O114" s="1981">
        <v>77000</v>
      </c>
      <c r="P114" s="1981">
        <v>12</v>
      </c>
      <c r="Q114" s="1974">
        <v>1</v>
      </c>
      <c r="R114" s="1974">
        <f t="shared" si="24"/>
        <v>924</v>
      </c>
      <c r="S114" s="1974"/>
      <c r="T114" s="1975"/>
    </row>
    <row r="115" spans="1:21" ht="21" customHeight="1">
      <c r="A115" s="501"/>
      <c r="B115" s="503"/>
      <c r="C115" s="503"/>
      <c r="D115" s="503"/>
      <c r="E115" s="503"/>
      <c r="F115" s="503"/>
      <c r="G115" s="503"/>
      <c r="H115" s="1147"/>
      <c r="I115" s="1147"/>
      <c r="J115" s="1150"/>
      <c r="K115" s="323" t="s">
        <v>1749</v>
      </c>
      <c r="L115" s="853" t="s">
        <v>292</v>
      </c>
      <c r="M115" s="638">
        <f>R115</f>
        <v>65000</v>
      </c>
      <c r="N115" s="1980"/>
      <c r="O115" s="1981">
        <v>65000000</v>
      </c>
      <c r="P115" s="1981">
        <v>1</v>
      </c>
      <c r="Q115" s="1974">
        <v>1</v>
      </c>
      <c r="R115" s="1974">
        <f t="shared" si="24"/>
        <v>65000</v>
      </c>
      <c r="S115" s="1986"/>
      <c r="T115" s="1987"/>
      <c r="U115" s="500"/>
    </row>
    <row r="116" spans="1:21" ht="21" customHeight="1">
      <c r="A116" s="501"/>
      <c r="B116" s="499"/>
      <c r="C116" s="499"/>
      <c r="D116" s="503"/>
      <c r="E116" s="503"/>
      <c r="F116" s="499"/>
      <c r="G116" s="499"/>
      <c r="H116" s="1609"/>
      <c r="I116" s="1609"/>
      <c r="J116" s="1610"/>
      <c r="K116" s="931" t="s">
        <v>1750</v>
      </c>
      <c r="L116" s="853" t="s">
        <v>6</v>
      </c>
      <c r="M116" s="1608">
        <f t="shared" si="25"/>
        <v>1100</v>
      </c>
      <c r="N116" s="1980"/>
      <c r="O116" s="1981">
        <v>550000</v>
      </c>
      <c r="P116" s="1981">
        <v>2</v>
      </c>
      <c r="Q116" s="1972">
        <v>1</v>
      </c>
      <c r="R116" s="1974">
        <f t="shared" si="24"/>
        <v>1100</v>
      </c>
      <c r="S116" s="1974"/>
      <c r="T116" s="1975"/>
      <c r="U116" s="500"/>
    </row>
    <row r="117" spans="1:21" ht="21" customHeight="1">
      <c r="A117" s="501"/>
      <c r="B117" s="499"/>
      <c r="C117" s="499"/>
      <c r="D117" s="499"/>
      <c r="E117" s="499"/>
      <c r="F117" s="503"/>
      <c r="G117" s="502" t="s">
        <v>503</v>
      </c>
      <c r="H117" s="1146">
        <f>M117</f>
        <v>239797</v>
      </c>
      <c r="I117" s="1146">
        <v>286569</v>
      </c>
      <c r="J117" s="520">
        <f>H117-I117</f>
        <v>-46772</v>
      </c>
      <c r="K117" s="1171"/>
      <c r="L117" s="1172"/>
      <c r="M117" s="918">
        <f>M118+M119+M120+M121+M125</f>
        <v>239797</v>
      </c>
      <c r="N117" s="1980"/>
      <c r="O117" s="1981"/>
      <c r="P117" s="1981"/>
      <c r="Q117" s="1972"/>
      <c r="R117" s="1972"/>
      <c r="S117" s="1974"/>
      <c r="T117" s="1975"/>
      <c r="U117" s="500"/>
    </row>
    <row r="118" spans="1:21" ht="21" customHeight="1">
      <c r="A118" s="501"/>
      <c r="B118" s="503"/>
      <c r="C118" s="503"/>
      <c r="D118" s="499"/>
      <c r="E118" s="499"/>
      <c r="F118" s="503"/>
      <c r="G118" s="503"/>
      <c r="H118" s="1147"/>
      <c r="I118" s="1147"/>
      <c r="J118" s="1150"/>
      <c r="K118" s="916" t="s">
        <v>1751</v>
      </c>
      <c r="L118" s="853" t="s">
        <v>6</v>
      </c>
      <c r="M118" s="638">
        <f>R118</f>
        <v>92137</v>
      </c>
      <c r="N118" s="1980"/>
      <c r="O118" s="1981">
        <f>M11*1000</f>
        <v>18427286000</v>
      </c>
      <c r="P118" s="1988">
        <v>5.0000000000000001E-3</v>
      </c>
      <c r="Q118" s="1974">
        <v>1</v>
      </c>
      <c r="R118" s="1974">
        <f t="shared" si="24"/>
        <v>92137</v>
      </c>
      <c r="S118" s="1974"/>
      <c r="T118" s="1975"/>
      <c r="U118" s="500"/>
    </row>
    <row r="119" spans="1:21" ht="21" customHeight="1">
      <c r="A119" s="501"/>
      <c r="B119" s="503"/>
      <c r="C119" s="503"/>
      <c r="D119" s="503"/>
      <c r="E119" s="503"/>
      <c r="F119" s="503"/>
      <c r="G119" s="503"/>
      <c r="H119" s="1147"/>
      <c r="I119" s="1147"/>
      <c r="J119" s="1150"/>
      <c r="K119" s="916" t="s">
        <v>1752</v>
      </c>
      <c r="L119" s="1103" t="s">
        <v>6</v>
      </c>
      <c r="M119" s="638">
        <f>R119</f>
        <v>13860</v>
      </c>
      <c r="N119" s="1980"/>
      <c r="O119" s="1981">
        <v>90000</v>
      </c>
      <c r="P119" s="1981">
        <v>77</v>
      </c>
      <c r="Q119" s="1974">
        <v>2</v>
      </c>
      <c r="R119" s="1974">
        <f t="shared" si="24"/>
        <v>13860</v>
      </c>
      <c r="S119" s="1974"/>
      <c r="T119" s="1975"/>
      <c r="U119" s="500"/>
    </row>
    <row r="120" spans="1:21" s="500" customFormat="1" ht="21" customHeight="1">
      <c r="A120" s="501"/>
      <c r="B120" s="503"/>
      <c r="C120" s="503"/>
      <c r="D120" s="503"/>
      <c r="E120" s="503"/>
      <c r="F120" s="503"/>
      <c r="G120" s="503"/>
      <c r="H120" s="1147"/>
      <c r="I120" s="1147"/>
      <c r="J120" s="1150"/>
      <c r="K120" s="916" t="s">
        <v>1753</v>
      </c>
      <c r="L120" s="1103" t="s">
        <v>6</v>
      </c>
      <c r="M120" s="638">
        <f>R120</f>
        <v>1600</v>
      </c>
      <c r="N120" s="1980"/>
      <c r="O120" s="1981">
        <v>80000</v>
      </c>
      <c r="P120" s="1981">
        <v>10</v>
      </c>
      <c r="Q120" s="1974">
        <v>2</v>
      </c>
      <c r="R120" s="1974">
        <f t="shared" si="24"/>
        <v>1600</v>
      </c>
      <c r="S120" s="1974"/>
      <c r="T120" s="1975"/>
    </row>
    <row r="121" spans="1:21" s="500" customFormat="1" ht="21" customHeight="1">
      <c r="A121" s="501"/>
      <c r="B121" s="503"/>
      <c r="C121" s="503"/>
      <c r="D121" s="503"/>
      <c r="E121" s="503"/>
      <c r="F121" s="503"/>
      <c r="G121" s="503"/>
      <c r="H121" s="1147"/>
      <c r="I121" s="1147"/>
      <c r="J121" s="1150"/>
      <c r="K121" s="916" t="s">
        <v>1754</v>
      </c>
      <c r="L121" s="1103"/>
      <c r="M121" s="638">
        <f>SUM(M122:M124)</f>
        <v>34200</v>
      </c>
      <c r="N121" s="2674"/>
      <c r="O121" s="2675"/>
      <c r="P121" s="2675"/>
      <c r="Q121" s="1974"/>
      <c r="R121" s="1974"/>
      <c r="S121" s="1986"/>
      <c r="T121" s="1987"/>
    </row>
    <row r="122" spans="1:21" s="500" customFormat="1" ht="21" customHeight="1">
      <c r="A122" s="501"/>
      <c r="B122" s="503"/>
      <c r="C122" s="503"/>
      <c r="D122" s="503"/>
      <c r="E122" s="503"/>
      <c r="F122" s="503"/>
      <c r="G122" s="503"/>
      <c r="H122" s="1147"/>
      <c r="I122" s="1147"/>
      <c r="J122" s="1150"/>
      <c r="K122" s="916" t="s">
        <v>1755</v>
      </c>
      <c r="L122" s="1103" t="s">
        <v>6</v>
      </c>
      <c r="M122" s="638">
        <f>R122</f>
        <v>21600</v>
      </c>
      <c r="N122" s="1980"/>
      <c r="O122" s="1981">
        <v>1800000</v>
      </c>
      <c r="P122" s="1981">
        <v>12</v>
      </c>
      <c r="Q122" s="1974">
        <v>1</v>
      </c>
      <c r="R122" s="1974">
        <f t="shared" ref="R122:R127" si="26">ROUNDUP(O122*P122*Q122/1000,0)</f>
        <v>21600</v>
      </c>
      <c r="S122" s="1974"/>
      <c r="T122" s="1975"/>
    </row>
    <row r="123" spans="1:21" ht="21" customHeight="1">
      <c r="A123" s="501"/>
      <c r="B123" s="503"/>
      <c r="C123" s="503"/>
      <c r="D123" s="503"/>
      <c r="E123" s="503"/>
      <c r="F123" s="503"/>
      <c r="G123" s="503"/>
      <c r="H123" s="1147"/>
      <c r="I123" s="1147"/>
      <c r="J123" s="1150"/>
      <c r="K123" s="916" t="s">
        <v>662</v>
      </c>
      <c r="L123" s="1103" t="s">
        <v>6</v>
      </c>
      <c r="M123" s="638">
        <f>R123</f>
        <v>5400</v>
      </c>
      <c r="N123" s="1980"/>
      <c r="O123" s="1981">
        <v>450000</v>
      </c>
      <c r="P123" s="1981">
        <v>12</v>
      </c>
      <c r="Q123" s="1972">
        <v>1</v>
      </c>
      <c r="R123" s="1974">
        <f t="shared" si="26"/>
        <v>5400</v>
      </c>
      <c r="S123" s="1974"/>
      <c r="T123" s="1975"/>
      <c r="U123" s="500"/>
    </row>
    <row r="124" spans="1:21" ht="21" customHeight="1">
      <c r="A124" s="501"/>
      <c r="B124" s="503"/>
      <c r="C124" s="503"/>
      <c r="D124" s="503"/>
      <c r="E124" s="503"/>
      <c r="F124" s="503"/>
      <c r="G124" s="503"/>
      <c r="H124" s="1147"/>
      <c r="I124" s="1147"/>
      <c r="J124" s="1150"/>
      <c r="K124" s="916" t="s">
        <v>1756</v>
      </c>
      <c r="L124" s="1103" t="s">
        <v>6</v>
      </c>
      <c r="M124" s="638">
        <f>R124</f>
        <v>7200</v>
      </c>
      <c r="N124" s="1980"/>
      <c r="O124" s="1981">
        <v>600000</v>
      </c>
      <c r="P124" s="1981">
        <v>12</v>
      </c>
      <c r="Q124" s="1974">
        <v>1</v>
      </c>
      <c r="R124" s="1974">
        <f t="shared" si="26"/>
        <v>7200</v>
      </c>
      <c r="S124" s="1974"/>
      <c r="T124" s="1975"/>
      <c r="U124" s="500"/>
    </row>
    <row r="125" spans="1:21" ht="21" customHeight="1">
      <c r="A125" s="501"/>
      <c r="B125" s="503"/>
      <c r="C125" s="503"/>
      <c r="D125" s="503"/>
      <c r="E125" s="503"/>
      <c r="F125" s="503"/>
      <c r="G125" s="503"/>
      <c r="H125" s="1147"/>
      <c r="I125" s="1147"/>
      <c r="J125" s="515"/>
      <c r="K125" s="916" t="s">
        <v>1757</v>
      </c>
      <c r="L125" s="853" t="s">
        <v>6</v>
      </c>
      <c r="M125" s="638">
        <f>R125</f>
        <v>98000</v>
      </c>
      <c r="N125" s="1980"/>
      <c r="O125" s="1981">
        <v>1400000</v>
      </c>
      <c r="P125" s="1981">
        <v>70</v>
      </c>
      <c r="Q125" s="1974">
        <v>1</v>
      </c>
      <c r="R125" s="1974">
        <f t="shared" si="26"/>
        <v>98000</v>
      </c>
      <c r="S125" s="1974"/>
      <c r="T125" s="1975"/>
      <c r="U125" s="500"/>
    </row>
    <row r="126" spans="1:21" ht="21" customHeight="1">
      <c r="A126" s="501"/>
      <c r="B126" s="503"/>
      <c r="C126" s="503"/>
      <c r="D126" s="503"/>
      <c r="E126" s="503"/>
      <c r="F126" s="503"/>
      <c r="G126" s="502" t="s">
        <v>663</v>
      </c>
      <c r="H126" s="1146">
        <f>M126</f>
        <v>1441201</v>
      </c>
      <c r="I126" s="1146">
        <v>1445148</v>
      </c>
      <c r="J126" s="520">
        <f>H126-I126</f>
        <v>-3947</v>
      </c>
      <c r="K126" s="543"/>
      <c r="L126" s="533"/>
      <c r="M126" s="534">
        <f>M127+M128+M133</f>
        <v>1441201</v>
      </c>
      <c r="N126" s="1980"/>
      <c r="O126" s="1981"/>
      <c r="P126" s="1981"/>
      <c r="Q126" s="1974"/>
      <c r="R126" s="1974"/>
      <c r="S126" s="1974"/>
      <c r="T126" s="1975"/>
      <c r="U126" s="500"/>
    </row>
    <row r="127" spans="1:21" ht="21" customHeight="1">
      <c r="A127" s="501"/>
      <c r="B127" s="503"/>
      <c r="C127" s="503"/>
      <c r="D127" s="503"/>
      <c r="E127" s="503"/>
      <c r="F127" s="503"/>
      <c r="G127" s="503"/>
      <c r="H127" s="1147"/>
      <c r="I127" s="1147"/>
      <c r="J127" s="515"/>
      <c r="K127" s="916" t="s">
        <v>2411</v>
      </c>
      <c r="L127" s="853" t="s">
        <v>6</v>
      </c>
      <c r="M127" s="638">
        <f>R127</f>
        <v>126000</v>
      </c>
      <c r="N127" s="1980"/>
      <c r="O127" s="1981">
        <v>2000000</v>
      </c>
      <c r="P127" s="1981">
        <v>63</v>
      </c>
      <c r="Q127" s="1974">
        <v>1</v>
      </c>
      <c r="R127" s="1974">
        <f t="shared" si="26"/>
        <v>126000</v>
      </c>
      <c r="S127" s="1974"/>
      <c r="T127" s="1975"/>
      <c r="U127" s="500"/>
    </row>
    <row r="128" spans="1:21" ht="21" customHeight="1">
      <c r="A128" s="501"/>
      <c r="B128" s="503"/>
      <c r="C128" s="503"/>
      <c r="D128" s="503"/>
      <c r="E128" s="503"/>
      <c r="F128" s="503"/>
      <c r="G128" s="503"/>
      <c r="H128" s="1147"/>
      <c r="I128" s="1147"/>
      <c r="J128" s="1989"/>
      <c r="K128" s="916" t="s">
        <v>1758</v>
      </c>
      <c r="L128" s="1103"/>
      <c r="M128" s="638">
        <f>SUM(M129:M132)</f>
        <v>1299955</v>
      </c>
      <c r="N128" s="1980"/>
      <c r="O128" s="1981"/>
      <c r="P128" s="1981"/>
      <c r="Q128" s="1974"/>
      <c r="R128" s="1974"/>
      <c r="S128" s="1974"/>
      <c r="T128" s="1975"/>
      <c r="U128" s="500"/>
    </row>
    <row r="129" spans="1:69" ht="21" customHeight="1">
      <c r="A129" s="501"/>
      <c r="B129" s="503"/>
      <c r="C129" s="503"/>
      <c r="D129" s="503"/>
      <c r="E129" s="503"/>
      <c r="F129" s="503"/>
      <c r="G129" s="503"/>
      <c r="H129" s="1147"/>
      <c r="I129" s="1147"/>
      <c r="J129" s="515"/>
      <c r="K129" s="916" t="s">
        <v>1759</v>
      </c>
      <c r="L129" s="1103" t="s">
        <v>6</v>
      </c>
      <c r="M129" s="638">
        <f>S129</f>
        <v>504000</v>
      </c>
      <c r="N129" s="1980"/>
      <c r="O129" s="1981">
        <v>40000</v>
      </c>
      <c r="P129" s="1981">
        <v>30</v>
      </c>
      <c r="Q129" s="1974">
        <v>1400</v>
      </c>
      <c r="R129" s="1990">
        <v>0.3</v>
      </c>
      <c r="S129" s="1974">
        <f>ROUNDUP(O129*P129*Q129*R129/1000,0)</f>
        <v>504000</v>
      </c>
      <c r="T129" s="1983"/>
      <c r="U129" s="500"/>
    </row>
    <row r="130" spans="1:69" ht="21" customHeight="1">
      <c r="A130" s="501"/>
      <c r="B130" s="503"/>
      <c r="C130" s="503"/>
      <c r="D130" s="503"/>
      <c r="E130" s="503"/>
      <c r="F130" s="503"/>
      <c r="G130" s="503"/>
      <c r="H130" s="1147"/>
      <c r="I130" s="1147"/>
      <c r="J130" s="515"/>
      <c r="K130" s="916" t="s">
        <v>1760</v>
      </c>
      <c r="L130" s="1103" t="s">
        <v>6</v>
      </c>
      <c r="M130" s="638">
        <f t="shared" ref="M130:M132" si="27">S130</f>
        <v>698148</v>
      </c>
      <c r="N130" s="1980"/>
      <c r="O130" s="1981">
        <v>43000</v>
      </c>
      <c r="P130" s="1981">
        <v>33</v>
      </c>
      <c r="Q130" s="1974">
        <v>1200</v>
      </c>
      <c r="R130" s="1990">
        <v>0.41</v>
      </c>
      <c r="S130" s="1974">
        <f t="shared" ref="S130:S132" si="28">ROUNDUP(O130*P130*Q130*R130/1000,0)</f>
        <v>698148</v>
      </c>
      <c r="T130" s="1975"/>
      <c r="U130" s="500"/>
    </row>
    <row r="131" spans="1:69" s="500" customFormat="1" ht="21" customHeight="1">
      <c r="A131" s="501"/>
      <c r="B131" s="503"/>
      <c r="C131" s="503"/>
      <c r="D131" s="503"/>
      <c r="E131" s="503"/>
      <c r="F131" s="503"/>
      <c r="G131" s="503"/>
      <c r="H131" s="1147"/>
      <c r="I131" s="1147"/>
      <c r="J131" s="515"/>
      <c r="K131" s="916" t="s">
        <v>1761</v>
      </c>
      <c r="L131" s="1103" t="s">
        <v>6</v>
      </c>
      <c r="M131" s="638">
        <f t="shared" si="27"/>
        <v>87360</v>
      </c>
      <c r="N131" s="2674"/>
      <c r="O131" s="2675">
        <v>26000</v>
      </c>
      <c r="P131" s="2675">
        <v>8</v>
      </c>
      <c r="Q131" s="1974">
        <v>1400</v>
      </c>
      <c r="R131" s="1990">
        <v>0.3</v>
      </c>
      <c r="S131" s="1974">
        <f t="shared" si="28"/>
        <v>87360</v>
      </c>
      <c r="T131" s="1975"/>
    </row>
    <row r="132" spans="1:69" s="500" customFormat="1" ht="21" customHeight="1">
      <c r="A132" s="501"/>
      <c r="B132" s="503"/>
      <c r="C132" s="503"/>
      <c r="D132" s="503"/>
      <c r="E132" s="503"/>
      <c r="F132" s="503"/>
      <c r="G132" s="503"/>
      <c r="H132" s="1147"/>
      <c r="I132" s="1147"/>
      <c r="J132" s="515"/>
      <c r="K132" s="916" t="s">
        <v>2412</v>
      </c>
      <c r="L132" s="1103" t="s">
        <v>6</v>
      </c>
      <c r="M132" s="638">
        <f t="shared" si="27"/>
        <v>10447</v>
      </c>
      <c r="N132" s="1980"/>
      <c r="O132" s="1981">
        <v>26000</v>
      </c>
      <c r="P132" s="1981">
        <v>1</v>
      </c>
      <c r="Q132" s="1974">
        <v>980</v>
      </c>
      <c r="R132" s="1990">
        <v>0.41</v>
      </c>
      <c r="S132" s="1974">
        <f t="shared" si="28"/>
        <v>10447</v>
      </c>
      <c r="T132" s="1983"/>
    </row>
    <row r="133" spans="1:69" s="500" customFormat="1" ht="21" customHeight="1">
      <c r="A133" s="501"/>
      <c r="B133" s="503"/>
      <c r="C133" s="503"/>
      <c r="D133" s="503"/>
      <c r="E133" s="503"/>
      <c r="F133" s="504"/>
      <c r="G133" s="504"/>
      <c r="H133" s="1173"/>
      <c r="I133" s="1173"/>
      <c r="J133" s="519"/>
      <c r="K133" s="917" t="s">
        <v>1762</v>
      </c>
      <c r="L133" s="1174" t="s">
        <v>6</v>
      </c>
      <c r="M133" s="915">
        <f>R133</f>
        <v>15246</v>
      </c>
      <c r="N133" s="1980"/>
      <c r="O133" s="1981">
        <v>16500</v>
      </c>
      <c r="P133" s="1981">
        <v>77</v>
      </c>
      <c r="Q133" s="1974">
        <v>12</v>
      </c>
      <c r="R133" s="1974">
        <f t="shared" ref="R133" si="29">ROUNDUP(O133*P133*Q133/1000,0)</f>
        <v>15246</v>
      </c>
      <c r="S133" s="1984"/>
      <c r="T133" s="1985"/>
      <c r="V133" s="497"/>
      <c r="W133" s="497"/>
      <c r="X133" s="497"/>
      <c r="Y133" s="497"/>
      <c r="Z133" s="497"/>
      <c r="AA133" s="497"/>
      <c r="AB133" s="497"/>
      <c r="AC133" s="497"/>
      <c r="AD133" s="497"/>
      <c r="AE133" s="497"/>
      <c r="AF133" s="497"/>
      <c r="AG133" s="497"/>
      <c r="AH133" s="497"/>
      <c r="AI133" s="497"/>
      <c r="AJ133" s="497"/>
      <c r="AK133" s="497"/>
      <c r="AL133" s="497"/>
      <c r="AM133" s="497"/>
      <c r="AN133" s="497"/>
      <c r="AO133" s="497"/>
      <c r="AP133" s="497"/>
      <c r="AQ133" s="497"/>
      <c r="AR133" s="497"/>
      <c r="AS133" s="497"/>
      <c r="AT133" s="497"/>
      <c r="AU133" s="497"/>
      <c r="AV133" s="497"/>
      <c r="AW133" s="497"/>
      <c r="AX133" s="497"/>
      <c r="AY133" s="497"/>
      <c r="AZ133" s="497"/>
      <c r="BA133" s="497"/>
      <c r="BB133" s="497"/>
      <c r="BC133" s="497"/>
      <c r="BD133" s="497"/>
      <c r="BE133" s="497"/>
      <c r="BF133" s="497"/>
      <c r="BG133" s="497"/>
      <c r="BH133" s="497"/>
      <c r="BI133" s="497"/>
      <c r="BJ133" s="497"/>
      <c r="BK133" s="497"/>
      <c r="BL133" s="497"/>
      <c r="BM133" s="497"/>
      <c r="BN133" s="497"/>
      <c r="BO133" s="497"/>
      <c r="BP133" s="497"/>
      <c r="BQ133" s="497"/>
    </row>
    <row r="134" spans="1:69" s="500" customFormat="1" ht="21" customHeight="1">
      <c r="A134" s="501"/>
      <c r="B134" s="503"/>
      <c r="C134" s="503"/>
      <c r="D134" s="503"/>
      <c r="E134" s="503"/>
      <c r="F134" s="1144" t="s">
        <v>341</v>
      </c>
      <c r="G134" s="1144"/>
      <c r="H134" s="1145">
        <f>H135</f>
        <v>27620</v>
      </c>
      <c r="I134" s="1145">
        <v>27620</v>
      </c>
      <c r="J134" s="516">
        <f>H134-I134</f>
        <v>0</v>
      </c>
      <c r="K134" s="1175"/>
      <c r="L134" s="531"/>
      <c r="M134" s="527"/>
      <c r="N134" s="1980"/>
      <c r="O134" s="1981"/>
      <c r="P134" s="1981"/>
      <c r="Q134" s="1982"/>
      <c r="R134" s="1982"/>
      <c r="S134" s="1974"/>
      <c r="T134" s="1975"/>
    </row>
    <row r="135" spans="1:69" s="500" customFormat="1" ht="21" customHeight="1">
      <c r="A135" s="501"/>
      <c r="B135" s="503"/>
      <c r="C135" s="503"/>
      <c r="D135" s="503"/>
      <c r="E135" s="503"/>
      <c r="F135" s="502"/>
      <c r="G135" s="502" t="s">
        <v>458</v>
      </c>
      <c r="H135" s="1146">
        <f>M135</f>
        <v>27620</v>
      </c>
      <c r="I135" s="1146">
        <v>27620</v>
      </c>
      <c r="J135" s="520">
        <f>H135-I135</f>
        <v>0</v>
      </c>
      <c r="K135" s="1176"/>
      <c r="L135" s="1172"/>
      <c r="M135" s="918">
        <f>M136+M138</f>
        <v>27620</v>
      </c>
      <c r="N135" s="1980"/>
      <c r="O135" s="1981"/>
      <c r="P135" s="1981"/>
      <c r="Q135" s="1984"/>
      <c r="R135" s="1984"/>
      <c r="S135" s="1974"/>
      <c r="T135" s="1975"/>
    </row>
    <row r="136" spans="1:69" s="500" customFormat="1" ht="21" customHeight="1">
      <c r="A136" s="501"/>
      <c r="B136" s="503"/>
      <c r="C136" s="503"/>
      <c r="D136" s="503"/>
      <c r="E136" s="503"/>
      <c r="F136" s="503"/>
      <c r="G136" s="503"/>
      <c r="H136" s="1147"/>
      <c r="I136" s="1147"/>
      <c r="J136" s="1150"/>
      <c r="K136" s="1167" t="s">
        <v>342</v>
      </c>
      <c r="L136" s="1103"/>
      <c r="M136" s="638">
        <f>SUM(M137:M137)</f>
        <v>18000</v>
      </c>
      <c r="N136" s="1980"/>
      <c r="O136" s="1981"/>
      <c r="P136" s="1981"/>
      <c r="Q136" s="1974"/>
      <c r="R136" s="1974"/>
      <c r="S136" s="1974"/>
      <c r="T136" s="1975"/>
    </row>
    <row r="137" spans="1:69" s="500" customFormat="1" ht="21" customHeight="1">
      <c r="A137" s="501"/>
      <c r="B137" s="503"/>
      <c r="C137" s="503"/>
      <c r="D137" s="503"/>
      <c r="E137" s="503"/>
      <c r="F137" s="503"/>
      <c r="G137" s="503"/>
      <c r="H137" s="1147"/>
      <c r="I137" s="1147"/>
      <c r="J137" s="1150"/>
      <c r="K137" s="1167" t="s">
        <v>664</v>
      </c>
      <c r="L137" s="1103" t="s">
        <v>6</v>
      </c>
      <c r="M137" s="638">
        <f>S137</f>
        <v>18000</v>
      </c>
      <c r="N137" s="1980"/>
      <c r="O137" s="1981">
        <v>20000</v>
      </c>
      <c r="P137" s="1981">
        <v>5</v>
      </c>
      <c r="Q137" s="1974">
        <v>15</v>
      </c>
      <c r="R137" s="1974">
        <v>12</v>
      </c>
      <c r="S137" s="1974">
        <f t="shared" ref="S137" si="30">ROUNDUP(O137*P137*Q137*R137/1000,0)</f>
        <v>18000</v>
      </c>
      <c r="T137" s="1975"/>
    </row>
    <row r="138" spans="1:69" s="500" customFormat="1" ht="21" customHeight="1">
      <c r="A138" s="501"/>
      <c r="B138" s="503"/>
      <c r="C138" s="503"/>
      <c r="D138" s="503"/>
      <c r="E138" s="503"/>
      <c r="F138" s="503"/>
      <c r="G138" s="503"/>
      <c r="H138" s="1147"/>
      <c r="I138" s="1147"/>
      <c r="J138" s="1150"/>
      <c r="K138" s="1167" t="s">
        <v>343</v>
      </c>
      <c r="L138" s="1103"/>
      <c r="M138" s="638">
        <f>SUM(M139:M142)</f>
        <v>9620</v>
      </c>
      <c r="N138" s="1980"/>
      <c r="O138" s="1981"/>
      <c r="P138" s="1981"/>
      <c r="Q138" s="1974"/>
      <c r="R138" s="1974"/>
      <c r="S138" s="1974"/>
      <c r="T138" s="1975"/>
    </row>
    <row r="139" spans="1:69" s="500" customFormat="1" ht="21" customHeight="1">
      <c r="A139" s="501"/>
      <c r="B139" s="503"/>
      <c r="C139" s="503"/>
      <c r="D139" s="503"/>
      <c r="E139" s="503"/>
      <c r="F139" s="503"/>
      <c r="G139" s="503"/>
      <c r="H139" s="1147"/>
      <c r="I139" s="1147"/>
      <c r="J139" s="1150"/>
      <c r="K139" s="710" t="s">
        <v>975</v>
      </c>
      <c r="L139" s="1103" t="s">
        <v>6</v>
      </c>
      <c r="M139" s="638">
        <f>R139</f>
        <v>1760</v>
      </c>
      <c r="N139" s="1980"/>
      <c r="O139" s="1981">
        <v>110000</v>
      </c>
      <c r="P139" s="1981">
        <v>2</v>
      </c>
      <c r="Q139" s="1974">
        <v>8</v>
      </c>
      <c r="R139" s="1974">
        <f t="shared" ref="R139:R140" si="31">ROUNDUP(O139*P139*Q139/1000,0)</f>
        <v>1760</v>
      </c>
      <c r="S139" s="1974"/>
      <c r="T139" s="1975"/>
    </row>
    <row r="140" spans="1:69" s="500" customFormat="1" ht="21" customHeight="1">
      <c r="A140" s="501"/>
      <c r="B140" s="503"/>
      <c r="C140" s="503"/>
      <c r="D140" s="503"/>
      <c r="E140" s="503"/>
      <c r="F140" s="503"/>
      <c r="G140" s="503"/>
      <c r="H140" s="1147"/>
      <c r="I140" s="1147"/>
      <c r="J140" s="1150"/>
      <c r="K140" s="710" t="s">
        <v>976</v>
      </c>
      <c r="L140" s="1103" t="s">
        <v>292</v>
      </c>
      <c r="M140" s="638">
        <f>R140</f>
        <v>5000</v>
      </c>
      <c r="N140" s="1980"/>
      <c r="O140" s="1981">
        <v>500000</v>
      </c>
      <c r="P140" s="1981">
        <v>10</v>
      </c>
      <c r="Q140" s="1974">
        <v>1</v>
      </c>
      <c r="R140" s="1974">
        <f t="shared" si="31"/>
        <v>5000</v>
      </c>
      <c r="S140" s="1974"/>
      <c r="T140" s="1975"/>
    </row>
    <row r="141" spans="1:69" s="500" customFormat="1" ht="21" customHeight="1">
      <c r="A141" s="501"/>
      <c r="B141" s="503"/>
      <c r="C141" s="503"/>
      <c r="D141" s="503"/>
      <c r="E141" s="503"/>
      <c r="F141" s="503"/>
      <c r="G141" s="503"/>
      <c r="H141" s="1147"/>
      <c r="I141" s="1147"/>
      <c r="J141" s="1150"/>
      <c r="K141" s="710" t="s">
        <v>977</v>
      </c>
      <c r="L141" s="1103" t="s">
        <v>6</v>
      </c>
      <c r="M141" s="638">
        <f>S141</f>
        <v>660</v>
      </c>
      <c r="N141" s="1980"/>
      <c r="O141" s="1981">
        <v>110000</v>
      </c>
      <c r="P141" s="1981">
        <v>3</v>
      </c>
      <c r="Q141" s="1974">
        <v>2</v>
      </c>
      <c r="R141" s="1974">
        <v>1</v>
      </c>
      <c r="S141" s="1974">
        <f t="shared" ref="S141" si="32">ROUNDUP(O141*P141*Q141*R141/1000,0)</f>
        <v>660</v>
      </c>
      <c r="T141" s="1975"/>
    </row>
    <row r="142" spans="1:69" s="500" customFormat="1" ht="21" customHeight="1">
      <c r="A142" s="501"/>
      <c r="B142" s="503"/>
      <c r="C142" s="503"/>
      <c r="D142" s="503"/>
      <c r="E142" s="503"/>
      <c r="F142" s="503"/>
      <c r="G142" s="503"/>
      <c r="H142" s="1147"/>
      <c r="I142" s="1147"/>
      <c r="J142" s="1150"/>
      <c r="K142" s="1991" t="s">
        <v>978</v>
      </c>
      <c r="L142" s="1174" t="s">
        <v>6</v>
      </c>
      <c r="M142" s="915">
        <f>R142</f>
        <v>2200</v>
      </c>
      <c r="N142" s="1980"/>
      <c r="O142" s="1981">
        <v>110000</v>
      </c>
      <c r="P142" s="1981">
        <v>10</v>
      </c>
      <c r="Q142" s="1974">
        <v>2</v>
      </c>
      <c r="R142" s="1974">
        <f t="shared" ref="R142" si="33">ROUNDUP(O142*P142*Q142/1000,0)</f>
        <v>2200</v>
      </c>
      <c r="S142" s="1986"/>
      <c r="T142" s="1987"/>
    </row>
    <row r="143" spans="1:69" s="500" customFormat="1" ht="21" customHeight="1">
      <c r="A143" s="501"/>
      <c r="B143" s="503"/>
      <c r="C143" s="503"/>
      <c r="D143" s="503"/>
      <c r="E143" s="503"/>
      <c r="F143" s="1144" t="s">
        <v>346</v>
      </c>
      <c r="G143" s="1144"/>
      <c r="H143" s="1177">
        <f>H144</f>
        <v>19740</v>
      </c>
      <c r="I143" s="1177">
        <v>20220</v>
      </c>
      <c r="J143" s="509">
        <f>H143-I143</f>
        <v>-480</v>
      </c>
      <c r="K143" s="536"/>
      <c r="L143" s="539"/>
      <c r="M143" s="538"/>
      <c r="N143" s="1980"/>
      <c r="O143" s="1981"/>
      <c r="P143" s="1981"/>
      <c r="Q143" s="1974"/>
      <c r="R143" s="1974"/>
      <c r="S143" s="1974"/>
      <c r="T143" s="1975"/>
    </row>
    <row r="144" spans="1:69" s="500" customFormat="1" ht="21" customHeight="1">
      <c r="A144" s="501"/>
      <c r="B144" s="503"/>
      <c r="C144" s="503"/>
      <c r="D144" s="503"/>
      <c r="E144" s="503"/>
      <c r="F144" s="502"/>
      <c r="G144" s="502" t="s">
        <v>504</v>
      </c>
      <c r="H144" s="1168">
        <f>M144</f>
        <v>19740</v>
      </c>
      <c r="I144" s="1168">
        <v>20220</v>
      </c>
      <c r="J144" s="1178">
        <f>H144-I144</f>
        <v>-480</v>
      </c>
      <c r="K144" s="1992"/>
      <c r="L144" s="1179"/>
      <c r="M144" s="1180">
        <f>M145+M146</f>
        <v>19740</v>
      </c>
      <c r="N144" s="1980"/>
      <c r="O144" s="1981"/>
      <c r="P144" s="1981"/>
      <c r="Q144" s="1974"/>
      <c r="R144" s="1974"/>
      <c r="S144" s="1974"/>
      <c r="T144" s="1975"/>
    </row>
    <row r="145" spans="1:69" s="500" customFormat="1" ht="21" customHeight="1">
      <c r="A145" s="501"/>
      <c r="B145" s="503"/>
      <c r="C145" s="503"/>
      <c r="D145" s="503"/>
      <c r="E145" s="503"/>
      <c r="F145" s="503"/>
      <c r="G145" s="503"/>
      <c r="H145" s="1170"/>
      <c r="I145" s="1170"/>
      <c r="J145" s="1181"/>
      <c r="K145" s="916" t="s">
        <v>1763</v>
      </c>
      <c r="L145" s="1182" t="s">
        <v>6</v>
      </c>
      <c r="M145" s="638">
        <f>R145</f>
        <v>4800</v>
      </c>
      <c r="N145" s="1980"/>
      <c r="O145" s="1981">
        <v>400000</v>
      </c>
      <c r="P145" s="1981">
        <v>12</v>
      </c>
      <c r="Q145" s="1974">
        <v>1</v>
      </c>
      <c r="R145" s="1974">
        <f t="shared" ref="R145:R146" si="34">ROUNDUP(O145*P145*Q145/1000,0)</f>
        <v>4800</v>
      </c>
      <c r="S145" s="1972"/>
      <c r="T145" s="1973"/>
    </row>
    <row r="146" spans="1:69" s="500" customFormat="1" ht="21" customHeight="1">
      <c r="A146" s="501"/>
      <c r="B146" s="503"/>
      <c r="C146" s="503"/>
      <c r="D146" s="503"/>
      <c r="E146" s="503"/>
      <c r="F146" s="503"/>
      <c r="G146" s="503"/>
      <c r="H146" s="1170"/>
      <c r="I146" s="1170"/>
      <c r="J146" s="1181"/>
      <c r="K146" s="1993" t="s">
        <v>1764</v>
      </c>
      <c r="L146" s="1182" t="s">
        <v>6</v>
      </c>
      <c r="M146" s="638">
        <f>R146</f>
        <v>14940</v>
      </c>
      <c r="N146" s="1980"/>
      <c r="O146" s="1981">
        <v>5000</v>
      </c>
      <c r="P146" s="1981">
        <v>249</v>
      </c>
      <c r="Q146" s="1974">
        <v>12</v>
      </c>
      <c r="R146" s="1974">
        <f t="shared" si="34"/>
        <v>14940</v>
      </c>
      <c r="S146" s="1984"/>
      <c r="T146" s="1985"/>
    </row>
    <row r="147" spans="1:69" s="500" customFormat="1" ht="21" customHeight="1">
      <c r="A147" s="64"/>
      <c r="B147" s="22"/>
      <c r="C147" s="1031"/>
      <c r="D147" s="1026" t="s">
        <v>891</v>
      </c>
      <c r="E147" s="1027"/>
      <c r="F147" s="1027"/>
      <c r="G147" s="1028"/>
      <c r="H147" s="1029">
        <f t="shared" ref="H147:H149" si="35">H148</f>
        <v>660555</v>
      </c>
      <c r="I147" s="1029">
        <v>727617</v>
      </c>
      <c r="J147" s="1183">
        <f>H147-I147</f>
        <v>-67062</v>
      </c>
      <c r="K147" s="1055"/>
      <c r="L147" s="1056"/>
      <c r="M147" s="1057"/>
      <c r="N147" s="2674"/>
      <c r="O147" s="2675"/>
      <c r="P147" s="2675"/>
      <c r="Q147" s="1974"/>
      <c r="R147" s="1974"/>
      <c r="S147" s="1984"/>
      <c r="T147" s="1985"/>
    </row>
    <row r="148" spans="1:69" s="500" customFormat="1" ht="21" customHeight="1">
      <c r="A148" s="64"/>
      <c r="B148" s="22"/>
      <c r="C148" s="832"/>
      <c r="D148" s="1032"/>
      <c r="E148" s="1026" t="s">
        <v>855</v>
      </c>
      <c r="F148" s="1027"/>
      <c r="G148" s="1028"/>
      <c r="H148" s="825">
        <f t="shared" si="35"/>
        <v>660555</v>
      </c>
      <c r="I148" s="825">
        <v>727617</v>
      </c>
      <c r="J148" s="1183">
        <f>H148-I148</f>
        <v>-67062</v>
      </c>
      <c r="K148" s="728"/>
      <c r="L148" s="827"/>
      <c r="M148" s="694"/>
      <c r="N148" s="2674"/>
      <c r="O148" s="1981"/>
      <c r="P148" s="1981"/>
      <c r="Q148" s="1994"/>
      <c r="R148" s="1974"/>
      <c r="S148" s="1984"/>
      <c r="T148" s="1985"/>
    </row>
    <row r="149" spans="1:69" s="500" customFormat="1" ht="21" customHeight="1">
      <c r="A149" s="501"/>
      <c r="B149" s="503"/>
      <c r="C149" s="503"/>
      <c r="D149" s="832"/>
      <c r="E149" s="1184"/>
      <c r="F149" s="1144" t="s">
        <v>49</v>
      </c>
      <c r="G149" s="1130"/>
      <c r="H149" s="1185">
        <f t="shared" si="35"/>
        <v>660555</v>
      </c>
      <c r="I149" s="1185">
        <v>727617</v>
      </c>
      <c r="J149" s="1183">
        <f>H149-I149</f>
        <v>-67062</v>
      </c>
      <c r="K149" s="715"/>
      <c r="L149" s="1186"/>
      <c r="M149" s="691"/>
      <c r="N149" s="2674"/>
      <c r="O149" s="1981"/>
      <c r="P149" s="1981"/>
      <c r="Q149" s="1994"/>
      <c r="R149" s="1974"/>
      <c r="S149" s="1984"/>
      <c r="T149" s="1985"/>
    </row>
    <row r="150" spans="1:69" s="500" customFormat="1" ht="21" customHeight="1">
      <c r="A150" s="501"/>
      <c r="B150" s="503"/>
      <c r="C150" s="503"/>
      <c r="D150" s="503"/>
      <c r="E150" s="503"/>
      <c r="F150" s="503"/>
      <c r="G150" s="502" t="s">
        <v>502</v>
      </c>
      <c r="H150" s="1168">
        <f>M150</f>
        <v>660555</v>
      </c>
      <c r="I150" s="1168">
        <v>727617</v>
      </c>
      <c r="J150" s="520">
        <f>H150-I150</f>
        <v>-67062</v>
      </c>
      <c r="K150" s="1995"/>
      <c r="L150" s="535"/>
      <c r="M150" s="1996">
        <f>M151+M173+M92+M174+M175+M176+M177</f>
        <v>660555</v>
      </c>
      <c r="N150" s="1980"/>
      <c r="O150" s="1981"/>
      <c r="P150" s="1981"/>
      <c r="Q150" s="1997"/>
      <c r="R150" s="1986"/>
      <c r="S150" s="1998"/>
      <c r="T150" s="1999"/>
    </row>
    <row r="151" spans="1:69" s="500" customFormat="1" ht="21" customHeight="1">
      <c r="A151" s="501"/>
      <c r="B151" s="503"/>
      <c r="C151" s="503"/>
      <c r="D151" s="499"/>
      <c r="E151" s="503"/>
      <c r="F151" s="503"/>
      <c r="G151" s="503"/>
      <c r="H151" s="1614"/>
      <c r="I151" s="1614"/>
      <c r="J151" s="1615"/>
      <c r="K151" s="323" t="s">
        <v>1765</v>
      </c>
      <c r="L151" s="1978"/>
      <c r="M151" s="1617">
        <f>SUM(M152:M172)</f>
        <v>329207</v>
      </c>
      <c r="N151" s="1980"/>
      <c r="O151" s="1981"/>
      <c r="P151" s="1981"/>
      <c r="Q151" s="2000"/>
      <c r="R151" s="2001"/>
      <c r="S151" s="1998"/>
      <c r="T151" s="1999"/>
    </row>
    <row r="152" spans="1:69" s="500" customFormat="1" ht="21" customHeight="1">
      <c r="A152" s="501"/>
      <c r="B152" s="503"/>
      <c r="C152" s="503"/>
      <c r="D152" s="499"/>
      <c r="E152" s="503"/>
      <c r="F152" s="503"/>
      <c r="G152" s="503"/>
      <c r="H152" s="1614"/>
      <c r="I152" s="1614"/>
      <c r="J152" s="1615"/>
      <c r="K152" s="323" t="s">
        <v>2413</v>
      </c>
      <c r="L152" s="1978" t="s">
        <v>6</v>
      </c>
      <c r="M152" s="1618">
        <f>R152</f>
        <v>41850</v>
      </c>
      <c r="N152" s="1980"/>
      <c r="O152" s="1981">
        <v>150000</v>
      </c>
      <c r="P152" s="1981">
        <v>279</v>
      </c>
      <c r="Q152" s="2002">
        <v>1</v>
      </c>
      <c r="R152" s="2003">
        <f t="shared" ref="R152:R167" si="36">ROUNDUP(O152*P152*Q152/1000,0)</f>
        <v>41850</v>
      </c>
      <c r="S152" s="1998"/>
      <c r="T152" s="1999"/>
    </row>
    <row r="153" spans="1:69" s="500" customFormat="1" ht="21" customHeight="1">
      <c r="A153" s="501"/>
      <c r="B153" s="503"/>
      <c r="C153" s="503"/>
      <c r="D153" s="499"/>
      <c r="E153" s="503"/>
      <c r="F153" s="503"/>
      <c r="G153" s="503"/>
      <c r="H153" s="1614"/>
      <c r="I153" s="1614"/>
      <c r="J153" s="1615"/>
      <c r="K153" s="710" t="s">
        <v>1766</v>
      </c>
      <c r="L153" s="1978" t="s">
        <v>6</v>
      </c>
      <c r="M153" s="1618">
        <f t="shared" ref="M153:M175" si="37">R153</f>
        <v>19530</v>
      </c>
      <c r="N153" s="1980"/>
      <c r="O153" s="1981">
        <v>70000</v>
      </c>
      <c r="P153" s="1981">
        <v>279</v>
      </c>
      <c r="Q153" s="2002">
        <v>1</v>
      </c>
      <c r="R153" s="2003">
        <f t="shared" si="36"/>
        <v>19530</v>
      </c>
      <c r="S153" s="1998"/>
      <c r="T153" s="1999"/>
    </row>
    <row r="154" spans="1:69" s="500" customFormat="1" ht="21" customHeight="1">
      <c r="A154" s="501"/>
      <c r="B154" s="503"/>
      <c r="C154" s="503"/>
      <c r="D154" s="499"/>
      <c r="E154" s="503"/>
      <c r="F154" s="503"/>
      <c r="G154" s="503"/>
      <c r="H154" s="1614"/>
      <c r="I154" s="1614"/>
      <c r="J154" s="1615"/>
      <c r="K154" s="323" t="s">
        <v>1767</v>
      </c>
      <c r="L154" s="1978" t="s">
        <v>6</v>
      </c>
      <c r="M154" s="1618">
        <f t="shared" si="37"/>
        <v>45045</v>
      </c>
      <c r="N154" s="1980"/>
      <c r="O154" s="1981">
        <v>165000</v>
      </c>
      <c r="P154" s="1981">
        <v>273</v>
      </c>
      <c r="Q154" s="2002">
        <v>1</v>
      </c>
      <c r="R154" s="2003">
        <f t="shared" si="36"/>
        <v>45045</v>
      </c>
      <c r="S154" s="1998"/>
      <c r="T154" s="1999"/>
    </row>
    <row r="155" spans="1:69" s="500" customFormat="1" ht="21" customHeight="1">
      <c r="A155" s="501"/>
      <c r="B155" s="503"/>
      <c r="C155" s="503"/>
      <c r="D155" s="499"/>
      <c r="E155" s="503"/>
      <c r="F155" s="503"/>
      <c r="G155" s="503"/>
      <c r="H155" s="1614"/>
      <c r="I155" s="1614"/>
      <c r="J155" s="1615"/>
      <c r="K155" s="323" t="s">
        <v>1768</v>
      </c>
      <c r="L155" s="1978" t="s">
        <v>6</v>
      </c>
      <c r="M155" s="1618">
        <f t="shared" si="37"/>
        <v>36855</v>
      </c>
      <c r="N155" s="1980"/>
      <c r="O155" s="1981">
        <v>135000</v>
      </c>
      <c r="P155" s="1981">
        <v>273</v>
      </c>
      <c r="Q155" s="2002">
        <v>1</v>
      </c>
      <c r="R155" s="2003">
        <f t="shared" si="36"/>
        <v>36855</v>
      </c>
      <c r="S155" s="1998"/>
      <c r="T155" s="1999"/>
    </row>
    <row r="156" spans="1:69" s="500" customFormat="1" ht="21" customHeight="1">
      <c r="A156" s="501"/>
      <c r="B156" s="503"/>
      <c r="C156" s="503"/>
      <c r="D156" s="499"/>
      <c r="E156" s="518"/>
      <c r="F156" s="518"/>
      <c r="G156" s="518"/>
      <c r="H156" s="1614"/>
      <c r="I156" s="1614"/>
      <c r="J156" s="1615"/>
      <c r="K156" s="323" t="s">
        <v>1769</v>
      </c>
      <c r="L156" s="1978" t="s">
        <v>6</v>
      </c>
      <c r="M156" s="1618">
        <f t="shared" si="37"/>
        <v>15015</v>
      </c>
      <c r="N156" s="1980"/>
      <c r="O156" s="1981">
        <v>55000</v>
      </c>
      <c r="P156" s="1981">
        <v>273</v>
      </c>
      <c r="Q156" s="2002">
        <v>1</v>
      </c>
      <c r="R156" s="2003">
        <f t="shared" si="36"/>
        <v>15015</v>
      </c>
      <c r="S156" s="1998"/>
      <c r="T156" s="1999"/>
    </row>
    <row r="157" spans="1:69" s="500" customFormat="1" ht="21" customHeight="1">
      <c r="A157" s="501"/>
      <c r="B157" s="503"/>
      <c r="C157" s="503"/>
      <c r="D157" s="499"/>
      <c r="E157" s="518"/>
      <c r="F157" s="518"/>
      <c r="G157" s="518"/>
      <c r="H157" s="1614"/>
      <c r="I157" s="1614"/>
      <c r="J157" s="1615"/>
      <c r="K157" s="323" t="s">
        <v>1770</v>
      </c>
      <c r="L157" s="1978" t="s">
        <v>6</v>
      </c>
      <c r="M157" s="1618">
        <f t="shared" si="37"/>
        <v>9555</v>
      </c>
      <c r="N157" s="1980"/>
      <c r="O157" s="1981">
        <v>35000</v>
      </c>
      <c r="P157" s="1981">
        <v>273</v>
      </c>
      <c r="Q157" s="2002">
        <v>1</v>
      </c>
      <c r="R157" s="2003">
        <f t="shared" si="36"/>
        <v>9555</v>
      </c>
      <c r="S157" s="1998"/>
      <c r="T157" s="1999"/>
    </row>
    <row r="158" spans="1:69" ht="21" customHeight="1">
      <c r="A158" s="501"/>
      <c r="B158" s="503"/>
      <c r="C158" s="503"/>
      <c r="D158" s="499"/>
      <c r="E158" s="518"/>
      <c r="F158" s="518"/>
      <c r="G158" s="518"/>
      <c r="H158" s="1614"/>
      <c r="I158" s="1614"/>
      <c r="J158" s="1615"/>
      <c r="K158" s="710" t="s">
        <v>1771</v>
      </c>
      <c r="L158" s="1978" t="s">
        <v>6</v>
      </c>
      <c r="M158" s="1618">
        <f t="shared" si="37"/>
        <v>53235</v>
      </c>
      <c r="N158" s="1980"/>
      <c r="O158" s="1981">
        <v>65000</v>
      </c>
      <c r="P158" s="1981">
        <v>273</v>
      </c>
      <c r="Q158" s="2002">
        <v>3</v>
      </c>
      <c r="R158" s="2003">
        <f t="shared" si="36"/>
        <v>53235</v>
      </c>
      <c r="S158" s="1998"/>
      <c r="T158" s="1999"/>
      <c r="U158" s="500"/>
      <c r="V158" s="500"/>
      <c r="W158" s="500"/>
      <c r="X158" s="500"/>
      <c r="Y158" s="500"/>
      <c r="Z158" s="500"/>
      <c r="AA158" s="500"/>
      <c r="AB158" s="500"/>
      <c r="AC158" s="500"/>
      <c r="AD158" s="500"/>
      <c r="AE158" s="500"/>
      <c r="AF158" s="500"/>
      <c r="AG158" s="500"/>
      <c r="AH158" s="500"/>
      <c r="AI158" s="500"/>
      <c r="AJ158" s="500"/>
      <c r="AK158" s="500"/>
      <c r="AL158" s="500"/>
      <c r="AM158" s="500"/>
      <c r="AN158" s="500"/>
      <c r="AO158" s="500"/>
      <c r="AP158" s="500"/>
      <c r="AQ158" s="500"/>
      <c r="AR158" s="500"/>
      <c r="AS158" s="500"/>
      <c r="AT158" s="500"/>
      <c r="AU158" s="500"/>
      <c r="AV158" s="500"/>
      <c r="AW158" s="500"/>
      <c r="AX158" s="500"/>
      <c r="AY158" s="500"/>
      <c r="AZ158" s="500"/>
      <c r="BA158" s="500"/>
      <c r="BB158" s="500"/>
      <c r="BC158" s="500"/>
      <c r="BD158" s="500"/>
      <c r="BE158" s="500"/>
      <c r="BF158" s="500"/>
      <c r="BG158" s="500"/>
      <c r="BH158" s="500"/>
      <c r="BI158" s="500"/>
      <c r="BJ158" s="500"/>
      <c r="BK158" s="500"/>
      <c r="BL158" s="500"/>
      <c r="BM158" s="500"/>
      <c r="BN158" s="500"/>
      <c r="BO158" s="500"/>
      <c r="BP158" s="500"/>
      <c r="BQ158" s="500"/>
    </row>
    <row r="159" spans="1:69" ht="21" customHeight="1">
      <c r="A159" s="501"/>
      <c r="B159" s="503"/>
      <c r="C159" s="503"/>
      <c r="D159" s="499"/>
      <c r="E159" s="503"/>
      <c r="F159" s="503"/>
      <c r="G159" s="503"/>
      <c r="H159" s="1614"/>
      <c r="I159" s="1614"/>
      <c r="J159" s="1615"/>
      <c r="K159" s="1976" t="s">
        <v>1772</v>
      </c>
      <c r="L159" s="1978" t="s">
        <v>6</v>
      </c>
      <c r="M159" s="1618">
        <f t="shared" si="37"/>
        <v>2048</v>
      </c>
      <c r="N159" s="1980"/>
      <c r="O159" s="1981">
        <v>7500</v>
      </c>
      <c r="P159" s="1981">
        <v>273</v>
      </c>
      <c r="Q159" s="2002">
        <v>1</v>
      </c>
      <c r="R159" s="2003">
        <f t="shared" si="36"/>
        <v>2048</v>
      </c>
      <c r="S159" s="1998"/>
      <c r="T159" s="1999"/>
      <c r="U159" s="500"/>
      <c r="V159" s="500"/>
      <c r="W159" s="500"/>
      <c r="X159" s="500"/>
      <c r="Y159" s="500"/>
      <c r="Z159" s="500"/>
      <c r="AA159" s="500"/>
      <c r="AB159" s="500"/>
      <c r="AC159" s="500"/>
      <c r="AD159" s="500"/>
      <c r="AE159" s="500"/>
      <c r="AF159" s="500"/>
      <c r="AG159" s="500"/>
      <c r="AH159" s="500"/>
      <c r="AI159" s="500"/>
      <c r="AJ159" s="500"/>
      <c r="AK159" s="500"/>
      <c r="AL159" s="500"/>
      <c r="AM159" s="500"/>
      <c r="AN159" s="500"/>
      <c r="AO159" s="500"/>
      <c r="AP159" s="500"/>
      <c r="AQ159" s="500"/>
      <c r="AR159" s="500"/>
      <c r="AS159" s="500"/>
      <c r="AT159" s="500"/>
      <c r="AU159" s="500"/>
      <c r="AV159" s="500"/>
      <c r="AW159" s="500"/>
      <c r="AX159" s="500"/>
      <c r="AY159" s="500"/>
      <c r="AZ159" s="500"/>
      <c r="BA159" s="500"/>
      <c r="BB159" s="500"/>
      <c r="BC159" s="500"/>
      <c r="BD159" s="500"/>
      <c r="BE159" s="500"/>
      <c r="BF159" s="500"/>
      <c r="BG159" s="500"/>
      <c r="BH159" s="500"/>
      <c r="BI159" s="500"/>
      <c r="BJ159" s="500"/>
      <c r="BK159" s="500"/>
      <c r="BL159" s="500"/>
      <c r="BM159" s="500"/>
      <c r="BN159" s="500"/>
      <c r="BO159" s="500"/>
      <c r="BP159" s="500"/>
      <c r="BQ159" s="500"/>
    </row>
    <row r="160" spans="1:69" ht="21" customHeight="1">
      <c r="A160" s="501"/>
      <c r="B160" s="503"/>
      <c r="C160" s="503"/>
      <c r="D160" s="499"/>
      <c r="E160" s="503"/>
      <c r="F160" s="503"/>
      <c r="G160" s="503"/>
      <c r="H160" s="1614"/>
      <c r="I160" s="1614"/>
      <c r="J160" s="1615"/>
      <c r="K160" s="1976" t="s">
        <v>1773</v>
      </c>
      <c r="L160" s="1978" t="s">
        <v>6</v>
      </c>
      <c r="M160" s="1618">
        <f t="shared" si="37"/>
        <v>4095</v>
      </c>
      <c r="N160" s="1980"/>
      <c r="O160" s="1981">
        <v>15000</v>
      </c>
      <c r="P160" s="1981">
        <v>273</v>
      </c>
      <c r="Q160" s="2002">
        <v>1</v>
      </c>
      <c r="R160" s="2003">
        <f t="shared" si="36"/>
        <v>4095</v>
      </c>
      <c r="S160" s="1998"/>
      <c r="T160" s="1999"/>
      <c r="U160" s="500"/>
      <c r="V160" s="500"/>
      <c r="W160" s="500"/>
      <c r="X160" s="500"/>
      <c r="Y160" s="500"/>
      <c r="Z160" s="500"/>
      <c r="AA160" s="500"/>
      <c r="AB160" s="500"/>
      <c r="AC160" s="500"/>
      <c r="AD160" s="500"/>
      <c r="AE160" s="500"/>
      <c r="AF160" s="500"/>
      <c r="AG160" s="500"/>
      <c r="AH160" s="500"/>
      <c r="AI160" s="500"/>
      <c r="AJ160" s="500"/>
      <c r="AK160" s="500"/>
      <c r="AL160" s="500"/>
      <c r="AM160" s="500"/>
      <c r="AN160" s="500"/>
      <c r="AO160" s="500"/>
      <c r="AP160" s="500"/>
      <c r="AQ160" s="500"/>
      <c r="AR160" s="500"/>
      <c r="AS160" s="500"/>
      <c r="AT160" s="500"/>
      <c r="AU160" s="500"/>
      <c r="AV160" s="500"/>
      <c r="AW160" s="500"/>
      <c r="AX160" s="500"/>
      <c r="AY160" s="500"/>
      <c r="AZ160" s="500"/>
      <c r="BA160" s="500"/>
      <c r="BB160" s="500"/>
      <c r="BC160" s="500"/>
      <c r="BD160" s="500"/>
      <c r="BE160" s="500"/>
      <c r="BF160" s="500"/>
      <c r="BG160" s="500"/>
      <c r="BH160" s="500"/>
      <c r="BI160" s="500"/>
      <c r="BJ160" s="500"/>
      <c r="BK160" s="500"/>
      <c r="BL160" s="500"/>
      <c r="BM160" s="500"/>
      <c r="BN160" s="500"/>
      <c r="BO160" s="500"/>
      <c r="BP160" s="500"/>
      <c r="BQ160" s="500"/>
    </row>
    <row r="161" spans="1:16384" ht="21" customHeight="1">
      <c r="A161" s="501"/>
      <c r="B161" s="503"/>
      <c r="C161" s="503"/>
      <c r="D161" s="499"/>
      <c r="E161" s="503"/>
      <c r="F161" s="503"/>
      <c r="G161" s="503"/>
      <c r="H161" s="1614"/>
      <c r="I161" s="1614"/>
      <c r="J161" s="1615"/>
      <c r="K161" s="710" t="s">
        <v>1774</v>
      </c>
      <c r="L161" s="1978" t="s">
        <v>6</v>
      </c>
      <c r="M161" s="1618">
        <f t="shared" si="37"/>
        <v>5460</v>
      </c>
      <c r="N161" s="1980"/>
      <c r="O161" s="1981">
        <v>20000</v>
      </c>
      <c r="P161" s="1981">
        <v>273</v>
      </c>
      <c r="Q161" s="2002">
        <v>1</v>
      </c>
      <c r="R161" s="2003">
        <f t="shared" si="36"/>
        <v>5460</v>
      </c>
      <c r="S161" s="1998"/>
      <c r="T161" s="1999"/>
      <c r="V161" s="500"/>
      <c r="W161" s="500"/>
      <c r="X161" s="500"/>
      <c r="Y161" s="500"/>
      <c r="Z161" s="500"/>
      <c r="AA161" s="500"/>
      <c r="AB161" s="500"/>
      <c r="AC161" s="500"/>
      <c r="AD161" s="500"/>
      <c r="AE161" s="500"/>
      <c r="AF161" s="500"/>
      <c r="AG161" s="500"/>
      <c r="AH161" s="500"/>
      <c r="AI161" s="500"/>
      <c r="AJ161" s="500"/>
      <c r="AK161" s="500"/>
      <c r="AL161" s="500"/>
      <c r="AM161" s="500"/>
      <c r="AN161" s="500"/>
      <c r="AO161" s="500"/>
      <c r="AP161" s="500"/>
      <c r="AQ161" s="500"/>
      <c r="AR161" s="500"/>
      <c r="AS161" s="500"/>
      <c r="AT161" s="500"/>
      <c r="AU161" s="500"/>
      <c r="AV161" s="500"/>
      <c r="AW161" s="500"/>
      <c r="AX161" s="500"/>
      <c r="AY161" s="500"/>
      <c r="AZ161" s="500"/>
      <c r="BA161" s="500"/>
      <c r="BB161" s="500"/>
      <c r="BC161" s="500"/>
      <c r="BD161" s="500"/>
      <c r="BE161" s="500"/>
      <c r="BF161" s="500"/>
      <c r="BG161" s="500"/>
      <c r="BH161" s="500"/>
      <c r="BI161" s="500"/>
      <c r="BJ161" s="500"/>
      <c r="BK161" s="500"/>
      <c r="BL161" s="500"/>
      <c r="BM161" s="500"/>
      <c r="BN161" s="500"/>
      <c r="BO161" s="500"/>
      <c r="BP161" s="500"/>
      <c r="BQ161" s="500"/>
    </row>
    <row r="162" spans="1:16384" s="2" customFormat="1" ht="21" customHeight="1">
      <c r="A162" s="501"/>
      <c r="B162" s="503"/>
      <c r="C162" s="503"/>
      <c r="D162" s="499"/>
      <c r="E162" s="503"/>
      <c r="F162" s="503"/>
      <c r="G162" s="503"/>
      <c r="H162" s="1614"/>
      <c r="I162" s="1614"/>
      <c r="J162" s="1615"/>
      <c r="K162" s="710" t="s">
        <v>1775</v>
      </c>
      <c r="L162" s="1978" t="s">
        <v>6</v>
      </c>
      <c r="M162" s="1618">
        <f t="shared" si="37"/>
        <v>7098</v>
      </c>
      <c r="N162" s="1980"/>
      <c r="O162" s="1981">
        <v>13000</v>
      </c>
      <c r="P162" s="1981">
        <v>273</v>
      </c>
      <c r="Q162" s="2002">
        <v>2</v>
      </c>
      <c r="R162" s="2003">
        <f t="shared" si="36"/>
        <v>7098</v>
      </c>
      <c r="S162" s="1998"/>
      <c r="T162" s="1999"/>
    </row>
    <row r="163" spans="1:16384" s="2" customFormat="1" ht="21" customHeight="1">
      <c r="A163" s="501"/>
      <c r="B163" s="503"/>
      <c r="C163" s="503"/>
      <c r="D163" s="499"/>
      <c r="E163" s="503"/>
      <c r="F163" s="503"/>
      <c r="G163" s="503"/>
      <c r="H163" s="1614"/>
      <c r="I163" s="1614"/>
      <c r="J163" s="1615"/>
      <c r="K163" s="710" t="s">
        <v>1776</v>
      </c>
      <c r="L163" s="1978" t="s">
        <v>6</v>
      </c>
      <c r="M163" s="1618">
        <f t="shared" si="37"/>
        <v>3216</v>
      </c>
      <c r="N163" s="1980"/>
      <c r="O163" s="1981">
        <v>11780</v>
      </c>
      <c r="P163" s="1981">
        <v>273</v>
      </c>
      <c r="Q163" s="2002">
        <v>1</v>
      </c>
      <c r="R163" s="2003">
        <f t="shared" si="36"/>
        <v>3216</v>
      </c>
      <c r="S163" s="1998"/>
      <c r="T163" s="1999"/>
    </row>
    <row r="164" spans="1:16384" s="2" customFormat="1" ht="21" customHeight="1">
      <c r="A164" s="501"/>
      <c r="B164" s="503"/>
      <c r="C164" s="503"/>
      <c r="D164" s="499"/>
      <c r="E164" s="503"/>
      <c r="F164" s="503"/>
      <c r="G164" s="503"/>
      <c r="H164" s="1614"/>
      <c r="I164" s="1614"/>
      <c r="J164" s="1615"/>
      <c r="K164" s="710" t="s">
        <v>1777</v>
      </c>
      <c r="L164" s="1978" t="s">
        <v>6</v>
      </c>
      <c r="M164" s="1618">
        <f t="shared" si="37"/>
        <v>17472</v>
      </c>
      <c r="N164" s="1980"/>
      <c r="O164" s="1981">
        <v>32000</v>
      </c>
      <c r="P164" s="1981">
        <v>273</v>
      </c>
      <c r="Q164" s="2002">
        <v>2</v>
      </c>
      <c r="R164" s="2003">
        <f t="shared" si="36"/>
        <v>17472</v>
      </c>
      <c r="S164" s="1998"/>
      <c r="T164" s="1999"/>
    </row>
    <row r="165" spans="1:16384" s="500" customFormat="1" ht="21" customHeight="1">
      <c r="A165" s="501"/>
      <c r="B165" s="503"/>
      <c r="C165" s="503"/>
      <c r="D165" s="499"/>
      <c r="E165" s="503"/>
      <c r="F165" s="503"/>
      <c r="G165" s="503"/>
      <c r="H165" s="1614"/>
      <c r="I165" s="1614"/>
      <c r="J165" s="1615"/>
      <c r="K165" s="710" t="s">
        <v>1778</v>
      </c>
      <c r="L165" s="2004" t="s">
        <v>292</v>
      </c>
      <c r="M165" s="1618">
        <f t="shared" si="37"/>
        <v>2730</v>
      </c>
      <c r="N165" s="1980"/>
      <c r="O165" s="1981">
        <v>10000</v>
      </c>
      <c r="P165" s="1981">
        <v>273</v>
      </c>
      <c r="Q165" s="2002">
        <v>1</v>
      </c>
      <c r="R165" s="2003">
        <f t="shared" si="36"/>
        <v>2730</v>
      </c>
      <c r="S165" s="1998"/>
      <c r="T165" s="1999"/>
      <c r="U165" s="497"/>
    </row>
    <row r="166" spans="1:16384" s="500" customFormat="1" ht="21" customHeight="1">
      <c r="A166" s="501"/>
      <c r="B166" s="503"/>
      <c r="C166" s="505"/>
      <c r="D166" s="499"/>
      <c r="E166" s="503"/>
      <c r="F166" s="503"/>
      <c r="G166" s="503"/>
      <c r="H166" s="1614"/>
      <c r="I166" s="1614"/>
      <c r="J166" s="1615"/>
      <c r="K166" s="710" t="s">
        <v>1779</v>
      </c>
      <c r="L166" s="1978" t="s">
        <v>6</v>
      </c>
      <c r="M166" s="1618">
        <f t="shared" si="37"/>
        <v>4080</v>
      </c>
      <c r="N166" s="1980"/>
      <c r="O166" s="1981">
        <v>8000</v>
      </c>
      <c r="P166" s="1981">
        <v>85</v>
      </c>
      <c r="Q166" s="2002">
        <v>6</v>
      </c>
      <c r="R166" s="2003">
        <f t="shared" si="36"/>
        <v>4080</v>
      </c>
      <c r="S166" s="2001"/>
      <c r="T166" s="2005"/>
      <c r="U166" s="497"/>
    </row>
    <row r="167" spans="1:16384" s="500" customFormat="1" ht="21" customHeight="1">
      <c r="A167" s="501"/>
      <c r="B167" s="503"/>
      <c r="C167" s="505"/>
      <c r="D167" s="499"/>
      <c r="E167" s="503"/>
      <c r="F167" s="503"/>
      <c r="G167" s="503"/>
      <c r="H167" s="1614"/>
      <c r="I167" s="1614"/>
      <c r="J167" s="1615"/>
      <c r="K167" s="710" t="s">
        <v>1780</v>
      </c>
      <c r="L167" s="1978" t="s">
        <v>6</v>
      </c>
      <c r="M167" s="1618">
        <f t="shared" si="37"/>
        <v>1000</v>
      </c>
      <c r="N167" s="1980"/>
      <c r="O167" s="1981">
        <v>25000</v>
      </c>
      <c r="P167" s="1981">
        <v>10</v>
      </c>
      <c r="Q167" s="1998">
        <v>4</v>
      </c>
      <c r="R167" s="2003">
        <f t="shared" si="36"/>
        <v>1000</v>
      </c>
      <c r="S167" s="2001"/>
      <c r="T167" s="2005"/>
      <c r="U167" s="485"/>
    </row>
    <row r="168" spans="1:16384" s="547" customFormat="1" ht="21" customHeight="1">
      <c r="A168" s="501"/>
      <c r="B168" s="503"/>
      <c r="C168" s="505"/>
      <c r="D168" s="499"/>
      <c r="E168" s="503"/>
      <c r="F168" s="503"/>
      <c r="G168" s="503"/>
      <c r="H168" s="1614"/>
      <c r="I168" s="1614"/>
      <c r="J168" s="1615"/>
      <c r="K168" s="1976" t="s">
        <v>2414</v>
      </c>
      <c r="L168" s="2006" t="s">
        <v>6</v>
      </c>
      <c r="M168" s="1618">
        <f>S168</f>
        <v>28935</v>
      </c>
      <c r="N168" s="1980"/>
      <c r="O168" s="1981">
        <v>1100</v>
      </c>
      <c r="P168" s="1981">
        <v>274</v>
      </c>
      <c r="Q168" s="2001">
        <v>8</v>
      </c>
      <c r="R168" s="2001">
        <v>12</v>
      </c>
      <c r="S168" s="1974">
        <f t="shared" ref="S168" si="38">ROUNDUP(O168*P168*Q168*R168/1000,0)</f>
        <v>28935</v>
      </c>
      <c r="T168" s="1999"/>
      <c r="U168" s="500"/>
      <c r="V168" s="500"/>
      <c r="W168" s="500"/>
      <c r="X168" s="500"/>
      <c r="Y168" s="500"/>
      <c r="Z168" s="500"/>
      <c r="AA168" s="500"/>
      <c r="AB168" s="500"/>
      <c r="AC168" s="500"/>
      <c r="AD168" s="500"/>
      <c r="AE168" s="500"/>
      <c r="AF168" s="500"/>
      <c r="AG168" s="500"/>
      <c r="AH168" s="500"/>
      <c r="AI168" s="500"/>
      <c r="AJ168" s="500"/>
      <c r="AK168" s="500"/>
      <c r="AL168" s="500"/>
      <c r="AM168" s="500"/>
      <c r="AN168" s="500"/>
      <c r="AO168" s="500"/>
      <c r="AP168" s="500"/>
      <c r="AQ168" s="500"/>
      <c r="AR168" s="500"/>
      <c r="AS168" s="500"/>
      <c r="AT168" s="500"/>
      <c r="AU168" s="500"/>
      <c r="AV168" s="500"/>
      <c r="AW168" s="500"/>
      <c r="AX168" s="500"/>
      <c r="AY168" s="500"/>
      <c r="AZ168" s="500"/>
      <c r="BA168" s="500"/>
      <c r="BB168" s="500"/>
      <c r="BC168" s="500"/>
      <c r="BD168" s="500"/>
      <c r="BE168" s="500"/>
      <c r="BF168" s="500"/>
      <c r="BG168" s="500"/>
      <c r="BH168" s="500"/>
      <c r="BI168" s="500"/>
      <c r="BJ168" s="500"/>
      <c r="BK168" s="500"/>
      <c r="BL168" s="500"/>
      <c r="BM168" s="500"/>
      <c r="BN168" s="500"/>
      <c r="BO168" s="500"/>
      <c r="BP168" s="500"/>
      <c r="BQ168" s="500"/>
      <c r="BR168" s="500"/>
      <c r="BS168" s="500"/>
      <c r="BT168" s="500"/>
      <c r="BU168" s="500"/>
      <c r="BV168" s="500"/>
      <c r="BW168" s="500"/>
      <c r="BX168" s="500"/>
      <c r="BY168" s="500"/>
      <c r="BZ168" s="500"/>
      <c r="CA168" s="500"/>
      <c r="CB168" s="500"/>
      <c r="CC168" s="500"/>
      <c r="CD168" s="500"/>
      <c r="CE168" s="500"/>
      <c r="CF168" s="500"/>
      <c r="CG168" s="500"/>
      <c r="CH168" s="500"/>
      <c r="CI168" s="500"/>
      <c r="CJ168" s="500"/>
      <c r="CK168" s="500"/>
      <c r="CL168" s="500"/>
      <c r="CM168" s="500"/>
      <c r="CN168" s="500"/>
      <c r="CO168" s="500"/>
      <c r="CP168" s="500"/>
      <c r="CQ168" s="500"/>
      <c r="CR168" s="500"/>
      <c r="CS168" s="500"/>
      <c r="CT168" s="500"/>
      <c r="CU168" s="500"/>
      <c r="CV168" s="500"/>
      <c r="CW168" s="500"/>
      <c r="CX168" s="500"/>
      <c r="CY168" s="500"/>
      <c r="CZ168" s="500"/>
      <c r="DA168" s="500"/>
      <c r="DB168" s="500"/>
      <c r="DC168" s="500"/>
      <c r="DD168" s="500"/>
      <c r="DE168" s="500"/>
      <c r="DF168" s="500"/>
      <c r="DG168" s="500"/>
      <c r="DH168" s="500"/>
      <c r="DI168" s="500"/>
      <c r="DJ168" s="500"/>
      <c r="DK168" s="500"/>
      <c r="DL168" s="500"/>
      <c r="DM168" s="500"/>
      <c r="DN168" s="500"/>
      <c r="DO168" s="500"/>
      <c r="DP168" s="500"/>
      <c r="DQ168" s="500"/>
      <c r="DR168" s="500"/>
      <c r="DS168" s="500"/>
      <c r="DT168" s="500"/>
      <c r="DU168" s="500"/>
      <c r="DV168" s="500"/>
      <c r="DW168" s="500"/>
      <c r="DX168" s="500"/>
      <c r="DY168" s="500"/>
      <c r="DZ168" s="500"/>
      <c r="EA168" s="500"/>
      <c r="EB168" s="500"/>
      <c r="EC168" s="500"/>
      <c r="ED168" s="500"/>
      <c r="EE168" s="500"/>
      <c r="EF168" s="500"/>
      <c r="EG168" s="500"/>
      <c r="EH168" s="500"/>
      <c r="EI168" s="500"/>
      <c r="EJ168" s="500"/>
      <c r="EK168" s="500"/>
      <c r="EL168" s="500"/>
      <c r="EM168" s="500"/>
      <c r="EN168" s="500"/>
      <c r="EO168" s="500"/>
      <c r="EP168" s="500"/>
      <c r="EQ168" s="500"/>
      <c r="ER168" s="500"/>
      <c r="ES168" s="500"/>
      <c r="ET168" s="500"/>
      <c r="EU168" s="500"/>
      <c r="EV168" s="500"/>
      <c r="EW168" s="500"/>
      <c r="EX168" s="500"/>
      <c r="EY168" s="500"/>
      <c r="EZ168" s="500"/>
      <c r="FA168" s="500"/>
      <c r="FB168" s="500"/>
      <c r="FC168" s="500"/>
      <c r="FD168" s="500"/>
      <c r="FE168" s="500"/>
      <c r="FF168" s="500"/>
      <c r="FG168" s="500"/>
      <c r="FH168" s="500"/>
      <c r="FI168" s="500"/>
      <c r="FJ168" s="500"/>
      <c r="FK168" s="500"/>
      <c r="FL168" s="500"/>
      <c r="FM168" s="500"/>
      <c r="FN168" s="500"/>
      <c r="FO168" s="500"/>
      <c r="FP168" s="500"/>
      <c r="FQ168" s="500"/>
      <c r="FR168" s="500"/>
      <c r="FS168" s="500"/>
      <c r="FT168" s="500"/>
      <c r="FU168" s="500"/>
      <c r="FV168" s="500"/>
      <c r="FW168" s="500"/>
      <c r="FX168" s="500"/>
      <c r="FY168" s="500"/>
      <c r="FZ168" s="500"/>
      <c r="GA168" s="500"/>
      <c r="GB168" s="500"/>
      <c r="GC168" s="500"/>
      <c r="GD168" s="500"/>
      <c r="GE168" s="500"/>
      <c r="GF168" s="500"/>
      <c r="GG168" s="500"/>
      <c r="GH168" s="500"/>
      <c r="GI168" s="500"/>
      <c r="GJ168" s="500"/>
      <c r="GK168" s="500"/>
      <c r="GL168" s="500"/>
      <c r="GM168" s="500"/>
      <c r="GN168" s="500"/>
      <c r="GO168" s="500"/>
      <c r="GP168" s="500"/>
      <c r="GQ168" s="500"/>
      <c r="GR168" s="500"/>
      <c r="GS168" s="500"/>
      <c r="GT168" s="500"/>
      <c r="GU168" s="500"/>
      <c r="GV168" s="500"/>
      <c r="GW168" s="500"/>
      <c r="GX168" s="500"/>
      <c r="GY168" s="500"/>
      <c r="GZ168" s="500"/>
      <c r="HA168" s="500"/>
      <c r="HB168" s="500"/>
      <c r="HC168" s="500"/>
      <c r="HD168" s="500"/>
      <c r="HE168" s="500"/>
      <c r="HF168" s="500"/>
      <c r="HG168" s="500"/>
      <c r="HH168" s="500"/>
      <c r="HI168" s="500"/>
      <c r="HJ168" s="500"/>
      <c r="HK168" s="500"/>
      <c r="HL168" s="500"/>
      <c r="HM168" s="500"/>
      <c r="HN168" s="500"/>
      <c r="HO168" s="500"/>
      <c r="HP168" s="500"/>
      <c r="HQ168" s="500"/>
      <c r="HR168" s="500"/>
      <c r="HS168" s="500"/>
      <c r="HT168" s="500"/>
      <c r="HU168" s="500"/>
      <c r="HV168" s="500"/>
      <c r="HW168" s="500"/>
      <c r="HX168" s="500"/>
      <c r="HY168" s="500"/>
      <c r="HZ168" s="500"/>
      <c r="IA168" s="500"/>
      <c r="IB168" s="500"/>
      <c r="IC168" s="500"/>
      <c r="ID168" s="500"/>
      <c r="IE168" s="500"/>
      <c r="IF168" s="500"/>
      <c r="IG168" s="500"/>
      <c r="IH168" s="500"/>
      <c r="II168" s="500"/>
      <c r="IJ168" s="500"/>
      <c r="IK168" s="500"/>
      <c r="IL168" s="500"/>
      <c r="IM168" s="500"/>
      <c r="IN168" s="500"/>
      <c r="IO168" s="500"/>
      <c r="IP168" s="500"/>
      <c r="IQ168" s="500"/>
      <c r="IR168" s="500"/>
      <c r="IS168" s="500"/>
      <c r="IT168" s="500"/>
      <c r="IU168" s="500"/>
      <c r="IV168" s="500"/>
      <c r="IW168" s="500"/>
      <c r="IX168" s="500"/>
      <c r="IY168" s="500"/>
      <c r="IZ168" s="500"/>
      <c r="JA168" s="500"/>
      <c r="JB168" s="500"/>
      <c r="JC168" s="500"/>
      <c r="JD168" s="500"/>
      <c r="JE168" s="500"/>
      <c r="JF168" s="500"/>
      <c r="JG168" s="500"/>
      <c r="JH168" s="500"/>
      <c r="JI168" s="500"/>
      <c r="JJ168" s="500"/>
      <c r="JK168" s="500"/>
      <c r="JL168" s="500"/>
      <c r="JM168" s="500"/>
      <c r="JN168" s="500"/>
      <c r="JO168" s="500"/>
      <c r="JP168" s="500"/>
      <c r="JQ168" s="500"/>
      <c r="JR168" s="500"/>
      <c r="JS168" s="500"/>
      <c r="JT168" s="500"/>
      <c r="JU168" s="500"/>
      <c r="JV168" s="500"/>
      <c r="JW168" s="500"/>
      <c r="JX168" s="500"/>
      <c r="JY168" s="500"/>
      <c r="JZ168" s="500"/>
      <c r="KA168" s="500"/>
      <c r="KB168" s="500"/>
      <c r="KC168" s="500"/>
      <c r="KD168" s="500"/>
      <c r="KE168" s="500"/>
      <c r="KF168" s="500"/>
      <c r="KG168" s="500"/>
      <c r="KH168" s="500"/>
      <c r="KI168" s="500"/>
      <c r="KJ168" s="500"/>
      <c r="KK168" s="500"/>
      <c r="KL168" s="500"/>
      <c r="KM168" s="500"/>
      <c r="KN168" s="500"/>
      <c r="KO168" s="500"/>
      <c r="KP168" s="500"/>
      <c r="KQ168" s="500"/>
      <c r="KR168" s="500"/>
      <c r="KS168" s="500"/>
      <c r="KT168" s="500"/>
      <c r="KU168" s="500"/>
      <c r="KV168" s="500"/>
      <c r="KW168" s="500"/>
      <c r="KX168" s="500"/>
      <c r="KY168" s="500"/>
      <c r="KZ168" s="500"/>
      <c r="LA168" s="500"/>
      <c r="LB168" s="500"/>
      <c r="LC168" s="500"/>
      <c r="LD168" s="500"/>
      <c r="LE168" s="500"/>
      <c r="LF168" s="500"/>
      <c r="LG168" s="500"/>
      <c r="LH168" s="500"/>
      <c r="LI168" s="500"/>
      <c r="LJ168" s="500"/>
      <c r="LK168" s="500"/>
      <c r="LL168" s="500"/>
      <c r="LM168" s="500"/>
      <c r="LN168" s="500"/>
      <c r="LO168" s="500"/>
      <c r="LP168" s="500"/>
      <c r="LQ168" s="500"/>
      <c r="LR168" s="500"/>
      <c r="LS168" s="500"/>
      <c r="LT168" s="500"/>
      <c r="LU168" s="500"/>
      <c r="LV168" s="500"/>
      <c r="LW168" s="500"/>
      <c r="LX168" s="500"/>
      <c r="LY168" s="500"/>
      <c r="LZ168" s="500"/>
      <c r="MA168" s="500"/>
      <c r="MB168" s="500"/>
      <c r="MC168" s="500"/>
      <c r="MD168" s="500"/>
      <c r="ME168" s="500"/>
      <c r="MF168" s="500"/>
      <c r="MG168" s="500"/>
      <c r="MH168" s="500"/>
      <c r="MI168" s="500"/>
      <c r="MJ168" s="500"/>
      <c r="MK168" s="500"/>
      <c r="ML168" s="500"/>
      <c r="MM168" s="500"/>
      <c r="MN168" s="500"/>
      <c r="MO168" s="500"/>
      <c r="MP168" s="500"/>
      <c r="MQ168" s="500"/>
      <c r="MR168" s="500"/>
      <c r="MS168" s="500"/>
      <c r="MT168" s="500"/>
      <c r="MU168" s="500"/>
      <c r="MV168" s="500"/>
      <c r="MW168" s="500"/>
      <c r="MX168" s="500"/>
      <c r="MY168" s="500"/>
      <c r="MZ168" s="500"/>
      <c r="NA168" s="500"/>
      <c r="NB168" s="500"/>
      <c r="NC168" s="500"/>
      <c r="ND168" s="500"/>
      <c r="NE168" s="500"/>
      <c r="NF168" s="500"/>
      <c r="NG168" s="500"/>
      <c r="NH168" s="500"/>
      <c r="NI168" s="500"/>
      <c r="NJ168" s="500"/>
      <c r="NK168" s="500"/>
      <c r="NL168" s="500"/>
      <c r="NM168" s="500"/>
      <c r="NN168" s="500"/>
      <c r="NO168" s="500"/>
      <c r="NP168" s="500"/>
      <c r="NQ168" s="500"/>
      <c r="NR168" s="500"/>
      <c r="NS168" s="500"/>
      <c r="NT168" s="500"/>
      <c r="NU168" s="500"/>
      <c r="NV168" s="500"/>
      <c r="NW168" s="500"/>
      <c r="NX168" s="500"/>
      <c r="NY168" s="500"/>
      <c r="NZ168" s="500"/>
      <c r="OA168" s="500"/>
      <c r="OB168" s="500"/>
      <c r="OC168" s="500"/>
      <c r="OD168" s="500"/>
      <c r="OE168" s="500"/>
      <c r="OF168" s="500"/>
      <c r="OG168" s="500"/>
      <c r="OH168" s="500"/>
      <c r="OI168" s="500"/>
      <c r="OJ168" s="500"/>
      <c r="OK168" s="500"/>
      <c r="OL168" s="500"/>
      <c r="OM168" s="500"/>
      <c r="ON168" s="500"/>
      <c r="OO168" s="500"/>
      <c r="OP168" s="500"/>
      <c r="OQ168" s="500"/>
      <c r="OR168" s="500"/>
      <c r="OS168" s="500"/>
      <c r="OT168" s="500"/>
      <c r="OU168" s="500"/>
      <c r="OV168" s="500"/>
      <c r="OW168" s="500"/>
      <c r="OX168" s="500"/>
      <c r="OY168" s="500"/>
      <c r="OZ168" s="500"/>
      <c r="PA168" s="500"/>
      <c r="PB168" s="500"/>
      <c r="PC168" s="500"/>
      <c r="PD168" s="500"/>
      <c r="PE168" s="500"/>
      <c r="PF168" s="500"/>
      <c r="PG168" s="500"/>
      <c r="PH168" s="500"/>
      <c r="PI168" s="500"/>
      <c r="PJ168" s="500"/>
      <c r="PK168" s="500"/>
      <c r="PL168" s="500"/>
      <c r="PM168" s="500"/>
      <c r="PN168" s="500"/>
      <c r="PO168" s="500"/>
      <c r="PP168" s="500"/>
      <c r="PQ168" s="500"/>
      <c r="PR168" s="500"/>
      <c r="PS168" s="500"/>
      <c r="PT168" s="500"/>
      <c r="PU168" s="500"/>
      <c r="PV168" s="500"/>
      <c r="PW168" s="500"/>
      <c r="PX168" s="500"/>
      <c r="PY168" s="500"/>
      <c r="PZ168" s="500"/>
      <c r="QA168" s="500"/>
      <c r="QB168" s="500"/>
      <c r="QC168" s="500"/>
      <c r="QD168" s="500"/>
      <c r="QE168" s="500"/>
      <c r="QF168" s="500"/>
      <c r="QG168" s="500"/>
      <c r="QH168" s="500"/>
      <c r="QI168" s="500"/>
      <c r="QJ168" s="500"/>
      <c r="QK168" s="500"/>
      <c r="QL168" s="500"/>
      <c r="QM168" s="500"/>
      <c r="QN168" s="500"/>
      <c r="QO168" s="500"/>
      <c r="QP168" s="500"/>
      <c r="QQ168" s="500"/>
      <c r="QR168" s="500"/>
      <c r="QS168" s="500"/>
      <c r="QT168" s="500"/>
      <c r="QU168" s="500"/>
      <c r="QV168" s="500"/>
      <c r="QW168" s="500"/>
      <c r="QX168" s="500"/>
      <c r="QY168" s="500"/>
      <c r="QZ168" s="500"/>
      <c r="RA168" s="500"/>
      <c r="RB168" s="500"/>
      <c r="RC168" s="500"/>
      <c r="RD168" s="500"/>
      <c r="RE168" s="500"/>
      <c r="RF168" s="500"/>
      <c r="RG168" s="500"/>
      <c r="RH168" s="500"/>
      <c r="RI168" s="500"/>
      <c r="RJ168" s="500"/>
      <c r="RK168" s="500"/>
      <c r="RL168" s="500"/>
      <c r="RM168" s="500"/>
      <c r="RN168" s="500"/>
      <c r="RO168" s="500"/>
      <c r="RP168" s="500"/>
      <c r="RQ168" s="500"/>
      <c r="RR168" s="500"/>
      <c r="RS168" s="500"/>
      <c r="RT168" s="500"/>
      <c r="RU168" s="500"/>
      <c r="RV168" s="500"/>
      <c r="RW168" s="500"/>
      <c r="RX168" s="500"/>
      <c r="RY168" s="500"/>
      <c r="RZ168" s="500"/>
      <c r="SA168" s="500"/>
      <c r="SB168" s="500"/>
      <c r="SC168" s="500"/>
      <c r="SD168" s="500"/>
      <c r="SE168" s="500"/>
      <c r="SF168" s="500"/>
      <c r="SG168" s="500"/>
      <c r="SH168" s="500"/>
      <c r="SI168" s="500"/>
      <c r="SJ168" s="500"/>
      <c r="SK168" s="500"/>
      <c r="SL168" s="500"/>
      <c r="SM168" s="500"/>
      <c r="SN168" s="500"/>
      <c r="SO168" s="500"/>
      <c r="SP168" s="500"/>
      <c r="SQ168" s="500"/>
      <c r="SR168" s="500"/>
      <c r="SS168" s="500"/>
      <c r="ST168" s="500"/>
      <c r="SU168" s="500"/>
      <c r="SV168" s="500"/>
      <c r="SW168" s="500"/>
      <c r="SX168" s="500"/>
      <c r="SY168" s="500"/>
      <c r="SZ168" s="500"/>
      <c r="TA168" s="500"/>
      <c r="TB168" s="500"/>
      <c r="TC168" s="500"/>
      <c r="TD168" s="500"/>
      <c r="TE168" s="500"/>
      <c r="TF168" s="500"/>
      <c r="TG168" s="500"/>
      <c r="TH168" s="500"/>
      <c r="TI168" s="500"/>
      <c r="TJ168" s="500"/>
      <c r="TK168" s="500"/>
      <c r="TL168" s="500"/>
      <c r="TM168" s="500"/>
      <c r="TN168" s="500"/>
      <c r="TO168" s="500"/>
      <c r="TP168" s="500"/>
      <c r="TQ168" s="500"/>
      <c r="TR168" s="500"/>
      <c r="TS168" s="500"/>
      <c r="TT168" s="500"/>
      <c r="TU168" s="500"/>
      <c r="TV168" s="500"/>
      <c r="TW168" s="500"/>
      <c r="TX168" s="500"/>
      <c r="TY168" s="500"/>
      <c r="TZ168" s="500"/>
      <c r="UA168" s="500"/>
      <c r="UB168" s="500"/>
      <c r="UC168" s="500"/>
      <c r="UD168" s="500"/>
      <c r="UE168" s="500"/>
      <c r="UF168" s="500"/>
      <c r="UG168" s="500"/>
      <c r="UH168" s="500"/>
      <c r="UI168" s="500"/>
      <c r="UJ168" s="500"/>
      <c r="UK168" s="500"/>
      <c r="UL168" s="500"/>
      <c r="UM168" s="500"/>
      <c r="UN168" s="500"/>
      <c r="UO168" s="500"/>
      <c r="UP168" s="500"/>
      <c r="UQ168" s="500"/>
      <c r="UR168" s="500"/>
      <c r="US168" s="500"/>
      <c r="UT168" s="500"/>
      <c r="UU168" s="500"/>
      <c r="UV168" s="500"/>
      <c r="UW168" s="500"/>
      <c r="UX168" s="500"/>
      <c r="UY168" s="500"/>
      <c r="UZ168" s="500"/>
      <c r="VA168" s="500"/>
      <c r="VB168" s="500"/>
      <c r="VC168" s="500"/>
      <c r="VD168" s="500"/>
      <c r="VE168" s="500"/>
      <c r="VF168" s="500"/>
      <c r="VG168" s="500"/>
      <c r="VH168" s="500"/>
      <c r="VI168" s="500"/>
      <c r="VJ168" s="500"/>
      <c r="VK168" s="500"/>
      <c r="VL168" s="500"/>
      <c r="VM168" s="500"/>
      <c r="VN168" s="500"/>
      <c r="VO168" s="500"/>
      <c r="VP168" s="500"/>
      <c r="VQ168" s="500"/>
      <c r="VR168" s="500"/>
      <c r="VS168" s="500"/>
      <c r="VT168" s="500"/>
      <c r="VU168" s="500"/>
      <c r="VV168" s="500"/>
      <c r="VW168" s="500"/>
      <c r="VX168" s="500"/>
      <c r="VY168" s="500"/>
      <c r="VZ168" s="500"/>
      <c r="WA168" s="500"/>
      <c r="WB168" s="500"/>
      <c r="WC168" s="500"/>
      <c r="WD168" s="500"/>
      <c r="WE168" s="500"/>
      <c r="WF168" s="500"/>
      <c r="WG168" s="500"/>
      <c r="WH168" s="500"/>
      <c r="WI168" s="500"/>
      <c r="WJ168" s="500"/>
      <c r="WK168" s="500"/>
      <c r="WL168" s="500"/>
      <c r="WM168" s="500"/>
      <c r="WN168" s="500"/>
      <c r="WO168" s="500"/>
      <c r="WP168" s="500"/>
      <c r="WQ168" s="500"/>
      <c r="WR168" s="500"/>
      <c r="WS168" s="500"/>
      <c r="WT168" s="500"/>
      <c r="WU168" s="500"/>
      <c r="WV168" s="500"/>
      <c r="WW168" s="500"/>
      <c r="WX168" s="500"/>
      <c r="WY168" s="500"/>
      <c r="WZ168" s="500"/>
      <c r="XA168" s="500"/>
      <c r="XB168" s="500"/>
      <c r="XC168" s="500"/>
      <c r="XD168" s="500"/>
      <c r="XE168" s="500"/>
      <c r="XF168" s="500"/>
      <c r="XG168" s="500"/>
      <c r="XH168" s="500"/>
      <c r="XI168" s="500"/>
      <c r="XJ168" s="500"/>
      <c r="XK168" s="500"/>
      <c r="XL168" s="500"/>
      <c r="XM168" s="500"/>
      <c r="XN168" s="500"/>
      <c r="XO168" s="500"/>
      <c r="XP168" s="500"/>
      <c r="XQ168" s="500"/>
      <c r="XR168" s="500"/>
      <c r="XS168" s="500"/>
      <c r="XT168" s="500"/>
      <c r="XU168" s="500"/>
      <c r="XV168" s="500"/>
      <c r="XW168" s="500"/>
      <c r="XX168" s="500"/>
      <c r="XY168" s="500"/>
      <c r="XZ168" s="500"/>
      <c r="YA168" s="500"/>
      <c r="YB168" s="500"/>
      <c r="YC168" s="500"/>
      <c r="YD168" s="500"/>
      <c r="YE168" s="500"/>
      <c r="YF168" s="500"/>
      <c r="YG168" s="500"/>
      <c r="YH168" s="500"/>
      <c r="YI168" s="500"/>
      <c r="YJ168" s="500"/>
      <c r="YK168" s="500"/>
      <c r="YL168" s="500"/>
      <c r="YM168" s="500"/>
      <c r="YN168" s="500"/>
      <c r="YO168" s="500"/>
      <c r="YP168" s="500"/>
      <c r="YQ168" s="500"/>
      <c r="YR168" s="500"/>
      <c r="YS168" s="500"/>
      <c r="YT168" s="500"/>
      <c r="YU168" s="500"/>
      <c r="YV168" s="500"/>
      <c r="YW168" s="500"/>
      <c r="YX168" s="500"/>
      <c r="YY168" s="500"/>
      <c r="YZ168" s="500"/>
      <c r="ZA168" s="500"/>
      <c r="ZB168" s="500"/>
      <c r="ZC168" s="500"/>
      <c r="ZD168" s="500"/>
      <c r="ZE168" s="500"/>
      <c r="ZF168" s="500"/>
      <c r="ZG168" s="500"/>
      <c r="ZH168" s="500"/>
      <c r="ZI168" s="500"/>
      <c r="ZJ168" s="500"/>
      <c r="ZK168" s="500"/>
      <c r="ZL168" s="500"/>
      <c r="ZM168" s="500"/>
      <c r="ZN168" s="500"/>
      <c r="ZO168" s="500"/>
      <c r="ZP168" s="500"/>
      <c r="ZQ168" s="500"/>
      <c r="ZR168" s="500"/>
      <c r="ZS168" s="500"/>
      <c r="ZT168" s="500"/>
      <c r="ZU168" s="500"/>
      <c r="ZV168" s="500"/>
      <c r="ZW168" s="500"/>
      <c r="ZX168" s="500"/>
      <c r="ZY168" s="500"/>
      <c r="ZZ168" s="500"/>
      <c r="AAA168" s="500"/>
      <c r="AAB168" s="500"/>
      <c r="AAC168" s="500"/>
      <c r="AAD168" s="500"/>
      <c r="AAE168" s="500"/>
      <c r="AAF168" s="500"/>
      <c r="AAG168" s="500"/>
      <c r="AAH168" s="500"/>
      <c r="AAI168" s="500"/>
      <c r="AAJ168" s="500"/>
      <c r="AAK168" s="500"/>
      <c r="AAL168" s="500"/>
      <c r="AAM168" s="500"/>
      <c r="AAN168" s="500"/>
      <c r="AAO168" s="500"/>
      <c r="AAP168" s="500"/>
      <c r="AAQ168" s="500"/>
      <c r="AAR168" s="500"/>
      <c r="AAS168" s="500"/>
      <c r="AAT168" s="500"/>
      <c r="AAU168" s="500"/>
      <c r="AAV168" s="500"/>
      <c r="AAW168" s="500"/>
      <c r="AAX168" s="500"/>
      <c r="AAY168" s="500"/>
      <c r="AAZ168" s="500"/>
      <c r="ABA168" s="500"/>
      <c r="ABB168" s="500"/>
      <c r="ABC168" s="500"/>
      <c r="ABD168" s="500"/>
      <c r="ABE168" s="500"/>
      <c r="ABF168" s="500"/>
      <c r="ABG168" s="500"/>
      <c r="ABH168" s="500"/>
      <c r="ABI168" s="500"/>
      <c r="ABJ168" s="500"/>
      <c r="ABK168" s="500"/>
      <c r="ABL168" s="500"/>
      <c r="ABM168" s="500"/>
      <c r="ABN168" s="500"/>
      <c r="ABO168" s="500"/>
      <c r="ABP168" s="500"/>
      <c r="ABQ168" s="500"/>
      <c r="ABR168" s="500"/>
      <c r="ABS168" s="500"/>
      <c r="ABT168" s="500"/>
      <c r="ABU168" s="500"/>
      <c r="ABV168" s="500"/>
      <c r="ABW168" s="500"/>
      <c r="ABX168" s="500"/>
      <c r="ABY168" s="500"/>
      <c r="ABZ168" s="500"/>
      <c r="ACA168" s="500"/>
      <c r="ACB168" s="500"/>
      <c r="ACC168" s="500"/>
      <c r="ACD168" s="500"/>
      <c r="ACE168" s="500"/>
      <c r="ACF168" s="500"/>
      <c r="ACG168" s="500"/>
      <c r="ACH168" s="500"/>
      <c r="ACI168" s="500"/>
      <c r="ACJ168" s="500"/>
      <c r="ACK168" s="500"/>
      <c r="ACL168" s="500"/>
      <c r="ACM168" s="500"/>
      <c r="ACN168" s="500"/>
      <c r="ACO168" s="500"/>
      <c r="ACP168" s="500"/>
      <c r="ACQ168" s="500"/>
      <c r="ACR168" s="500"/>
      <c r="ACS168" s="500"/>
      <c r="ACT168" s="500"/>
      <c r="ACU168" s="500"/>
      <c r="ACV168" s="500"/>
      <c r="ACW168" s="500"/>
      <c r="ACX168" s="500"/>
      <c r="ACY168" s="500"/>
      <c r="ACZ168" s="500"/>
      <c r="ADA168" s="500"/>
      <c r="ADB168" s="500"/>
      <c r="ADC168" s="500"/>
      <c r="ADD168" s="500"/>
      <c r="ADE168" s="500"/>
      <c r="ADF168" s="500"/>
      <c r="ADG168" s="500"/>
      <c r="ADH168" s="500"/>
      <c r="ADI168" s="500"/>
      <c r="ADJ168" s="500"/>
      <c r="ADK168" s="500"/>
      <c r="ADL168" s="500"/>
      <c r="ADM168" s="500"/>
      <c r="ADN168" s="500"/>
      <c r="ADO168" s="500"/>
      <c r="ADP168" s="500"/>
      <c r="ADQ168" s="500"/>
      <c r="ADR168" s="500"/>
      <c r="ADS168" s="500"/>
      <c r="ADT168" s="500"/>
      <c r="ADU168" s="500"/>
      <c r="ADV168" s="500"/>
      <c r="ADW168" s="500"/>
      <c r="ADX168" s="500"/>
      <c r="ADY168" s="500"/>
      <c r="ADZ168" s="500"/>
      <c r="AEA168" s="500"/>
      <c r="AEB168" s="500"/>
      <c r="AEC168" s="500"/>
      <c r="AED168" s="500"/>
      <c r="AEE168" s="500"/>
      <c r="AEF168" s="500"/>
      <c r="AEG168" s="500"/>
      <c r="AEH168" s="500"/>
      <c r="AEI168" s="500"/>
      <c r="AEJ168" s="500"/>
      <c r="AEK168" s="500"/>
      <c r="AEL168" s="500"/>
      <c r="AEM168" s="500"/>
      <c r="AEN168" s="500"/>
      <c r="AEO168" s="500"/>
      <c r="AEP168" s="500"/>
      <c r="AEQ168" s="500"/>
      <c r="AER168" s="500"/>
      <c r="AES168" s="500"/>
      <c r="AET168" s="500"/>
      <c r="AEU168" s="500"/>
      <c r="AEV168" s="500"/>
      <c r="AEW168" s="500"/>
      <c r="AEX168" s="500"/>
      <c r="AEY168" s="500"/>
      <c r="AEZ168" s="500"/>
      <c r="AFA168" s="500"/>
      <c r="AFB168" s="500"/>
      <c r="AFC168" s="500"/>
      <c r="AFD168" s="500"/>
      <c r="AFE168" s="500"/>
      <c r="AFF168" s="500"/>
      <c r="AFG168" s="500"/>
      <c r="AFH168" s="500"/>
      <c r="AFI168" s="500"/>
      <c r="AFJ168" s="500"/>
      <c r="AFK168" s="500"/>
      <c r="AFL168" s="500"/>
      <c r="AFM168" s="500"/>
      <c r="AFN168" s="500"/>
      <c r="AFO168" s="500"/>
      <c r="AFP168" s="500"/>
      <c r="AFQ168" s="500"/>
      <c r="AFR168" s="500"/>
      <c r="AFS168" s="500"/>
      <c r="AFT168" s="500"/>
      <c r="AFU168" s="500"/>
      <c r="AFV168" s="500"/>
      <c r="AFW168" s="500"/>
      <c r="AFX168" s="500"/>
      <c r="AFY168" s="500"/>
      <c r="AFZ168" s="500"/>
      <c r="AGA168" s="500"/>
      <c r="AGB168" s="500"/>
      <c r="AGC168" s="500"/>
      <c r="AGD168" s="500"/>
      <c r="AGE168" s="500"/>
      <c r="AGF168" s="500"/>
      <c r="AGG168" s="500"/>
      <c r="AGH168" s="500"/>
      <c r="AGI168" s="500"/>
      <c r="AGJ168" s="500"/>
      <c r="AGK168" s="500"/>
      <c r="AGL168" s="500"/>
      <c r="AGM168" s="500"/>
      <c r="AGN168" s="500"/>
      <c r="AGO168" s="500"/>
      <c r="AGP168" s="500"/>
      <c r="AGQ168" s="500"/>
      <c r="AGR168" s="500"/>
      <c r="AGS168" s="500"/>
      <c r="AGT168" s="500"/>
      <c r="AGU168" s="500"/>
      <c r="AGV168" s="500"/>
      <c r="AGW168" s="500"/>
      <c r="AGX168" s="500"/>
      <c r="AGY168" s="500"/>
      <c r="AGZ168" s="500"/>
      <c r="AHA168" s="500"/>
      <c r="AHB168" s="500"/>
      <c r="AHC168" s="500"/>
      <c r="AHD168" s="500"/>
      <c r="AHE168" s="500"/>
      <c r="AHF168" s="500"/>
      <c r="AHG168" s="500"/>
      <c r="AHH168" s="500"/>
      <c r="AHI168" s="500"/>
      <c r="AHJ168" s="500"/>
      <c r="AHK168" s="500"/>
      <c r="AHL168" s="500"/>
      <c r="AHM168" s="500"/>
      <c r="AHN168" s="500"/>
      <c r="AHO168" s="500"/>
      <c r="AHP168" s="500"/>
      <c r="AHQ168" s="500"/>
      <c r="AHR168" s="500"/>
      <c r="AHS168" s="500"/>
      <c r="AHT168" s="500"/>
      <c r="AHU168" s="500"/>
      <c r="AHV168" s="500"/>
      <c r="AHW168" s="500"/>
      <c r="AHX168" s="500"/>
      <c r="AHY168" s="500"/>
      <c r="AHZ168" s="500"/>
      <c r="AIA168" s="500"/>
      <c r="AIB168" s="500"/>
      <c r="AIC168" s="500"/>
      <c r="AID168" s="500"/>
      <c r="AIE168" s="500"/>
      <c r="AIF168" s="500"/>
      <c r="AIG168" s="500"/>
      <c r="AIH168" s="500"/>
      <c r="AII168" s="500"/>
      <c r="AIJ168" s="500"/>
      <c r="AIK168" s="500"/>
      <c r="AIL168" s="500"/>
      <c r="AIM168" s="500"/>
      <c r="AIN168" s="500"/>
      <c r="AIO168" s="500"/>
      <c r="AIP168" s="500"/>
      <c r="AIQ168" s="500"/>
      <c r="AIR168" s="500"/>
      <c r="AIS168" s="500"/>
      <c r="AIT168" s="500"/>
      <c r="AIU168" s="500"/>
      <c r="AIV168" s="500"/>
      <c r="AIW168" s="500"/>
      <c r="AIX168" s="500"/>
      <c r="AIY168" s="500"/>
      <c r="AIZ168" s="500"/>
      <c r="AJA168" s="500"/>
      <c r="AJB168" s="500"/>
      <c r="AJC168" s="500"/>
      <c r="AJD168" s="500"/>
      <c r="AJE168" s="500"/>
      <c r="AJF168" s="500"/>
      <c r="AJG168" s="500"/>
      <c r="AJH168" s="500"/>
      <c r="AJI168" s="500"/>
      <c r="AJJ168" s="500"/>
      <c r="AJK168" s="500"/>
      <c r="AJL168" s="500"/>
      <c r="AJM168" s="500"/>
      <c r="AJN168" s="500"/>
      <c r="AJO168" s="500"/>
      <c r="AJP168" s="500"/>
      <c r="AJQ168" s="500"/>
      <c r="AJR168" s="500"/>
      <c r="AJS168" s="500"/>
      <c r="AJT168" s="500"/>
      <c r="AJU168" s="500"/>
      <c r="AJV168" s="500"/>
      <c r="AJW168" s="500"/>
      <c r="AJX168" s="500"/>
      <c r="AJY168" s="500"/>
      <c r="AJZ168" s="500"/>
      <c r="AKA168" s="500"/>
      <c r="AKB168" s="500"/>
      <c r="AKC168" s="500"/>
      <c r="AKD168" s="500"/>
      <c r="AKE168" s="500"/>
      <c r="AKF168" s="500"/>
      <c r="AKG168" s="500"/>
      <c r="AKH168" s="500"/>
      <c r="AKI168" s="500"/>
      <c r="AKJ168" s="500"/>
      <c r="AKK168" s="500"/>
      <c r="AKL168" s="500"/>
      <c r="AKM168" s="500"/>
      <c r="AKN168" s="500"/>
      <c r="AKO168" s="500"/>
      <c r="AKP168" s="500"/>
      <c r="AKQ168" s="500"/>
      <c r="AKR168" s="500"/>
      <c r="AKS168" s="500"/>
      <c r="AKT168" s="500"/>
      <c r="AKU168" s="500"/>
      <c r="AKV168" s="500"/>
      <c r="AKW168" s="500"/>
      <c r="AKX168" s="500"/>
      <c r="AKY168" s="500"/>
      <c r="AKZ168" s="500"/>
      <c r="ALA168" s="500"/>
      <c r="ALB168" s="500"/>
      <c r="ALC168" s="500"/>
      <c r="ALD168" s="500"/>
      <c r="ALE168" s="500"/>
      <c r="ALF168" s="500"/>
      <c r="ALG168" s="500"/>
      <c r="ALH168" s="500"/>
      <c r="ALI168" s="500"/>
      <c r="ALJ168" s="500"/>
      <c r="ALK168" s="500"/>
      <c r="ALL168" s="500"/>
      <c r="ALM168" s="500"/>
      <c r="ALN168" s="500"/>
      <c r="ALO168" s="500"/>
      <c r="ALP168" s="500"/>
      <c r="ALQ168" s="500"/>
      <c r="ALR168" s="500"/>
      <c r="ALS168" s="500"/>
      <c r="ALT168" s="500"/>
      <c r="ALU168" s="500"/>
      <c r="ALV168" s="500"/>
      <c r="ALW168" s="500"/>
      <c r="ALX168" s="500"/>
      <c r="ALY168" s="500"/>
      <c r="ALZ168" s="500"/>
      <c r="AMA168" s="500"/>
      <c r="AMB168" s="500"/>
      <c r="AMC168" s="500"/>
      <c r="AMD168" s="500"/>
      <c r="AME168" s="500"/>
      <c r="AMF168" s="500"/>
      <c r="AMG168" s="500"/>
      <c r="AMH168" s="500"/>
      <c r="AMI168" s="500"/>
      <c r="AMJ168" s="500"/>
      <c r="AMK168" s="500"/>
      <c r="AML168" s="500"/>
      <c r="AMM168" s="500"/>
      <c r="AMN168" s="500"/>
      <c r="AMO168" s="500"/>
      <c r="AMP168" s="500"/>
      <c r="AMQ168" s="500"/>
      <c r="AMR168" s="500"/>
      <c r="AMS168" s="500"/>
      <c r="AMT168" s="500"/>
      <c r="AMU168" s="500"/>
      <c r="AMV168" s="500"/>
      <c r="AMW168" s="500"/>
      <c r="AMX168" s="500"/>
      <c r="AMY168" s="500"/>
      <c r="AMZ168" s="500"/>
      <c r="ANA168" s="500"/>
      <c r="ANB168" s="500"/>
      <c r="ANC168" s="500"/>
      <c r="AND168" s="500"/>
      <c r="ANE168" s="500"/>
      <c r="ANF168" s="500"/>
      <c r="ANG168" s="500"/>
      <c r="ANH168" s="500"/>
      <c r="ANI168" s="500"/>
      <c r="ANJ168" s="500"/>
      <c r="ANK168" s="500"/>
      <c r="ANL168" s="500"/>
      <c r="ANM168" s="500"/>
      <c r="ANN168" s="500"/>
      <c r="ANO168" s="500"/>
      <c r="ANP168" s="500"/>
      <c r="ANQ168" s="500"/>
      <c r="ANR168" s="500"/>
      <c r="ANS168" s="500"/>
      <c r="ANT168" s="500"/>
      <c r="ANU168" s="500"/>
      <c r="ANV168" s="500"/>
      <c r="ANW168" s="500"/>
      <c r="ANX168" s="500"/>
      <c r="ANY168" s="500"/>
      <c r="ANZ168" s="500"/>
      <c r="AOA168" s="500"/>
      <c r="AOB168" s="500"/>
      <c r="AOC168" s="500"/>
      <c r="AOD168" s="500"/>
      <c r="AOE168" s="500"/>
      <c r="AOF168" s="500"/>
      <c r="AOG168" s="500"/>
      <c r="AOH168" s="500"/>
      <c r="AOI168" s="500"/>
      <c r="AOJ168" s="500"/>
      <c r="AOK168" s="500"/>
      <c r="AOL168" s="500"/>
      <c r="AOM168" s="500"/>
      <c r="AON168" s="500"/>
      <c r="AOO168" s="500"/>
      <c r="AOP168" s="500"/>
      <c r="AOQ168" s="500"/>
      <c r="AOR168" s="500"/>
      <c r="AOS168" s="500"/>
      <c r="AOT168" s="500"/>
      <c r="AOU168" s="500"/>
      <c r="AOV168" s="500"/>
      <c r="AOW168" s="500"/>
      <c r="AOX168" s="500"/>
      <c r="AOY168" s="500"/>
      <c r="AOZ168" s="500"/>
      <c r="APA168" s="500"/>
      <c r="APB168" s="500"/>
      <c r="APC168" s="500"/>
      <c r="APD168" s="500"/>
      <c r="APE168" s="500"/>
      <c r="APF168" s="500"/>
      <c r="APG168" s="500"/>
      <c r="APH168" s="500"/>
      <c r="API168" s="500"/>
      <c r="APJ168" s="500"/>
      <c r="APK168" s="500"/>
      <c r="APL168" s="500"/>
      <c r="APM168" s="500"/>
      <c r="APN168" s="500"/>
      <c r="APO168" s="500"/>
      <c r="APP168" s="500"/>
      <c r="APQ168" s="500"/>
      <c r="APR168" s="500"/>
      <c r="APS168" s="500"/>
      <c r="APT168" s="500"/>
      <c r="APU168" s="500"/>
      <c r="APV168" s="500"/>
      <c r="APW168" s="500"/>
      <c r="APX168" s="500"/>
      <c r="APY168" s="500"/>
      <c r="APZ168" s="500"/>
      <c r="AQA168" s="500"/>
      <c r="AQB168" s="500"/>
      <c r="AQC168" s="500"/>
      <c r="AQD168" s="500"/>
      <c r="AQE168" s="500"/>
      <c r="AQF168" s="500"/>
      <c r="AQG168" s="500"/>
      <c r="AQH168" s="500"/>
      <c r="AQI168" s="500"/>
      <c r="AQJ168" s="500"/>
      <c r="AQK168" s="500"/>
      <c r="AQL168" s="500"/>
      <c r="AQM168" s="500"/>
      <c r="AQN168" s="500"/>
      <c r="AQO168" s="500"/>
      <c r="AQP168" s="500"/>
      <c r="AQQ168" s="500"/>
      <c r="AQR168" s="500"/>
      <c r="AQS168" s="500"/>
      <c r="AQT168" s="500"/>
      <c r="AQU168" s="500"/>
      <c r="AQV168" s="500"/>
      <c r="AQW168" s="500"/>
      <c r="AQX168" s="500"/>
      <c r="AQY168" s="500"/>
      <c r="AQZ168" s="500"/>
      <c r="ARA168" s="500"/>
      <c r="ARB168" s="500"/>
      <c r="ARC168" s="500"/>
      <c r="ARD168" s="500"/>
      <c r="ARE168" s="500"/>
      <c r="ARF168" s="500"/>
      <c r="ARG168" s="500"/>
      <c r="ARH168" s="500"/>
      <c r="ARI168" s="500"/>
      <c r="ARJ168" s="500"/>
      <c r="ARK168" s="500"/>
      <c r="ARL168" s="500"/>
      <c r="ARM168" s="500"/>
      <c r="ARN168" s="500"/>
      <c r="ARO168" s="500"/>
      <c r="ARP168" s="500"/>
      <c r="ARQ168" s="500"/>
      <c r="ARR168" s="500"/>
      <c r="ARS168" s="500"/>
      <c r="ART168" s="500"/>
      <c r="ARU168" s="500"/>
      <c r="ARV168" s="500"/>
      <c r="ARW168" s="500"/>
      <c r="ARX168" s="500"/>
      <c r="ARY168" s="500"/>
      <c r="ARZ168" s="500"/>
      <c r="ASA168" s="500"/>
      <c r="ASB168" s="500"/>
      <c r="ASC168" s="500"/>
      <c r="ASD168" s="500"/>
      <c r="ASE168" s="500"/>
      <c r="ASF168" s="500"/>
      <c r="ASG168" s="500"/>
      <c r="ASH168" s="500"/>
      <c r="ASI168" s="500"/>
      <c r="ASJ168" s="500"/>
      <c r="ASK168" s="500"/>
      <c r="ASL168" s="500"/>
      <c r="ASM168" s="500"/>
      <c r="ASN168" s="500"/>
      <c r="ASO168" s="500"/>
      <c r="ASP168" s="500"/>
      <c r="ASQ168" s="500"/>
      <c r="ASR168" s="500"/>
      <c r="ASS168" s="500"/>
      <c r="AST168" s="500"/>
      <c r="ASU168" s="500"/>
      <c r="ASV168" s="500"/>
      <c r="ASW168" s="500"/>
      <c r="ASX168" s="500"/>
      <c r="ASY168" s="500"/>
      <c r="ASZ168" s="500"/>
      <c r="ATA168" s="500"/>
      <c r="ATB168" s="500"/>
      <c r="ATC168" s="500"/>
      <c r="ATD168" s="500"/>
      <c r="ATE168" s="500"/>
      <c r="ATF168" s="500"/>
      <c r="ATG168" s="500"/>
      <c r="ATH168" s="500"/>
      <c r="ATI168" s="500"/>
      <c r="ATJ168" s="500"/>
      <c r="ATK168" s="500"/>
      <c r="ATL168" s="500"/>
      <c r="ATM168" s="500"/>
      <c r="ATN168" s="500"/>
      <c r="ATO168" s="500"/>
      <c r="ATP168" s="500"/>
      <c r="ATQ168" s="500"/>
      <c r="ATR168" s="500"/>
      <c r="ATS168" s="500"/>
      <c r="ATT168" s="500"/>
      <c r="ATU168" s="500"/>
      <c r="ATV168" s="500"/>
      <c r="ATW168" s="500"/>
      <c r="ATX168" s="500"/>
      <c r="ATY168" s="500"/>
      <c r="ATZ168" s="500"/>
      <c r="AUA168" s="500"/>
      <c r="AUB168" s="500"/>
      <c r="AUC168" s="500"/>
      <c r="AUD168" s="500"/>
      <c r="AUE168" s="500"/>
      <c r="AUF168" s="500"/>
      <c r="AUG168" s="500"/>
      <c r="AUH168" s="500"/>
      <c r="AUI168" s="500"/>
      <c r="AUJ168" s="500"/>
      <c r="AUK168" s="500"/>
      <c r="AUL168" s="500"/>
      <c r="AUM168" s="500"/>
      <c r="AUN168" s="500"/>
      <c r="AUO168" s="500"/>
      <c r="AUP168" s="500"/>
      <c r="AUQ168" s="500"/>
      <c r="AUR168" s="500"/>
      <c r="AUS168" s="500"/>
      <c r="AUT168" s="500"/>
      <c r="AUU168" s="500"/>
      <c r="AUV168" s="500"/>
      <c r="AUW168" s="500"/>
      <c r="AUX168" s="500"/>
      <c r="AUY168" s="500"/>
      <c r="AUZ168" s="500"/>
      <c r="AVA168" s="500"/>
      <c r="AVB168" s="500"/>
      <c r="AVC168" s="500"/>
      <c r="AVD168" s="500"/>
      <c r="AVE168" s="500"/>
      <c r="AVF168" s="500"/>
      <c r="AVG168" s="500"/>
      <c r="AVH168" s="500"/>
      <c r="AVI168" s="500"/>
      <c r="AVJ168" s="500"/>
      <c r="AVK168" s="500"/>
      <c r="AVL168" s="500"/>
      <c r="AVM168" s="500"/>
      <c r="AVN168" s="500"/>
      <c r="AVO168" s="500"/>
      <c r="AVP168" s="500"/>
      <c r="AVQ168" s="500"/>
      <c r="AVR168" s="500"/>
      <c r="AVS168" s="500"/>
      <c r="AVT168" s="500"/>
      <c r="AVU168" s="500"/>
      <c r="AVV168" s="500"/>
      <c r="AVW168" s="500"/>
      <c r="AVX168" s="500"/>
      <c r="AVY168" s="500"/>
      <c r="AVZ168" s="500"/>
      <c r="AWA168" s="500"/>
      <c r="AWB168" s="500"/>
      <c r="AWC168" s="500"/>
      <c r="AWD168" s="500"/>
      <c r="AWE168" s="500"/>
      <c r="AWF168" s="500"/>
      <c r="AWG168" s="500"/>
      <c r="AWH168" s="500"/>
      <c r="AWI168" s="500"/>
      <c r="AWJ168" s="500"/>
      <c r="AWK168" s="500"/>
      <c r="AWL168" s="500"/>
      <c r="AWM168" s="500"/>
      <c r="AWN168" s="500"/>
      <c r="AWO168" s="500"/>
      <c r="AWP168" s="500"/>
      <c r="AWQ168" s="500"/>
      <c r="AWR168" s="500"/>
      <c r="AWS168" s="500"/>
      <c r="AWT168" s="500"/>
      <c r="AWU168" s="500"/>
      <c r="AWV168" s="500"/>
      <c r="AWW168" s="500"/>
      <c r="AWX168" s="500"/>
      <c r="AWY168" s="500"/>
      <c r="AWZ168" s="500"/>
      <c r="AXA168" s="500"/>
      <c r="AXB168" s="500"/>
      <c r="AXC168" s="500"/>
      <c r="AXD168" s="500"/>
      <c r="AXE168" s="500"/>
      <c r="AXF168" s="500"/>
      <c r="AXG168" s="500"/>
      <c r="AXH168" s="500"/>
      <c r="AXI168" s="500"/>
      <c r="AXJ168" s="500"/>
      <c r="AXK168" s="500"/>
      <c r="AXL168" s="500"/>
      <c r="AXM168" s="500"/>
      <c r="AXN168" s="500"/>
      <c r="AXO168" s="500"/>
      <c r="AXP168" s="500"/>
      <c r="AXQ168" s="500"/>
      <c r="AXR168" s="500"/>
      <c r="AXS168" s="500"/>
      <c r="AXT168" s="500"/>
      <c r="AXU168" s="500"/>
      <c r="AXV168" s="500"/>
      <c r="AXW168" s="500"/>
      <c r="AXX168" s="500"/>
      <c r="AXY168" s="500"/>
      <c r="AXZ168" s="500"/>
      <c r="AYA168" s="500"/>
      <c r="AYB168" s="500"/>
      <c r="AYC168" s="500"/>
      <c r="AYD168" s="500"/>
      <c r="AYE168" s="500"/>
      <c r="AYF168" s="500"/>
      <c r="AYG168" s="500"/>
      <c r="AYH168" s="500"/>
      <c r="AYI168" s="500"/>
      <c r="AYJ168" s="500"/>
      <c r="AYK168" s="500"/>
      <c r="AYL168" s="500"/>
      <c r="AYM168" s="500"/>
      <c r="AYN168" s="500"/>
      <c r="AYO168" s="500"/>
      <c r="AYP168" s="500"/>
      <c r="AYQ168" s="500"/>
      <c r="AYR168" s="500"/>
      <c r="AYS168" s="500"/>
      <c r="AYT168" s="500"/>
      <c r="AYU168" s="500"/>
      <c r="AYV168" s="500"/>
      <c r="AYW168" s="500"/>
      <c r="AYX168" s="500"/>
      <c r="AYY168" s="500"/>
      <c r="AYZ168" s="500"/>
      <c r="AZA168" s="500"/>
      <c r="AZB168" s="500"/>
      <c r="AZC168" s="500"/>
      <c r="AZD168" s="500"/>
      <c r="AZE168" s="500"/>
      <c r="AZF168" s="500"/>
      <c r="AZG168" s="500"/>
      <c r="AZH168" s="500"/>
      <c r="AZI168" s="500"/>
      <c r="AZJ168" s="500"/>
      <c r="AZK168" s="500"/>
      <c r="AZL168" s="500"/>
      <c r="AZM168" s="500"/>
      <c r="AZN168" s="500"/>
      <c r="AZO168" s="500"/>
      <c r="AZP168" s="500"/>
      <c r="AZQ168" s="500"/>
      <c r="AZR168" s="500"/>
      <c r="AZS168" s="500"/>
      <c r="AZT168" s="500"/>
      <c r="AZU168" s="500"/>
      <c r="AZV168" s="500"/>
      <c r="AZW168" s="500"/>
      <c r="AZX168" s="500"/>
      <c r="AZY168" s="500"/>
      <c r="AZZ168" s="500"/>
      <c r="BAA168" s="500"/>
      <c r="BAB168" s="500"/>
      <c r="BAC168" s="500"/>
      <c r="BAD168" s="500"/>
      <c r="BAE168" s="500"/>
      <c r="BAF168" s="500"/>
      <c r="BAG168" s="500"/>
      <c r="BAH168" s="500"/>
      <c r="BAI168" s="500"/>
      <c r="BAJ168" s="500"/>
      <c r="BAK168" s="500"/>
      <c r="BAL168" s="500"/>
      <c r="BAM168" s="500"/>
      <c r="BAN168" s="500"/>
      <c r="BAO168" s="500"/>
      <c r="BAP168" s="500"/>
      <c r="BAQ168" s="500"/>
      <c r="BAR168" s="500"/>
      <c r="BAS168" s="500"/>
      <c r="BAT168" s="500"/>
      <c r="BAU168" s="500"/>
      <c r="BAV168" s="500"/>
      <c r="BAW168" s="500"/>
      <c r="BAX168" s="500"/>
      <c r="BAY168" s="500"/>
      <c r="BAZ168" s="500"/>
      <c r="BBA168" s="500"/>
      <c r="BBB168" s="500"/>
      <c r="BBC168" s="500"/>
      <c r="BBD168" s="500"/>
      <c r="BBE168" s="500"/>
      <c r="BBF168" s="500"/>
      <c r="BBG168" s="500"/>
      <c r="BBH168" s="500"/>
      <c r="BBI168" s="500"/>
      <c r="BBJ168" s="500"/>
      <c r="BBK168" s="500"/>
      <c r="BBL168" s="500"/>
      <c r="BBM168" s="500"/>
      <c r="BBN168" s="500"/>
      <c r="BBO168" s="500"/>
      <c r="BBP168" s="500"/>
      <c r="BBQ168" s="500"/>
      <c r="BBR168" s="500"/>
      <c r="BBS168" s="500"/>
      <c r="BBT168" s="500"/>
      <c r="BBU168" s="500"/>
      <c r="BBV168" s="500"/>
      <c r="BBW168" s="500"/>
      <c r="BBX168" s="500"/>
      <c r="BBY168" s="500"/>
      <c r="BBZ168" s="500"/>
      <c r="BCA168" s="500"/>
      <c r="BCB168" s="500"/>
      <c r="BCC168" s="500"/>
      <c r="BCD168" s="500"/>
      <c r="BCE168" s="500"/>
      <c r="BCF168" s="500"/>
      <c r="BCG168" s="500"/>
      <c r="BCH168" s="500"/>
      <c r="BCI168" s="500"/>
      <c r="BCJ168" s="500"/>
      <c r="BCK168" s="500"/>
      <c r="BCL168" s="500"/>
      <c r="BCM168" s="500"/>
      <c r="BCN168" s="500"/>
      <c r="BCO168" s="500"/>
      <c r="BCP168" s="500"/>
      <c r="BCQ168" s="500"/>
      <c r="BCR168" s="500"/>
      <c r="BCS168" s="500"/>
      <c r="BCT168" s="500"/>
      <c r="BCU168" s="500"/>
      <c r="BCV168" s="500"/>
      <c r="BCW168" s="500"/>
      <c r="BCX168" s="500"/>
      <c r="BCY168" s="500"/>
      <c r="BCZ168" s="500"/>
      <c r="BDA168" s="500"/>
      <c r="BDB168" s="500"/>
      <c r="BDC168" s="500"/>
      <c r="BDD168" s="500"/>
      <c r="BDE168" s="500"/>
      <c r="BDF168" s="500"/>
      <c r="BDG168" s="500"/>
      <c r="BDH168" s="500"/>
      <c r="BDI168" s="500"/>
      <c r="BDJ168" s="500"/>
      <c r="BDK168" s="500"/>
      <c r="BDL168" s="500"/>
      <c r="BDM168" s="500"/>
      <c r="BDN168" s="500"/>
      <c r="BDO168" s="500"/>
      <c r="BDP168" s="500"/>
      <c r="BDQ168" s="500"/>
      <c r="BDR168" s="500"/>
      <c r="BDS168" s="500"/>
      <c r="BDT168" s="500"/>
      <c r="BDU168" s="500"/>
      <c r="BDV168" s="500"/>
      <c r="BDW168" s="500"/>
      <c r="BDX168" s="500"/>
      <c r="BDY168" s="500"/>
      <c r="BDZ168" s="500"/>
      <c r="BEA168" s="500"/>
      <c r="BEB168" s="500"/>
      <c r="BEC168" s="500"/>
      <c r="BED168" s="500"/>
      <c r="BEE168" s="500"/>
      <c r="BEF168" s="500"/>
      <c r="BEG168" s="500"/>
      <c r="BEH168" s="500"/>
      <c r="BEI168" s="500"/>
      <c r="BEJ168" s="500"/>
      <c r="BEK168" s="500"/>
      <c r="BEL168" s="500"/>
      <c r="BEM168" s="500"/>
      <c r="BEN168" s="500"/>
      <c r="BEO168" s="500"/>
      <c r="BEP168" s="500"/>
      <c r="BEQ168" s="500"/>
      <c r="BER168" s="500"/>
      <c r="BES168" s="500"/>
      <c r="BET168" s="500"/>
      <c r="BEU168" s="500"/>
      <c r="BEV168" s="500"/>
      <c r="BEW168" s="500"/>
      <c r="BEX168" s="500"/>
      <c r="BEY168" s="500"/>
      <c r="BEZ168" s="500"/>
      <c r="BFA168" s="500"/>
      <c r="BFB168" s="500"/>
      <c r="BFC168" s="500"/>
      <c r="BFD168" s="500"/>
      <c r="BFE168" s="500"/>
      <c r="BFF168" s="500"/>
      <c r="BFG168" s="500"/>
      <c r="BFH168" s="500"/>
      <c r="BFI168" s="500"/>
      <c r="BFJ168" s="500"/>
      <c r="BFK168" s="500"/>
      <c r="BFL168" s="500"/>
      <c r="BFM168" s="500"/>
      <c r="BFN168" s="500"/>
      <c r="BFO168" s="500"/>
      <c r="BFP168" s="500"/>
      <c r="BFQ168" s="500"/>
      <c r="BFR168" s="500"/>
      <c r="BFS168" s="500"/>
      <c r="BFT168" s="500"/>
      <c r="BFU168" s="500"/>
      <c r="BFV168" s="500"/>
      <c r="BFW168" s="500"/>
      <c r="BFX168" s="500"/>
      <c r="BFY168" s="500"/>
      <c r="BFZ168" s="500"/>
      <c r="BGA168" s="500"/>
      <c r="BGB168" s="500"/>
      <c r="BGC168" s="500"/>
      <c r="BGD168" s="500"/>
      <c r="BGE168" s="500"/>
      <c r="BGF168" s="500"/>
      <c r="BGG168" s="500"/>
      <c r="BGH168" s="500"/>
      <c r="BGI168" s="500"/>
      <c r="BGJ168" s="500"/>
      <c r="BGK168" s="500"/>
      <c r="BGL168" s="500"/>
      <c r="BGM168" s="500"/>
      <c r="BGN168" s="500"/>
      <c r="BGO168" s="500"/>
      <c r="BGP168" s="500"/>
      <c r="BGQ168" s="500"/>
      <c r="BGR168" s="500"/>
      <c r="BGS168" s="500"/>
      <c r="BGT168" s="500"/>
      <c r="BGU168" s="500"/>
      <c r="BGV168" s="500"/>
      <c r="BGW168" s="500"/>
      <c r="BGX168" s="500"/>
      <c r="BGY168" s="500"/>
      <c r="BGZ168" s="500"/>
      <c r="BHA168" s="500"/>
      <c r="BHB168" s="500"/>
      <c r="BHC168" s="500"/>
      <c r="BHD168" s="500"/>
      <c r="BHE168" s="500"/>
      <c r="BHF168" s="500"/>
      <c r="BHG168" s="500"/>
      <c r="BHH168" s="500"/>
      <c r="BHI168" s="500"/>
      <c r="BHJ168" s="500"/>
      <c r="BHK168" s="500"/>
      <c r="BHL168" s="500"/>
      <c r="BHM168" s="500"/>
      <c r="BHN168" s="500"/>
      <c r="BHO168" s="500"/>
      <c r="BHP168" s="500"/>
      <c r="BHQ168" s="500"/>
      <c r="BHR168" s="500"/>
      <c r="BHS168" s="500"/>
      <c r="BHT168" s="500"/>
      <c r="BHU168" s="500"/>
      <c r="BHV168" s="500"/>
      <c r="BHW168" s="500"/>
      <c r="BHX168" s="500"/>
      <c r="BHY168" s="500"/>
      <c r="BHZ168" s="500"/>
      <c r="BIA168" s="500"/>
      <c r="BIB168" s="500"/>
      <c r="BIC168" s="500"/>
      <c r="BID168" s="500"/>
      <c r="BIE168" s="500"/>
      <c r="BIF168" s="500"/>
      <c r="BIG168" s="500"/>
      <c r="BIH168" s="500"/>
      <c r="BII168" s="500"/>
      <c r="BIJ168" s="500"/>
      <c r="BIK168" s="500"/>
      <c r="BIL168" s="500"/>
      <c r="BIM168" s="500"/>
      <c r="BIN168" s="500"/>
      <c r="BIO168" s="500"/>
      <c r="BIP168" s="500"/>
      <c r="BIQ168" s="500"/>
      <c r="BIR168" s="500"/>
      <c r="BIS168" s="500"/>
      <c r="BIT168" s="500"/>
      <c r="BIU168" s="500"/>
      <c r="BIV168" s="500"/>
      <c r="BIW168" s="500"/>
      <c r="BIX168" s="500"/>
      <c r="BIY168" s="500"/>
      <c r="BIZ168" s="500"/>
      <c r="BJA168" s="500"/>
      <c r="BJB168" s="500"/>
      <c r="BJC168" s="500"/>
      <c r="BJD168" s="500"/>
      <c r="BJE168" s="500"/>
      <c r="BJF168" s="500"/>
      <c r="BJG168" s="500"/>
      <c r="BJH168" s="500"/>
      <c r="BJI168" s="500"/>
      <c r="BJJ168" s="500"/>
      <c r="BJK168" s="500"/>
      <c r="BJL168" s="500"/>
      <c r="BJM168" s="500"/>
      <c r="BJN168" s="500"/>
      <c r="BJO168" s="500"/>
      <c r="BJP168" s="500"/>
      <c r="BJQ168" s="500"/>
      <c r="BJR168" s="500"/>
      <c r="BJS168" s="500"/>
      <c r="BJT168" s="500"/>
      <c r="BJU168" s="500"/>
      <c r="BJV168" s="500"/>
      <c r="BJW168" s="500"/>
      <c r="BJX168" s="500"/>
      <c r="BJY168" s="500"/>
      <c r="BJZ168" s="500"/>
      <c r="BKA168" s="500"/>
      <c r="BKB168" s="500"/>
      <c r="BKC168" s="500"/>
      <c r="BKD168" s="500"/>
      <c r="BKE168" s="500"/>
      <c r="BKF168" s="500"/>
      <c r="BKG168" s="500"/>
      <c r="BKH168" s="500"/>
      <c r="BKI168" s="500"/>
      <c r="BKJ168" s="500"/>
      <c r="BKK168" s="500"/>
      <c r="BKL168" s="500"/>
      <c r="BKM168" s="500"/>
      <c r="BKN168" s="500"/>
      <c r="BKO168" s="500"/>
      <c r="BKP168" s="500"/>
      <c r="BKQ168" s="500"/>
      <c r="BKR168" s="500"/>
      <c r="BKS168" s="500"/>
      <c r="BKT168" s="500"/>
      <c r="BKU168" s="500"/>
      <c r="BKV168" s="500"/>
      <c r="BKW168" s="500"/>
      <c r="BKX168" s="500"/>
      <c r="BKY168" s="500"/>
      <c r="BKZ168" s="500"/>
      <c r="BLA168" s="500"/>
      <c r="BLB168" s="500"/>
      <c r="BLC168" s="500"/>
      <c r="BLD168" s="500"/>
      <c r="BLE168" s="500"/>
      <c r="BLF168" s="500"/>
      <c r="BLG168" s="500"/>
      <c r="BLH168" s="500"/>
      <c r="BLI168" s="500"/>
      <c r="BLJ168" s="500"/>
      <c r="BLK168" s="500"/>
      <c r="BLL168" s="500"/>
      <c r="BLM168" s="500"/>
      <c r="BLN168" s="500"/>
      <c r="BLO168" s="500"/>
      <c r="BLP168" s="500"/>
      <c r="BLQ168" s="500"/>
      <c r="BLR168" s="500"/>
      <c r="BLS168" s="500"/>
      <c r="BLT168" s="500"/>
      <c r="BLU168" s="500"/>
      <c r="BLV168" s="500"/>
      <c r="BLW168" s="500"/>
      <c r="BLX168" s="500"/>
      <c r="BLY168" s="500"/>
      <c r="BLZ168" s="500"/>
      <c r="BMA168" s="500"/>
      <c r="BMB168" s="500"/>
      <c r="BMC168" s="500"/>
      <c r="BMD168" s="500"/>
      <c r="BME168" s="500"/>
      <c r="BMF168" s="500"/>
      <c r="BMG168" s="500"/>
      <c r="BMH168" s="500"/>
      <c r="BMI168" s="500"/>
      <c r="BMJ168" s="500"/>
      <c r="BMK168" s="500"/>
      <c r="BML168" s="500"/>
      <c r="BMM168" s="500"/>
      <c r="BMN168" s="500"/>
      <c r="BMO168" s="500"/>
      <c r="BMP168" s="500"/>
      <c r="BMQ168" s="500"/>
      <c r="BMR168" s="500"/>
      <c r="BMS168" s="500"/>
      <c r="BMT168" s="500"/>
      <c r="BMU168" s="500"/>
      <c r="BMV168" s="500"/>
      <c r="BMW168" s="500"/>
      <c r="BMX168" s="500"/>
      <c r="BMY168" s="500"/>
      <c r="BMZ168" s="500"/>
      <c r="BNA168" s="500"/>
      <c r="BNB168" s="500"/>
      <c r="BNC168" s="500"/>
      <c r="BND168" s="500"/>
      <c r="BNE168" s="500"/>
      <c r="BNF168" s="500"/>
      <c r="BNG168" s="500"/>
      <c r="BNH168" s="500"/>
      <c r="BNI168" s="500"/>
      <c r="BNJ168" s="500"/>
      <c r="BNK168" s="500"/>
      <c r="BNL168" s="500"/>
      <c r="BNM168" s="500"/>
      <c r="BNN168" s="500"/>
      <c r="BNO168" s="500"/>
      <c r="BNP168" s="500"/>
      <c r="BNQ168" s="500"/>
      <c r="BNR168" s="500"/>
      <c r="BNS168" s="500"/>
      <c r="BNT168" s="500"/>
      <c r="BNU168" s="500"/>
      <c r="BNV168" s="500"/>
      <c r="BNW168" s="500"/>
      <c r="BNX168" s="500"/>
      <c r="BNY168" s="500"/>
      <c r="BNZ168" s="500"/>
      <c r="BOA168" s="500"/>
      <c r="BOB168" s="500"/>
      <c r="BOC168" s="500"/>
      <c r="BOD168" s="500"/>
      <c r="BOE168" s="500"/>
      <c r="BOF168" s="500"/>
      <c r="BOG168" s="500"/>
      <c r="BOH168" s="500"/>
      <c r="BOI168" s="500"/>
      <c r="BOJ168" s="500"/>
      <c r="BOK168" s="500"/>
      <c r="BOL168" s="500"/>
      <c r="BOM168" s="500"/>
      <c r="BON168" s="500"/>
      <c r="BOO168" s="500"/>
      <c r="BOP168" s="500"/>
      <c r="BOQ168" s="500"/>
      <c r="BOR168" s="500"/>
      <c r="BOS168" s="500"/>
      <c r="BOT168" s="500"/>
      <c r="BOU168" s="500"/>
      <c r="BOV168" s="500"/>
      <c r="BOW168" s="500"/>
      <c r="BOX168" s="500"/>
      <c r="BOY168" s="500"/>
      <c r="BOZ168" s="500"/>
      <c r="BPA168" s="500"/>
      <c r="BPB168" s="500"/>
      <c r="BPC168" s="500"/>
      <c r="BPD168" s="500"/>
      <c r="BPE168" s="500"/>
      <c r="BPF168" s="500"/>
      <c r="BPG168" s="500"/>
      <c r="BPH168" s="500"/>
      <c r="BPI168" s="500"/>
      <c r="BPJ168" s="500"/>
      <c r="BPK168" s="500"/>
      <c r="BPL168" s="500"/>
      <c r="BPM168" s="500"/>
      <c r="BPN168" s="500"/>
      <c r="BPO168" s="500"/>
      <c r="BPP168" s="500"/>
      <c r="BPQ168" s="500"/>
      <c r="BPR168" s="500"/>
      <c r="BPS168" s="500"/>
      <c r="BPT168" s="500"/>
      <c r="BPU168" s="500"/>
      <c r="BPV168" s="500"/>
      <c r="BPW168" s="500"/>
      <c r="BPX168" s="500"/>
      <c r="BPY168" s="500"/>
      <c r="BPZ168" s="500"/>
      <c r="BQA168" s="500"/>
      <c r="BQB168" s="500"/>
      <c r="BQC168" s="500"/>
      <c r="BQD168" s="500"/>
      <c r="BQE168" s="500"/>
      <c r="BQF168" s="500"/>
      <c r="BQG168" s="500"/>
      <c r="BQH168" s="500"/>
      <c r="BQI168" s="500"/>
      <c r="BQJ168" s="500"/>
      <c r="BQK168" s="500"/>
      <c r="BQL168" s="500"/>
      <c r="BQM168" s="500"/>
      <c r="BQN168" s="500"/>
      <c r="BQO168" s="500"/>
      <c r="BQP168" s="500"/>
      <c r="BQQ168" s="500"/>
      <c r="BQR168" s="500"/>
      <c r="BQS168" s="500"/>
      <c r="BQT168" s="500"/>
      <c r="BQU168" s="500"/>
      <c r="BQV168" s="500"/>
      <c r="BQW168" s="500"/>
      <c r="BQX168" s="500"/>
      <c r="BQY168" s="500"/>
      <c r="BQZ168" s="500"/>
      <c r="BRA168" s="500"/>
      <c r="BRB168" s="500"/>
      <c r="BRC168" s="500"/>
      <c r="BRD168" s="500"/>
      <c r="BRE168" s="500"/>
      <c r="BRF168" s="500"/>
      <c r="BRG168" s="500"/>
      <c r="BRH168" s="500"/>
      <c r="BRI168" s="500"/>
      <c r="BRJ168" s="500"/>
      <c r="BRK168" s="500"/>
      <c r="BRL168" s="500"/>
      <c r="BRM168" s="500"/>
      <c r="BRN168" s="500"/>
      <c r="BRO168" s="500"/>
      <c r="BRP168" s="500"/>
      <c r="BRQ168" s="500"/>
      <c r="BRR168" s="500"/>
      <c r="BRS168" s="500"/>
      <c r="BRT168" s="500"/>
      <c r="BRU168" s="500"/>
      <c r="BRV168" s="500"/>
      <c r="BRW168" s="500"/>
      <c r="BRX168" s="500"/>
      <c r="BRY168" s="500"/>
      <c r="BRZ168" s="500"/>
      <c r="BSA168" s="500"/>
      <c r="BSB168" s="500"/>
      <c r="BSC168" s="500"/>
      <c r="BSD168" s="500"/>
      <c r="BSE168" s="500"/>
      <c r="BSF168" s="500"/>
      <c r="BSG168" s="500"/>
      <c r="BSH168" s="500"/>
      <c r="BSI168" s="500"/>
      <c r="BSJ168" s="500"/>
      <c r="BSK168" s="500"/>
      <c r="BSL168" s="500"/>
      <c r="BSM168" s="500"/>
      <c r="BSN168" s="500"/>
      <c r="BSO168" s="500"/>
      <c r="BSP168" s="500"/>
      <c r="BSQ168" s="500"/>
      <c r="BSR168" s="500"/>
      <c r="BSS168" s="500"/>
      <c r="BST168" s="500"/>
      <c r="BSU168" s="500"/>
      <c r="BSV168" s="500"/>
      <c r="BSW168" s="500"/>
      <c r="BSX168" s="500"/>
      <c r="BSY168" s="500"/>
      <c r="BSZ168" s="500"/>
      <c r="BTA168" s="500"/>
      <c r="BTB168" s="500"/>
      <c r="BTC168" s="500"/>
      <c r="BTD168" s="500"/>
      <c r="BTE168" s="500"/>
      <c r="BTF168" s="500"/>
      <c r="BTG168" s="500"/>
      <c r="BTH168" s="500"/>
      <c r="BTI168" s="500"/>
      <c r="BTJ168" s="500"/>
      <c r="BTK168" s="500"/>
      <c r="BTL168" s="500"/>
      <c r="BTM168" s="500"/>
      <c r="BTN168" s="500"/>
      <c r="BTO168" s="500"/>
      <c r="BTP168" s="500"/>
      <c r="BTQ168" s="500"/>
      <c r="BTR168" s="500"/>
      <c r="BTS168" s="500"/>
      <c r="BTT168" s="500"/>
      <c r="BTU168" s="500"/>
      <c r="BTV168" s="500"/>
      <c r="BTW168" s="500"/>
      <c r="BTX168" s="500"/>
      <c r="BTY168" s="500"/>
      <c r="BTZ168" s="500"/>
      <c r="BUA168" s="500"/>
      <c r="BUB168" s="500"/>
      <c r="BUC168" s="500"/>
      <c r="BUD168" s="500"/>
      <c r="BUE168" s="500"/>
      <c r="BUF168" s="500"/>
      <c r="BUG168" s="500"/>
      <c r="BUH168" s="500"/>
      <c r="BUI168" s="500"/>
      <c r="BUJ168" s="500"/>
      <c r="BUK168" s="500"/>
      <c r="BUL168" s="500"/>
      <c r="BUM168" s="500"/>
      <c r="BUN168" s="500"/>
      <c r="BUO168" s="500"/>
      <c r="BUP168" s="500"/>
      <c r="BUQ168" s="500"/>
      <c r="BUR168" s="500"/>
      <c r="BUS168" s="500"/>
      <c r="BUT168" s="500"/>
      <c r="BUU168" s="500"/>
      <c r="BUV168" s="500"/>
      <c r="BUW168" s="500"/>
      <c r="BUX168" s="500"/>
      <c r="BUY168" s="500"/>
      <c r="BUZ168" s="500"/>
      <c r="BVA168" s="500"/>
      <c r="BVB168" s="500"/>
      <c r="BVC168" s="500"/>
      <c r="BVD168" s="500"/>
      <c r="BVE168" s="500"/>
      <c r="BVF168" s="500"/>
      <c r="BVG168" s="500"/>
      <c r="BVH168" s="500"/>
      <c r="BVI168" s="500"/>
      <c r="BVJ168" s="500"/>
      <c r="BVK168" s="500"/>
      <c r="BVL168" s="500"/>
      <c r="BVM168" s="500"/>
      <c r="BVN168" s="500"/>
      <c r="BVO168" s="500"/>
      <c r="BVP168" s="500"/>
      <c r="BVQ168" s="500"/>
      <c r="BVR168" s="500"/>
      <c r="BVS168" s="500"/>
      <c r="BVT168" s="500"/>
      <c r="BVU168" s="500"/>
      <c r="BVV168" s="500"/>
      <c r="BVW168" s="500"/>
      <c r="BVX168" s="500"/>
      <c r="BVY168" s="500"/>
      <c r="BVZ168" s="500"/>
      <c r="BWA168" s="500"/>
      <c r="BWB168" s="500"/>
      <c r="BWC168" s="500"/>
      <c r="BWD168" s="500"/>
      <c r="BWE168" s="500"/>
      <c r="BWF168" s="500"/>
      <c r="BWG168" s="500"/>
      <c r="BWH168" s="500"/>
      <c r="BWI168" s="500"/>
      <c r="BWJ168" s="500"/>
      <c r="BWK168" s="500"/>
      <c r="BWL168" s="500"/>
      <c r="BWM168" s="500"/>
      <c r="BWN168" s="500"/>
      <c r="BWO168" s="500"/>
      <c r="BWP168" s="500"/>
      <c r="BWQ168" s="500"/>
      <c r="BWR168" s="500"/>
      <c r="BWS168" s="500"/>
      <c r="BWT168" s="500"/>
      <c r="BWU168" s="500"/>
      <c r="BWV168" s="500"/>
      <c r="BWW168" s="500"/>
      <c r="BWX168" s="500"/>
      <c r="BWY168" s="500"/>
      <c r="BWZ168" s="500"/>
      <c r="BXA168" s="500"/>
      <c r="BXB168" s="500"/>
      <c r="BXC168" s="500"/>
      <c r="BXD168" s="500"/>
      <c r="BXE168" s="500"/>
      <c r="BXF168" s="500"/>
      <c r="BXG168" s="500"/>
      <c r="BXH168" s="500"/>
      <c r="BXI168" s="500"/>
      <c r="BXJ168" s="500"/>
      <c r="BXK168" s="500"/>
      <c r="BXL168" s="500"/>
      <c r="BXM168" s="500"/>
      <c r="BXN168" s="500"/>
      <c r="BXO168" s="500"/>
      <c r="BXP168" s="500"/>
      <c r="BXQ168" s="500"/>
      <c r="BXR168" s="500"/>
      <c r="BXS168" s="500"/>
      <c r="BXT168" s="500"/>
      <c r="BXU168" s="500"/>
      <c r="BXV168" s="500"/>
      <c r="BXW168" s="500"/>
      <c r="BXX168" s="500"/>
      <c r="BXY168" s="500"/>
      <c r="BXZ168" s="500"/>
      <c r="BYA168" s="500"/>
      <c r="BYB168" s="500"/>
      <c r="BYC168" s="500"/>
      <c r="BYD168" s="500"/>
      <c r="BYE168" s="500"/>
      <c r="BYF168" s="500"/>
      <c r="BYG168" s="500"/>
      <c r="BYH168" s="500"/>
      <c r="BYI168" s="500"/>
      <c r="BYJ168" s="500"/>
      <c r="BYK168" s="500"/>
      <c r="BYL168" s="500"/>
      <c r="BYM168" s="500"/>
      <c r="BYN168" s="500"/>
      <c r="BYO168" s="500"/>
      <c r="BYP168" s="500"/>
      <c r="BYQ168" s="500"/>
      <c r="BYR168" s="500"/>
      <c r="BYS168" s="500"/>
      <c r="BYT168" s="500"/>
      <c r="BYU168" s="500"/>
      <c r="BYV168" s="500"/>
      <c r="BYW168" s="500"/>
      <c r="BYX168" s="500"/>
      <c r="BYY168" s="500"/>
      <c r="BYZ168" s="500"/>
      <c r="BZA168" s="500"/>
      <c r="BZB168" s="500"/>
      <c r="BZC168" s="500"/>
      <c r="BZD168" s="500"/>
      <c r="BZE168" s="500"/>
      <c r="BZF168" s="500"/>
      <c r="BZG168" s="500"/>
      <c r="BZH168" s="500"/>
      <c r="BZI168" s="500"/>
      <c r="BZJ168" s="500"/>
      <c r="BZK168" s="500"/>
      <c r="BZL168" s="500"/>
      <c r="BZM168" s="500"/>
      <c r="BZN168" s="500"/>
      <c r="BZO168" s="500"/>
      <c r="BZP168" s="500"/>
      <c r="BZQ168" s="500"/>
      <c r="BZR168" s="500"/>
      <c r="BZS168" s="500"/>
      <c r="BZT168" s="500"/>
      <c r="BZU168" s="500"/>
      <c r="BZV168" s="500"/>
      <c r="BZW168" s="500"/>
      <c r="BZX168" s="500"/>
      <c r="BZY168" s="500"/>
      <c r="BZZ168" s="500"/>
      <c r="CAA168" s="500"/>
      <c r="CAB168" s="500"/>
      <c r="CAC168" s="500"/>
      <c r="CAD168" s="500"/>
      <c r="CAE168" s="500"/>
      <c r="CAF168" s="500"/>
      <c r="CAG168" s="500"/>
      <c r="CAH168" s="500"/>
      <c r="CAI168" s="500"/>
      <c r="CAJ168" s="500"/>
      <c r="CAK168" s="500"/>
      <c r="CAL168" s="500"/>
      <c r="CAM168" s="500"/>
      <c r="CAN168" s="500"/>
      <c r="CAO168" s="500"/>
      <c r="CAP168" s="500"/>
      <c r="CAQ168" s="500"/>
      <c r="CAR168" s="500"/>
      <c r="CAS168" s="500"/>
      <c r="CAT168" s="500"/>
      <c r="CAU168" s="500"/>
      <c r="CAV168" s="500"/>
      <c r="CAW168" s="500"/>
      <c r="CAX168" s="500"/>
      <c r="CAY168" s="500"/>
      <c r="CAZ168" s="500"/>
      <c r="CBA168" s="500"/>
      <c r="CBB168" s="500"/>
      <c r="CBC168" s="500"/>
      <c r="CBD168" s="500"/>
      <c r="CBE168" s="500"/>
      <c r="CBF168" s="500"/>
      <c r="CBG168" s="500"/>
      <c r="CBH168" s="500"/>
      <c r="CBI168" s="500"/>
      <c r="CBJ168" s="500"/>
      <c r="CBK168" s="500"/>
      <c r="CBL168" s="500"/>
      <c r="CBM168" s="500"/>
      <c r="CBN168" s="500"/>
      <c r="CBO168" s="500"/>
      <c r="CBP168" s="500"/>
      <c r="CBQ168" s="500"/>
      <c r="CBR168" s="500"/>
      <c r="CBS168" s="500"/>
      <c r="CBT168" s="500"/>
      <c r="CBU168" s="500"/>
      <c r="CBV168" s="500"/>
      <c r="CBW168" s="500"/>
      <c r="CBX168" s="500"/>
      <c r="CBY168" s="500"/>
      <c r="CBZ168" s="500"/>
      <c r="CCA168" s="500"/>
      <c r="CCB168" s="500"/>
      <c r="CCC168" s="500"/>
      <c r="CCD168" s="500"/>
      <c r="CCE168" s="500"/>
      <c r="CCF168" s="500"/>
      <c r="CCG168" s="500"/>
      <c r="CCH168" s="500"/>
      <c r="CCI168" s="500"/>
      <c r="CCJ168" s="500"/>
      <c r="CCK168" s="500"/>
      <c r="CCL168" s="500"/>
      <c r="CCM168" s="500"/>
      <c r="CCN168" s="500"/>
      <c r="CCO168" s="500"/>
      <c r="CCP168" s="500"/>
      <c r="CCQ168" s="500"/>
      <c r="CCR168" s="500"/>
      <c r="CCS168" s="500"/>
      <c r="CCT168" s="500"/>
      <c r="CCU168" s="500"/>
      <c r="CCV168" s="500"/>
      <c r="CCW168" s="500"/>
      <c r="CCX168" s="500"/>
      <c r="CCY168" s="500"/>
      <c r="CCZ168" s="500"/>
      <c r="CDA168" s="500"/>
      <c r="CDB168" s="500"/>
      <c r="CDC168" s="500"/>
      <c r="CDD168" s="500"/>
      <c r="CDE168" s="500"/>
      <c r="CDF168" s="500"/>
      <c r="CDG168" s="500"/>
      <c r="CDH168" s="500"/>
      <c r="CDI168" s="500"/>
      <c r="CDJ168" s="500"/>
      <c r="CDK168" s="500"/>
      <c r="CDL168" s="500"/>
      <c r="CDM168" s="500"/>
      <c r="CDN168" s="500"/>
      <c r="CDO168" s="500"/>
      <c r="CDP168" s="500"/>
      <c r="CDQ168" s="500"/>
      <c r="CDR168" s="500"/>
      <c r="CDS168" s="500"/>
      <c r="CDT168" s="500"/>
      <c r="CDU168" s="500"/>
      <c r="CDV168" s="500"/>
      <c r="CDW168" s="500"/>
      <c r="CDX168" s="500"/>
      <c r="CDY168" s="500"/>
      <c r="CDZ168" s="500"/>
      <c r="CEA168" s="500"/>
      <c r="CEB168" s="500"/>
      <c r="CEC168" s="500"/>
      <c r="CED168" s="500"/>
      <c r="CEE168" s="500"/>
      <c r="CEF168" s="500"/>
      <c r="CEG168" s="500"/>
      <c r="CEH168" s="500"/>
      <c r="CEI168" s="500"/>
      <c r="CEJ168" s="500"/>
      <c r="CEK168" s="500"/>
      <c r="CEL168" s="500"/>
      <c r="CEM168" s="500"/>
      <c r="CEN168" s="500"/>
      <c r="CEO168" s="500"/>
      <c r="CEP168" s="500"/>
      <c r="CEQ168" s="500"/>
      <c r="CER168" s="500"/>
      <c r="CES168" s="500"/>
      <c r="CET168" s="500"/>
      <c r="CEU168" s="500"/>
      <c r="CEV168" s="500"/>
      <c r="CEW168" s="500"/>
      <c r="CEX168" s="500"/>
      <c r="CEY168" s="500"/>
      <c r="CEZ168" s="500"/>
      <c r="CFA168" s="500"/>
      <c r="CFB168" s="500"/>
      <c r="CFC168" s="500"/>
      <c r="CFD168" s="500"/>
      <c r="CFE168" s="500"/>
      <c r="CFF168" s="500"/>
      <c r="CFG168" s="500"/>
      <c r="CFH168" s="500"/>
      <c r="CFI168" s="500"/>
      <c r="CFJ168" s="500"/>
      <c r="CFK168" s="500"/>
      <c r="CFL168" s="500"/>
      <c r="CFM168" s="500"/>
      <c r="CFN168" s="500"/>
      <c r="CFO168" s="500"/>
      <c r="CFP168" s="500"/>
      <c r="CFQ168" s="500"/>
      <c r="CFR168" s="500"/>
      <c r="CFS168" s="500"/>
      <c r="CFT168" s="500"/>
      <c r="CFU168" s="500"/>
      <c r="CFV168" s="500"/>
      <c r="CFW168" s="500"/>
      <c r="CFX168" s="500"/>
      <c r="CFY168" s="500"/>
      <c r="CFZ168" s="500"/>
      <c r="CGA168" s="500"/>
      <c r="CGB168" s="500"/>
      <c r="CGC168" s="500"/>
      <c r="CGD168" s="500"/>
      <c r="CGE168" s="500"/>
      <c r="CGF168" s="500"/>
      <c r="CGG168" s="500"/>
      <c r="CGH168" s="500"/>
      <c r="CGI168" s="500"/>
      <c r="CGJ168" s="500"/>
      <c r="CGK168" s="500"/>
      <c r="CGL168" s="500"/>
      <c r="CGM168" s="500"/>
      <c r="CGN168" s="500"/>
      <c r="CGO168" s="500"/>
      <c r="CGP168" s="500"/>
      <c r="CGQ168" s="500"/>
      <c r="CGR168" s="500"/>
      <c r="CGS168" s="500"/>
      <c r="CGT168" s="500"/>
      <c r="CGU168" s="500"/>
      <c r="CGV168" s="500"/>
      <c r="CGW168" s="500"/>
      <c r="CGX168" s="500"/>
      <c r="CGY168" s="500"/>
      <c r="CGZ168" s="500"/>
      <c r="CHA168" s="500"/>
      <c r="CHB168" s="500"/>
      <c r="CHC168" s="500"/>
      <c r="CHD168" s="500"/>
      <c r="CHE168" s="500"/>
      <c r="CHF168" s="500"/>
      <c r="CHG168" s="500"/>
      <c r="CHH168" s="500"/>
      <c r="CHI168" s="500"/>
      <c r="CHJ168" s="500"/>
      <c r="CHK168" s="500"/>
      <c r="CHL168" s="500"/>
      <c r="CHM168" s="500"/>
      <c r="CHN168" s="500"/>
      <c r="CHO168" s="500"/>
      <c r="CHP168" s="500"/>
      <c r="CHQ168" s="500"/>
      <c r="CHR168" s="500"/>
      <c r="CHS168" s="500"/>
      <c r="CHT168" s="500"/>
      <c r="CHU168" s="500"/>
      <c r="CHV168" s="500"/>
      <c r="CHW168" s="500"/>
      <c r="CHX168" s="500"/>
      <c r="CHY168" s="500"/>
      <c r="CHZ168" s="500"/>
      <c r="CIA168" s="500"/>
      <c r="CIB168" s="500"/>
      <c r="CIC168" s="500"/>
      <c r="CID168" s="500"/>
      <c r="CIE168" s="500"/>
      <c r="CIF168" s="500"/>
      <c r="CIG168" s="500"/>
      <c r="CIH168" s="500"/>
      <c r="CII168" s="500"/>
      <c r="CIJ168" s="500"/>
      <c r="CIK168" s="500"/>
      <c r="CIL168" s="500"/>
      <c r="CIM168" s="500"/>
      <c r="CIN168" s="500"/>
      <c r="CIO168" s="500"/>
      <c r="CIP168" s="500"/>
      <c r="CIQ168" s="500"/>
      <c r="CIR168" s="500"/>
      <c r="CIS168" s="500"/>
      <c r="CIT168" s="500"/>
      <c r="CIU168" s="500"/>
      <c r="CIV168" s="500"/>
      <c r="CIW168" s="500"/>
      <c r="CIX168" s="500"/>
      <c r="CIY168" s="500"/>
      <c r="CIZ168" s="500"/>
      <c r="CJA168" s="500"/>
      <c r="CJB168" s="500"/>
      <c r="CJC168" s="500"/>
      <c r="CJD168" s="500"/>
      <c r="CJE168" s="500"/>
      <c r="CJF168" s="500"/>
      <c r="CJG168" s="500"/>
      <c r="CJH168" s="500"/>
      <c r="CJI168" s="500"/>
      <c r="CJJ168" s="500"/>
      <c r="CJK168" s="500"/>
      <c r="CJL168" s="500"/>
      <c r="CJM168" s="500"/>
      <c r="CJN168" s="500"/>
      <c r="CJO168" s="500"/>
      <c r="CJP168" s="500"/>
      <c r="CJQ168" s="500"/>
      <c r="CJR168" s="500"/>
      <c r="CJS168" s="500"/>
      <c r="CJT168" s="500"/>
      <c r="CJU168" s="500"/>
      <c r="CJV168" s="500"/>
      <c r="CJW168" s="500"/>
      <c r="CJX168" s="500"/>
      <c r="CJY168" s="500"/>
      <c r="CJZ168" s="500"/>
      <c r="CKA168" s="500"/>
      <c r="CKB168" s="500"/>
      <c r="CKC168" s="500"/>
      <c r="CKD168" s="500"/>
      <c r="CKE168" s="500"/>
      <c r="CKF168" s="500"/>
      <c r="CKG168" s="500"/>
      <c r="CKH168" s="500"/>
      <c r="CKI168" s="500"/>
      <c r="CKJ168" s="500"/>
      <c r="CKK168" s="500"/>
      <c r="CKL168" s="500"/>
      <c r="CKM168" s="500"/>
      <c r="CKN168" s="500"/>
      <c r="CKO168" s="500"/>
      <c r="CKP168" s="500"/>
      <c r="CKQ168" s="500"/>
      <c r="CKR168" s="500"/>
      <c r="CKS168" s="500"/>
      <c r="CKT168" s="500"/>
      <c r="CKU168" s="500"/>
      <c r="CKV168" s="500"/>
      <c r="CKW168" s="500"/>
      <c r="CKX168" s="500"/>
      <c r="CKY168" s="500"/>
      <c r="CKZ168" s="500"/>
      <c r="CLA168" s="500"/>
      <c r="CLB168" s="500"/>
      <c r="CLC168" s="500"/>
      <c r="CLD168" s="500"/>
      <c r="CLE168" s="500"/>
      <c r="CLF168" s="500"/>
      <c r="CLG168" s="500"/>
      <c r="CLH168" s="500"/>
      <c r="CLI168" s="500"/>
      <c r="CLJ168" s="500"/>
      <c r="CLK168" s="500"/>
      <c r="CLL168" s="500"/>
      <c r="CLM168" s="500"/>
      <c r="CLN168" s="500"/>
      <c r="CLO168" s="500"/>
      <c r="CLP168" s="500"/>
      <c r="CLQ168" s="500"/>
      <c r="CLR168" s="500"/>
      <c r="CLS168" s="500"/>
      <c r="CLT168" s="500"/>
      <c r="CLU168" s="500"/>
      <c r="CLV168" s="500"/>
      <c r="CLW168" s="500"/>
      <c r="CLX168" s="500"/>
      <c r="CLY168" s="500"/>
      <c r="CLZ168" s="500"/>
      <c r="CMA168" s="500"/>
      <c r="CMB168" s="500"/>
      <c r="CMC168" s="500"/>
      <c r="CMD168" s="500"/>
      <c r="CME168" s="500"/>
      <c r="CMF168" s="500"/>
      <c r="CMG168" s="500"/>
      <c r="CMH168" s="500"/>
      <c r="CMI168" s="500"/>
      <c r="CMJ168" s="500"/>
      <c r="CMK168" s="500"/>
      <c r="CML168" s="500"/>
      <c r="CMM168" s="500"/>
      <c r="CMN168" s="500"/>
      <c r="CMO168" s="500"/>
      <c r="CMP168" s="500"/>
      <c r="CMQ168" s="500"/>
      <c r="CMR168" s="500"/>
      <c r="CMS168" s="500"/>
      <c r="CMT168" s="500"/>
      <c r="CMU168" s="500"/>
      <c r="CMV168" s="500"/>
      <c r="CMW168" s="500"/>
      <c r="CMX168" s="500"/>
      <c r="CMY168" s="500"/>
      <c r="CMZ168" s="500"/>
      <c r="CNA168" s="500"/>
      <c r="CNB168" s="500"/>
      <c r="CNC168" s="500"/>
      <c r="CND168" s="500"/>
      <c r="CNE168" s="500"/>
      <c r="CNF168" s="500"/>
      <c r="CNG168" s="500"/>
      <c r="CNH168" s="500"/>
      <c r="CNI168" s="500"/>
      <c r="CNJ168" s="500"/>
      <c r="CNK168" s="500"/>
      <c r="CNL168" s="500"/>
      <c r="CNM168" s="500"/>
      <c r="CNN168" s="500"/>
      <c r="CNO168" s="500"/>
      <c r="CNP168" s="500"/>
      <c r="CNQ168" s="500"/>
      <c r="CNR168" s="500"/>
      <c r="CNS168" s="500"/>
      <c r="CNT168" s="500"/>
      <c r="CNU168" s="500"/>
      <c r="CNV168" s="500"/>
      <c r="CNW168" s="500"/>
      <c r="CNX168" s="500"/>
      <c r="CNY168" s="500"/>
      <c r="CNZ168" s="500"/>
      <c r="COA168" s="500"/>
      <c r="COB168" s="500"/>
      <c r="COC168" s="500"/>
      <c r="COD168" s="500"/>
      <c r="COE168" s="500"/>
      <c r="COF168" s="500"/>
      <c r="COG168" s="500"/>
      <c r="COH168" s="500"/>
      <c r="COI168" s="500"/>
      <c r="COJ168" s="500"/>
      <c r="COK168" s="500"/>
      <c r="COL168" s="500"/>
      <c r="COM168" s="500"/>
      <c r="CON168" s="500"/>
      <c r="COO168" s="500"/>
      <c r="COP168" s="500"/>
      <c r="COQ168" s="500"/>
      <c r="COR168" s="500"/>
      <c r="COS168" s="500"/>
      <c r="COT168" s="500"/>
      <c r="COU168" s="500"/>
      <c r="COV168" s="500"/>
      <c r="COW168" s="500"/>
      <c r="COX168" s="500"/>
      <c r="COY168" s="500"/>
      <c r="COZ168" s="500"/>
      <c r="CPA168" s="500"/>
      <c r="CPB168" s="500"/>
      <c r="CPC168" s="500"/>
      <c r="CPD168" s="500"/>
      <c r="CPE168" s="500"/>
      <c r="CPF168" s="500"/>
      <c r="CPG168" s="500"/>
      <c r="CPH168" s="500"/>
      <c r="CPI168" s="500"/>
      <c r="CPJ168" s="500"/>
      <c r="CPK168" s="500"/>
      <c r="CPL168" s="500"/>
      <c r="CPM168" s="500"/>
      <c r="CPN168" s="500"/>
      <c r="CPO168" s="500"/>
      <c r="CPP168" s="500"/>
      <c r="CPQ168" s="500"/>
      <c r="CPR168" s="500"/>
      <c r="CPS168" s="500"/>
      <c r="CPT168" s="500"/>
      <c r="CPU168" s="500"/>
      <c r="CPV168" s="500"/>
      <c r="CPW168" s="500"/>
      <c r="CPX168" s="500"/>
      <c r="CPY168" s="500"/>
      <c r="CPZ168" s="500"/>
      <c r="CQA168" s="500"/>
      <c r="CQB168" s="500"/>
      <c r="CQC168" s="500"/>
      <c r="CQD168" s="500"/>
      <c r="CQE168" s="500"/>
      <c r="CQF168" s="500"/>
      <c r="CQG168" s="500"/>
      <c r="CQH168" s="500"/>
      <c r="CQI168" s="500"/>
      <c r="CQJ168" s="500"/>
      <c r="CQK168" s="500"/>
      <c r="CQL168" s="500"/>
      <c r="CQM168" s="500"/>
      <c r="CQN168" s="500"/>
      <c r="CQO168" s="500"/>
      <c r="CQP168" s="500"/>
      <c r="CQQ168" s="500"/>
      <c r="CQR168" s="500"/>
      <c r="CQS168" s="500"/>
      <c r="CQT168" s="500"/>
      <c r="CQU168" s="500"/>
      <c r="CQV168" s="500"/>
      <c r="CQW168" s="500"/>
      <c r="CQX168" s="500"/>
      <c r="CQY168" s="500"/>
      <c r="CQZ168" s="500"/>
      <c r="CRA168" s="500"/>
      <c r="CRB168" s="500"/>
      <c r="CRC168" s="500"/>
      <c r="CRD168" s="500"/>
      <c r="CRE168" s="500"/>
      <c r="CRF168" s="500"/>
      <c r="CRG168" s="500"/>
      <c r="CRH168" s="500"/>
      <c r="CRI168" s="500"/>
      <c r="CRJ168" s="500"/>
      <c r="CRK168" s="500"/>
      <c r="CRL168" s="500"/>
      <c r="CRM168" s="500"/>
      <c r="CRN168" s="500"/>
      <c r="CRO168" s="500"/>
      <c r="CRP168" s="500"/>
      <c r="CRQ168" s="500"/>
      <c r="CRR168" s="500"/>
      <c r="CRS168" s="500"/>
      <c r="CRT168" s="500"/>
      <c r="CRU168" s="500"/>
      <c r="CRV168" s="500"/>
      <c r="CRW168" s="500"/>
      <c r="CRX168" s="500"/>
      <c r="CRY168" s="500"/>
      <c r="CRZ168" s="500"/>
      <c r="CSA168" s="500"/>
      <c r="CSB168" s="500"/>
      <c r="CSC168" s="500"/>
      <c r="CSD168" s="500"/>
      <c r="CSE168" s="500"/>
      <c r="CSF168" s="500"/>
      <c r="CSG168" s="500"/>
      <c r="CSH168" s="500"/>
      <c r="CSI168" s="500"/>
      <c r="CSJ168" s="500"/>
      <c r="CSK168" s="500"/>
      <c r="CSL168" s="500"/>
      <c r="CSM168" s="500"/>
      <c r="CSN168" s="500"/>
      <c r="CSO168" s="500"/>
      <c r="CSP168" s="500"/>
      <c r="CSQ168" s="500"/>
      <c r="CSR168" s="500"/>
      <c r="CSS168" s="500"/>
      <c r="CST168" s="500"/>
      <c r="CSU168" s="500"/>
      <c r="CSV168" s="500"/>
      <c r="CSW168" s="500"/>
      <c r="CSX168" s="500"/>
      <c r="CSY168" s="500"/>
      <c r="CSZ168" s="500"/>
      <c r="CTA168" s="500"/>
      <c r="CTB168" s="500"/>
      <c r="CTC168" s="500"/>
      <c r="CTD168" s="500"/>
      <c r="CTE168" s="500"/>
      <c r="CTF168" s="500"/>
      <c r="CTG168" s="500"/>
      <c r="CTH168" s="500"/>
      <c r="CTI168" s="500"/>
      <c r="CTJ168" s="500"/>
      <c r="CTK168" s="500"/>
      <c r="CTL168" s="500"/>
      <c r="CTM168" s="500"/>
      <c r="CTN168" s="500"/>
      <c r="CTO168" s="500"/>
      <c r="CTP168" s="500"/>
      <c r="CTQ168" s="500"/>
      <c r="CTR168" s="500"/>
      <c r="CTS168" s="500"/>
      <c r="CTT168" s="500"/>
      <c r="CTU168" s="500"/>
      <c r="CTV168" s="500"/>
      <c r="CTW168" s="500"/>
      <c r="CTX168" s="500"/>
      <c r="CTY168" s="500"/>
      <c r="CTZ168" s="500"/>
      <c r="CUA168" s="500"/>
      <c r="CUB168" s="500"/>
      <c r="CUC168" s="500"/>
      <c r="CUD168" s="500"/>
      <c r="CUE168" s="500"/>
      <c r="CUF168" s="500"/>
      <c r="CUG168" s="500"/>
      <c r="CUH168" s="500"/>
      <c r="CUI168" s="500"/>
      <c r="CUJ168" s="500"/>
      <c r="CUK168" s="500"/>
      <c r="CUL168" s="500"/>
      <c r="CUM168" s="500"/>
      <c r="CUN168" s="500"/>
      <c r="CUO168" s="500"/>
      <c r="CUP168" s="500"/>
      <c r="CUQ168" s="500"/>
      <c r="CUR168" s="500"/>
      <c r="CUS168" s="500"/>
      <c r="CUT168" s="500"/>
      <c r="CUU168" s="500"/>
      <c r="CUV168" s="500"/>
      <c r="CUW168" s="500"/>
      <c r="CUX168" s="500"/>
      <c r="CUY168" s="500"/>
      <c r="CUZ168" s="500"/>
      <c r="CVA168" s="500"/>
      <c r="CVB168" s="500"/>
      <c r="CVC168" s="500"/>
      <c r="CVD168" s="500"/>
      <c r="CVE168" s="500"/>
      <c r="CVF168" s="500"/>
      <c r="CVG168" s="500"/>
      <c r="CVH168" s="500"/>
      <c r="CVI168" s="500"/>
      <c r="CVJ168" s="500"/>
      <c r="CVK168" s="500"/>
      <c r="CVL168" s="500"/>
      <c r="CVM168" s="500"/>
      <c r="CVN168" s="500"/>
      <c r="CVO168" s="500"/>
      <c r="CVP168" s="500"/>
      <c r="CVQ168" s="500"/>
      <c r="CVR168" s="500"/>
      <c r="CVS168" s="500"/>
      <c r="CVT168" s="500"/>
      <c r="CVU168" s="500"/>
      <c r="CVV168" s="500"/>
      <c r="CVW168" s="500"/>
      <c r="CVX168" s="500"/>
      <c r="CVY168" s="500"/>
      <c r="CVZ168" s="500"/>
      <c r="CWA168" s="500"/>
      <c r="CWB168" s="500"/>
      <c r="CWC168" s="500"/>
      <c r="CWD168" s="500"/>
      <c r="CWE168" s="500"/>
      <c r="CWF168" s="500"/>
      <c r="CWG168" s="500"/>
      <c r="CWH168" s="500"/>
      <c r="CWI168" s="500"/>
      <c r="CWJ168" s="500"/>
      <c r="CWK168" s="500"/>
      <c r="CWL168" s="500"/>
      <c r="CWM168" s="500"/>
      <c r="CWN168" s="500"/>
      <c r="CWO168" s="500"/>
      <c r="CWP168" s="500"/>
      <c r="CWQ168" s="500"/>
      <c r="CWR168" s="500"/>
      <c r="CWS168" s="500"/>
      <c r="CWT168" s="500"/>
      <c r="CWU168" s="500"/>
      <c r="CWV168" s="500"/>
      <c r="CWW168" s="500"/>
      <c r="CWX168" s="500"/>
      <c r="CWY168" s="500"/>
      <c r="CWZ168" s="500"/>
      <c r="CXA168" s="500"/>
      <c r="CXB168" s="500"/>
      <c r="CXC168" s="500"/>
      <c r="CXD168" s="500"/>
      <c r="CXE168" s="500"/>
      <c r="CXF168" s="500"/>
      <c r="CXG168" s="500"/>
      <c r="CXH168" s="500"/>
      <c r="CXI168" s="500"/>
      <c r="CXJ168" s="500"/>
      <c r="CXK168" s="500"/>
      <c r="CXL168" s="500"/>
      <c r="CXM168" s="500"/>
      <c r="CXN168" s="500"/>
      <c r="CXO168" s="500"/>
      <c r="CXP168" s="500"/>
      <c r="CXQ168" s="500"/>
      <c r="CXR168" s="500"/>
      <c r="CXS168" s="500"/>
      <c r="CXT168" s="500"/>
      <c r="CXU168" s="500"/>
      <c r="CXV168" s="500"/>
      <c r="CXW168" s="500"/>
      <c r="CXX168" s="500"/>
      <c r="CXY168" s="500"/>
      <c r="CXZ168" s="500"/>
      <c r="CYA168" s="500"/>
      <c r="CYB168" s="500"/>
      <c r="CYC168" s="500"/>
      <c r="CYD168" s="500"/>
      <c r="CYE168" s="500"/>
      <c r="CYF168" s="500"/>
      <c r="CYG168" s="500"/>
      <c r="CYH168" s="500"/>
      <c r="CYI168" s="500"/>
      <c r="CYJ168" s="500"/>
      <c r="CYK168" s="500"/>
      <c r="CYL168" s="500"/>
      <c r="CYM168" s="500"/>
      <c r="CYN168" s="500"/>
      <c r="CYO168" s="500"/>
      <c r="CYP168" s="500"/>
      <c r="CYQ168" s="500"/>
      <c r="CYR168" s="500"/>
      <c r="CYS168" s="500"/>
      <c r="CYT168" s="500"/>
      <c r="CYU168" s="500"/>
      <c r="CYV168" s="500"/>
      <c r="CYW168" s="500"/>
      <c r="CYX168" s="500"/>
      <c r="CYY168" s="500"/>
      <c r="CYZ168" s="500"/>
      <c r="CZA168" s="500"/>
      <c r="CZB168" s="500"/>
      <c r="CZC168" s="500"/>
      <c r="CZD168" s="500"/>
      <c r="CZE168" s="500"/>
      <c r="CZF168" s="500"/>
      <c r="CZG168" s="500"/>
      <c r="CZH168" s="500"/>
      <c r="CZI168" s="500"/>
      <c r="CZJ168" s="500"/>
      <c r="CZK168" s="500"/>
      <c r="CZL168" s="500"/>
      <c r="CZM168" s="500"/>
      <c r="CZN168" s="500"/>
      <c r="CZO168" s="500"/>
      <c r="CZP168" s="500"/>
      <c r="CZQ168" s="500"/>
      <c r="CZR168" s="500"/>
      <c r="CZS168" s="500"/>
      <c r="CZT168" s="500"/>
      <c r="CZU168" s="500"/>
      <c r="CZV168" s="500"/>
      <c r="CZW168" s="500"/>
      <c r="CZX168" s="500"/>
      <c r="CZY168" s="500"/>
      <c r="CZZ168" s="500"/>
      <c r="DAA168" s="500"/>
      <c r="DAB168" s="500"/>
      <c r="DAC168" s="500"/>
      <c r="DAD168" s="500"/>
      <c r="DAE168" s="500"/>
      <c r="DAF168" s="500"/>
      <c r="DAG168" s="500"/>
      <c r="DAH168" s="500"/>
      <c r="DAI168" s="500"/>
      <c r="DAJ168" s="500"/>
      <c r="DAK168" s="500"/>
      <c r="DAL168" s="500"/>
      <c r="DAM168" s="500"/>
      <c r="DAN168" s="500"/>
      <c r="DAO168" s="500"/>
      <c r="DAP168" s="500"/>
      <c r="DAQ168" s="500"/>
      <c r="DAR168" s="500"/>
      <c r="DAS168" s="500"/>
      <c r="DAT168" s="500"/>
      <c r="DAU168" s="500"/>
      <c r="DAV168" s="500"/>
      <c r="DAW168" s="500"/>
      <c r="DAX168" s="500"/>
      <c r="DAY168" s="500"/>
      <c r="DAZ168" s="500"/>
      <c r="DBA168" s="500"/>
      <c r="DBB168" s="500"/>
      <c r="DBC168" s="500"/>
      <c r="DBD168" s="500"/>
      <c r="DBE168" s="500"/>
      <c r="DBF168" s="500"/>
      <c r="DBG168" s="500"/>
      <c r="DBH168" s="500"/>
      <c r="DBI168" s="500"/>
      <c r="DBJ168" s="500"/>
      <c r="DBK168" s="500"/>
      <c r="DBL168" s="500"/>
      <c r="DBM168" s="500"/>
      <c r="DBN168" s="500"/>
      <c r="DBO168" s="500"/>
      <c r="DBP168" s="500"/>
      <c r="DBQ168" s="500"/>
      <c r="DBR168" s="500"/>
      <c r="DBS168" s="500"/>
      <c r="DBT168" s="500"/>
      <c r="DBU168" s="500"/>
      <c r="DBV168" s="500"/>
      <c r="DBW168" s="500"/>
      <c r="DBX168" s="500"/>
      <c r="DBY168" s="500"/>
      <c r="DBZ168" s="500"/>
      <c r="DCA168" s="500"/>
      <c r="DCB168" s="500"/>
      <c r="DCC168" s="500"/>
      <c r="DCD168" s="500"/>
      <c r="DCE168" s="500"/>
      <c r="DCF168" s="500"/>
      <c r="DCG168" s="500"/>
      <c r="DCH168" s="500"/>
      <c r="DCI168" s="500"/>
      <c r="DCJ168" s="500"/>
      <c r="DCK168" s="500"/>
      <c r="DCL168" s="500"/>
      <c r="DCM168" s="500"/>
      <c r="DCN168" s="500"/>
      <c r="DCO168" s="500"/>
      <c r="DCP168" s="500"/>
      <c r="DCQ168" s="500"/>
      <c r="DCR168" s="500"/>
      <c r="DCS168" s="500"/>
      <c r="DCT168" s="500"/>
      <c r="DCU168" s="500"/>
      <c r="DCV168" s="500"/>
      <c r="DCW168" s="500"/>
      <c r="DCX168" s="500"/>
      <c r="DCY168" s="500"/>
      <c r="DCZ168" s="500"/>
      <c r="DDA168" s="500"/>
      <c r="DDB168" s="500"/>
      <c r="DDC168" s="500"/>
      <c r="DDD168" s="500"/>
      <c r="DDE168" s="500"/>
      <c r="DDF168" s="500"/>
      <c r="DDG168" s="500"/>
      <c r="DDH168" s="500"/>
      <c r="DDI168" s="500"/>
      <c r="DDJ168" s="500"/>
      <c r="DDK168" s="500"/>
      <c r="DDL168" s="500"/>
      <c r="DDM168" s="500"/>
      <c r="DDN168" s="500"/>
      <c r="DDO168" s="500"/>
      <c r="DDP168" s="500"/>
      <c r="DDQ168" s="500"/>
      <c r="DDR168" s="500"/>
      <c r="DDS168" s="500"/>
      <c r="DDT168" s="500"/>
      <c r="DDU168" s="500"/>
      <c r="DDV168" s="500"/>
      <c r="DDW168" s="500"/>
      <c r="DDX168" s="500"/>
      <c r="DDY168" s="500"/>
      <c r="DDZ168" s="500"/>
      <c r="DEA168" s="500"/>
      <c r="DEB168" s="500"/>
      <c r="DEC168" s="500"/>
      <c r="DED168" s="500"/>
      <c r="DEE168" s="500"/>
      <c r="DEF168" s="500"/>
      <c r="DEG168" s="500"/>
      <c r="DEH168" s="500"/>
      <c r="DEI168" s="500"/>
      <c r="DEJ168" s="500"/>
      <c r="DEK168" s="500"/>
      <c r="DEL168" s="500"/>
      <c r="DEM168" s="500"/>
      <c r="DEN168" s="500"/>
      <c r="DEO168" s="500"/>
      <c r="DEP168" s="500"/>
      <c r="DEQ168" s="500"/>
      <c r="DER168" s="500"/>
      <c r="DES168" s="500"/>
      <c r="DET168" s="500"/>
      <c r="DEU168" s="500"/>
      <c r="DEV168" s="500"/>
      <c r="DEW168" s="500"/>
      <c r="DEX168" s="500"/>
      <c r="DEY168" s="500"/>
      <c r="DEZ168" s="500"/>
      <c r="DFA168" s="500"/>
      <c r="DFB168" s="500"/>
      <c r="DFC168" s="500"/>
      <c r="DFD168" s="500"/>
      <c r="DFE168" s="500"/>
      <c r="DFF168" s="500"/>
      <c r="DFG168" s="500"/>
      <c r="DFH168" s="500"/>
      <c r="DFI168" s="500"/>
      <c r="DFJ168" s="500"/>
      <c r="DFK168" s="500"/>
      <c r="DFL168" s="500"/>
      <c r="DFM168" s="500"/>
      <c r="DFN168" s="500"/>
      <c r="DFO168" s="500"/>
      <c r="DFP168" s="500"/>
      <c r="DFQ168" s="500"/>
      <c r="DFR168" s="500"/>
      <c r="DFS168" s="500"/>
      <c r="DFT168" s="500"/>
      <c r="DFU168" s="500"/>
      <c r="DFV168" s="500"/>
      <c r="DFW168" s="500"/>
      <c r="DFX168" s="500"/>
      <c r="DFY168" s="500"/>
      <c r="DFZ168" s="500"/>
      <c r="DGA168" s="500"/>
      <c r="DGB168" s="500"/>
      <c r="DGC168" s="500"/>
      <c r="DGD168" s="500"/>
      <c r="DGE168" s="500"/>
      <c r="DGF168" s="500"/>
      <c r="DGG168" s="500"/>
      <c r="DGH168" s="500"/>
      <c r="DGI168" s="500"/>
      <c r="DGJ168" s="500"/>
      <c r="DGK168" s="500"/>
      <c r="DGL168" s="500"/>
      <c r="DGM168" s="500"/>
      <c r="DGN168" s="500"/>
      <c r="DGO168" s="500"/>
      <c r="DGP168" s="500"/>
      <c r="DGQ168" s="500"/>
      <c r="DGR168" s="500"/>
      <c r="DGS168" s="500"/>
      <c r="DGT168" s="500"/>
      <c r="DGU168" s="500"/>
      <c r="DGV168" s="500"/>
      <c r="DGW168" s="500"/>
      <c r="DGX168" s="500"/>
      <c r="DGY168" s="500"/>
      <c r="DGZ168" s="500"/>
      <c r="DHA168" s="500"/>
      <c r="DHB168" s="500"/>
      <c r="DHC168" s="500"/>
      <c r="DHD168" s="500"/>
      <c r="DHE168" s="500"/>
      <c r="DHF168" s="500"/>
      <c r="DHG168" s="500"/>
      <c r="DHH168" s="500"/>
      <c r="DHI168" s="500"/>
      <c r="DHJ168" s="500"/>
      <c r="DHK168" s="500"/>
      <c r="DHL168" s="500"/>
      <c r="DHM168" s="500"/>
      <c r="DHN168" s="500"/>
      <c r="DHO168" s="500"/>
      <c r="DHP168" s="500"/>
      <c r="DHQ168" s="500"/>
      <c r="DHR168" s="500"/>
      <c r="DHS168" s="500"/>
      <c r="DHT168" s="500"/>
      <c r="DHU168" s="500"/>
      <c r="DHV168" s="500"/>
      <c r="DHW168" s="500"/>
      <c r="DHX168" s="500"/>
      <c r="DHY168" s="500"/>
      <c r="DHZ168" s="500"/>
      <c r="DIA168" s="500"/>
      <c r="DIB168" s="500"/>
      <c r="DIC168" s="500"/>
      <c r="DID168" s="500"/>
      <c r="DIE168" s="500"/>
      <c r="DIF168" s="500"/>
      <c r="DIG168" s="500"/>
      <c r="DIH168" s="500"/>
      <c r="DII168" s="500"/>
      <c r="DIJ168" s="500"/>
      <c r="DIK168" s="500"/>
      <c r="DIL168" s="500"/>
      <c r="DIM168" s="500"/>
      <c r="DIN168" s="500"/>
      <c r="DIO168" s="500"/>
      <c r="DIP168" s="500"/>
      <c r="DIQ168" s="500"/>
      <c r="DIR168" s="500"/>
      <c r="DIS168" s="500"/>
      <c r="DIT168" s="500"/>
      <c r="DIU168" s="500"/>
      <c r="DIV168" s="500"/>
      <c r="DIW168" s="500"/>
      <c r="DIX168" s="500"/>
      <c r="DIY168" s="500"/>
      <c r="DIZ168" s="500"/>
      <c r="DJA168" s="500"/>
      <c r="DJB168" s="500"/>
      <c r="DJC168" s="500"/>
      <c r="DJD168" s="500"/>
      <c r="DJE168" s="500"/>
      <c r="DJF168" s="500"/>
      <c r="DJG168" s="500"/>
      <c r="DJH168" s="500"/>
      <c r="DJI168" s="500"/>
      <c r="DJJ168" s="500"/>
      <c r="DJK168" s="500"/>
      <c r="DJL168" s="500"/>
      <c r="DJM168" s="500"/>
      <c r="DJN168" s="500"/>
      <c r="DJO168" s="500"/>
      <c r="DJP168" s="500"/>
      <c r="DJQ168" s="500"/>
      <c r="DJR168" s="500"/>
      <c r="DJS168" s="500"/>
      <c r="DJT168" s="500"/>
      <c r="DJU168" s="500"/>
      <c r="DJV168" s="500"/>
      <c r="DJW168" s="500"/>
      <c r="DJX168" s="500"/>
      <c r="DJY168" s="500"/>
      <c r="DJZ168" s="500"/>
      <c r="DKA168" s="500"/>
      <c r="DKB168" s="500"/>
      <c r="DKC168" s="500"/>
      <c r="DKD168" s="500"/>
      <c r="DKE168" s="500"/>
      <c r="DKF168" s="500"/>
      <c r="DKG168" s="500"/>
      <c r="DKH168" s="500"/>
      <c r="DKI168" s="500"/>
      <c r="DKJ168" s="500"/>
      <c r="DKK168" s="500"/>
      <c r="DKL168" s="500"/>
      <c r="DKM168" s="500"/>
      <c r="DKN168" s="500"/>
      <c r="DKO168" s="500"/>
      <c r="DKP168" s="500"/>
      <c r="DKQ168" s="500"/>
      <c r="DKR168" s="500"/>
      <c r="DKS168" s="500"/>
      <c r="DKT168" s="500"/>
      <c r="DKU168" s="500"/>
      <c r="DKV168" s="500"/>
      <c r="DKW168" s="500"/>
      <c r="DKX168" s="500"/>
      <c r="DKY168" s="500"/>
      <c r="DKZ168" s="500"/>
      <c r="DLA168" s="500"/>
      <c r="DLB168" s="500"/>
      <c r="DLC168" s="500"/>
      <c r="DLD168" s="500"/>
      <c r="DLE168" s="500"/>
      <c r="DLF168" s="500"/>
      <c r="DLG168" s="500"/>
      <c r="DLH168" s="500"/>
      <c r="DLI168" s="500"/>
      <c r="DLJ168" s="500"/>
      <c r="DLK168" s="500"/>
      <c r="DLL168" s="500"/>
      <c r="DLM168" s="500"/>
      <c r="DLN168" s="500"/>
      <c r="DLO168" s="500"/>
      <c r="DLP168" s="500"/>
      <c r="DLQ168" s="500"/>
      <c r="DLR168" s="500"/>
      <c r="DLS168" s="500"/>
      <c r="DLT168" s="500"/>
      <c r="DLU168" s="500"/>
      <c r="DLV168" s="500"/>
      <c r="DLW168" s="500"/>
      <c r="DLX168" s="500"/>
      <c r="DLY168" s="500"/>
      <c r="DLZ168" s="500"/>
      <c r="DMA168" s="500"/>
      <c r="DMB168" s="500"/>
      <c r="DMC168" s="500"/>
      <c r="DMD168" s="500"/>
      <c r="DME168" s="500"/>
      <c r="DMF168" s="500"/>
      <c r="DMG168" s="500"/>
      <c r="DMH168" s="500"/>
      <c r="DMI168" s="500"/>
      <c r="DMJ168" s="500"/>
      <c r="DMK168" s="500"/>
      <c r="DML168" s="500"/>
      <c r="DMM168" s="500"/>
      <c r="DMN168" s="500"/>
      <c r="DMO168" s="500"/>
      <c r="DMP168" s="500"/>
      <c r="DMQ168" s="500"/>
      <c r="DMR168" s="500"/>
      <c r="DMS168" s="500"/>
      <c r="DMT168" s="500"/>
      <c r="DMU168" s="500"/>
      <c r="DMV168" s="500"/>
      <c r="DMW168" s="500"/>
      <c r="DMX168" s="500"/>
      <c r="DMY168" s="500"/>
      <c r="DMZ168" s="500"/>
      <c r="DNA168" s="500"/>
      <c r="DNB168" s="500"/>
      <c r="DNC168" s="500"/>
      <c r="DND168" s="500"/>
      <c r="DNE168" s="500"/>
      <c r="DNF168" s="500"/>
      <c r="DNG168" s="500"/>
      <c r="DNH168" s="500"/>
      <c r="DNI168" s="500"/>
      <c r="DNJ168" s="500"/>
      <c r="DNK168" s="500"/>
      <c r="DNL168" s="500"/>
      <c r="DNM168" s="500"/>
      <c r="DNN168" s="500"/>
      <c r="DNO168" s="500"/>
      <c r="DNP168" s="500"/>
      <c r="DNQ168" s="500"/>
      <c r="DNR168" s="500"/>
      <c r="DNS168" s="500"/>
      <c r="DNT168" s="500"/>
      <c r="DNU168" s="500"/>
      <c r="DNV168" s="500"/>
      <c r="DNW168" s="500"/>
      <c r="DNX168" s="500"/>
      <c r="DNY168" s="500"/>
      <c r="DNZ168" s="500"/>
      <c r="DOA168" s="500"/>
      <c r="DOB168" s="500"/>
      <c r="DOC168" s="500"/>
      <c r="DOD168" s="500"/>
      <c r="DOE168" s="500"/>
      <c r="DOF168" s="500"/>
      <c r="DOG168" s="500"/>
      <c r="DOH168" s="500"/>
      <c r="DOI168" s="500"/>
      <c r="DOJ168" s="500"/>
      <c r="DOK168" s="500"/>
      <c r="DOL168" s="500"/>
      <c r="DOM168" s="500"/>
      <c r="DON168" s="500"/>
      <c r="DOO168" s="500"/>
      <c r="DOP168" s="500"/>
      <c r="DOQ168" s="500"/>
      <c r="DOR168" s="500"/>
      <c r="DOS168" s="500"/>
      <c r="DOT168" s="500"/>
      <c r="DOU168" s="500"/>
      <c r="DOV168" s="500"/>
      <c r="DOW168" s="500"/>
      <c r="DOX168" s="500"/>
      <c r="DOY168" s="500"/>
      <c r="DOZ168" s="500"/>
      <c r="DPA168" s="500"/>
      <c r="DPB168" s="500"/>
      <c r="DPC168" s="500"/>
      <c r="DPD168" s="500"/>
      <c r="DPE168" s="500"/>
      <c r="DPF168" s="500"/>
      <c r="DPG168" s="500"/>
      <c r="DPH168" s="500"/>
      <c r="DPI168" s="500"/>
      <c r="DPJ168" s="500"/>
      <c r="DPK168" s="500"/>
      <c r="DPL168" s="500"/>
      <c r="DPM168" s="500"/>
      <c r="DPN168" s="500"/>
      <c r="DPO168" s="500"/>
      <c r="DPP168" s="500"/>
      <c r="DPQ168" s="500"/>
      <c r="DPR168" s="500"/>
      <c r="DPS168" s="500"/>
      <c r="DPT168" s="500"/>
      <c r="DPU168" s="500"/>
      <c r="DPV168" s="500"/>
      <c r="DPW168" s="500"/>
      <c r="DPX168" s="500"/>
      <c r="DPY168" s="500"/>
      <c r="DPZ168" s="500"/>
      <c r="DQA168" s="500"/>
      <c r="DQB168" s="500"/>
      <c r="DQC168" s="500"/>
      <c r="DQD168" s="500"/>
      <c r="DQE168" s="500"/>
      <c r="DQF168" s="500"/>
      <c r="DQG168" s="500"/>
      <c r="DQH168" s="500"/>
      <c r="DQI168" s="500"/>
      <c r="DQJ168" s="500"/>
      <c r="DQK168" s="500"/>
      <c r="DQL168" s="500"/>
      <c r="DQM168" s="500"/>
      <c r="DQN168" s="500"/>
      <c r="DQO168" s="500"/>
      <c r="DQP168" s="500"/>
      <c r="DQQ168" s="500"/>
      <c r="DQR168" s="500"/>
      <c r="DQS168" s="500"/>
      <c r="DQT168" s="500"/>
      <c r="DQU168" s="500"/>
      <c r="DQV168" s="500"/>
      <c r="DQW168" s="500"/>
      <c r="DQX168" s="500"/>
      <c r="DQY168" s="500"/>
      <c r="DQZ168" s="500"/>
      <c r="DRA168" s="500"/>
      <c r="DRB168" s="500"/>
      <c r="DRC168" s="500"/>
      <c r="DRD168" s="500"/>
      <c r="DRE168" s="500"/>
      <c r="DRF168" s="500"/>
      <c r="DRG168" s="500"/>
      <c r="DRH168" s="500"/>
      <c r="DRI168" s="500"/>
      <c r="DRJ168" s="500"/>
      <c r="DRK168" s="500"/>
      <c r="DRL168" s="500"/>
      <c r="DRM168" s="500"/>
      <c r="DRN168" s="500"/>
      <c r="DRO168" s="500"/>
      <c r="DRP168" s="500"/>
      <c r="DRQ168" s="500"/>
      <c r="DRR168" s="500"/>
      <c r="DRS168" s="500"/>
      <c r="DRT168" s="500"/>
      <c r="DRU168" s="500"/>
      <c r="DRV168" s="500"/>
      <c r="DRW168" s="500"/>
      <c r="DRX168" s="500"/>
      <c r="DRY168" s="500"/>
      <c r="DRZ168" s="500"/>
      <c r="DSA168" s="500"/>
      <c r="DSB168" s="500"/>
      <c r="DSC168" s="500"/>
      <c r="DSD168" s="500"/>
      <c r="DSE168" s="500"/>
      <c r="DSF168" s="500"/>
      <c r="DSG168" s="500"/>
      <c r="DSH168" s="500"/>
      <c r="DSI168" s="500"/>
      <c r="DSJ168" s="500"/>
      <c r="DSK168" s="500"/>
      <c r="DSL168" s="500"/>
      <c r="DSM168" s="500"/>
      <c r="DSN168" s="500"/>
      <c r="DSO168" s="500"/>
      <c r="DSP168" s="500"/>
      <c r="DSQ168" s="500"/>
      <c r="DSR168" s="500"/>
      <c r="DSS168" s="500"/>
      <c r="DST168" s="500"/>
      <c r="DSU168" s="500"/>
      <c r="DSV168" s="500"/>
      <c r="DSW168" s="500"/>
      <c r="DSX168" s="500"/>
      <c r="DSY168" s="500"/>
      <c r="DSZ168" s="500"/>
      <c r="DTA168" s="500"/>
      <c r="DTB168" s="500"/>
      <c r="DTC168" s="500"/>
      <c r="DTD168" s="500"/>
      <c r="DTE168" s="500"/>
      <c r="DTF168" s="500"/>
      <c r="DTG168" s="500"/>
      <c r="DTH168" s="500"/>
      <c r="DTI168" s="500"/>
      <c r="DTJ168" s="500"/>
      <c r="DTK168" s="500"/>
      <c r="DTL168" s="500"/>
      <c r="DTM168" s="500"/>
      <c r="DTN168" s="500"/>
      <c r="DTO168" s="500"/>
      <c r="DTP168" s="500"/>
      <c r="DTQ168" s="500"/>
      <c r="DTR168" s="500"/>
      <c r="DTS168" s="500"/>
      <c r="DTT168" s="500"/>
      <c r="DTU168" s="500"/>
      <c r="DTV168" s="500"/>
      <c r="DTW168" s="500"/>
      <c r="DTX168" s="500"/>
      <c r="DTY168" s="500"/>
      <c r="DTZ168" s="500"/>
      <c r="DUA168" s="500"/>
      <c r="DUB168" s="500"/>
      <c r="DUC168" s="500"/>
      <c r="DUD168" s="500"/>
      <c r="DUE168" s="500"/>
      <c r="DUF168" s="500"/>
      <c r="DUG168" s="500"/>
      <c r="DUH168" s="500"/>
      <c r="DUI168" s="500"/>
      <c r="DUJ168" s="500"/>
      <c r="DUK168" s="500"/>
      <c r="DUL168" s="500"/>
      <c r="DUM168" s="500"/>
      <c r="DUN168" s="500"/>
      <c r="DUO168" s="500"/>
      <c r="DUP168" s="500"/>
      <c r="DUQ168" s="500"/>
      <c r="DUR168" s="500"/>
      <c r="DUS168" s="500"/>
      <c r="DUT168" s="500"/>
      <c r="DUU168" s="500"/>
      <c r="DUV168" s="500"/>
      <c r="DUW168" s="500"/>
      <c r="DUX168" s="500"/>
      <c r="DUY168" s="500"/>
      <c r="DUZ168" s="500"/>
      <c r="DVA168" s="500"/>
      <c r="DVB168" s="500"/>
      <c r="DVC168" s="500"/>
      <c r="DVD168" s="500"/>
      <c r="DVE168" s="500"/>
      <c r="DVF168" s="500"/>
      <c r="DVG168" s="500"/>
      <c r="DVH168" s="500"/>
      <c r="DVI168" s="500"/>
      <c r="DVJ168" s="500"/>
      <c r="DVK168" s="500"/>
      <c r="DVL168" s="500"/>
      <c r="DVM168" s="500"/>
      <c r="DVN168" s="500"/>
      <c r="DVO168" s="500"/>
      <c r="DVP168" s="500"/>
      <c r="DVQ168" s="500"/>
      <c r="DVR168" s="500"/>
      <c r="DVS168" s="500"/>
      <c r="DVT168" s="500"/>
      <c r="DVU168" s="500"/>
      <c r="DVV168" s="500"/>
      <c r="DVW168" s="500"/>
      <c r="DVX168" s="500"/>
      <c r="DVY168" s="500"/>
      <c r="DVZ168" s="500"/>
      <c r="DWA168" s="500"/>
      <c r="DWB168" s="500"/>
      <c r="DWC168" s="500"/>
      <c r="DWD168" s="500"/>
      <c r="DWE168" s="500"/>
      <c r="DWF168" s="500"/>
      <c r="DWG168" s="500"/>
      <c r="DWH168" s="500"/>
      <c r="DWI168" s="500"/>
      <c r="DWJ168" s="500"/>
      <c r="DWK168" s="500"/>
      <c r="DWL168" s="500"/>
      <c r="DWM168" s="500"/>
      <c r="DWN168" s="500"/>
      <c r="DWO168" s="500"/>
      <c r="DWP168" s="500"/>
      <c r="DWQ168" s="500"/>
      <c r="DWR168" s="500"/>
      <c r="DWS168" s="500"/>
      <c r="DWT168" s="500"/>
      <c r="DWU168" s="500"/>
      <c r="DWV168" s="500"/>
      <c r="DWW168" s="500"/>
      <c r="DWX168" s="500"/>
      <c r="DWY168" s="500"/>
      <c r="DWZ168" s="500"/>
      <c r="DXA168" s="500"/>
      <c r="DXB168" s="500"/>
      <c r="DXC168" s="500"/>
      <c r="DXD168" s="500"/>
      <c r="DXE168" s="500"/>
      <c r="DXF168" s="500"/>
      <c r="DXG168" s="500"/>
      <c r="DXH168" s="500"/>
      <c r="DXI168" s="500"/>
      <c r="DXJ168" s="500"/>
      <c r="DXK168" s="500"/>
      <c r="DXL168" s="500"/>
      <c r="DXM168" s="500"/>
      <c r="DXN168" s="500"/>
      <c r="DXO168" s="500"/>
      <c r="DXP168" s="500"/>
      <c r="DXQ168" s="500"/>
      <c r="DXR168" s="500"/>
      <c r="DXS168" s="500"/>
      <c r="DXT168" s="500"/>
      <c r="DXU168" s="500"/>
      <c r="DXV168" s="500"/>
      <c r="DXW168" s="500"/>
      <c r="DXX168" s="500"/>
      <c r="DXY168" s="500"/>
      <c r="DXZ168" s="500"/>
      <c r="DYA168" s="500"/>
      <c r="DYB168" s="500"/>
      <c r="DYC168" s="500"/>
      <c r="DYD168" s="500"/>
      <c r="DYE168" s="500"/>
      <c r="DYF168" s="500"/>
      <c r="DYG168" s="500"/>
      <c r="DYH168" s="500"/>
      <c r="DYI168" s="500"/>
      <c r="DYJ168" s="500"/>
      <c r="DYK168" s="500"/>
      <c r="DYL168" s="500"/>
      <c r="DYM168" s="500"/>
      <c r="DYN168" s="500"/>
      <c r="DYO168" s="500"/>
      <c r="DYP168" s="500"/>
      <c r="DYQ168" s="500"/>
      <c r="DYR168" s="500"/>
      <c r="DYS168" s="500"/>
      <c r="DYT168" s="500"/>
      <c r="DYU168" s="500"/>
      <c r="DYV168" s="500"/>
      <c r="DYW168" s="500"/>
      <c r="DYX168" s="500"/>
      <c r="DYY168" s="500"/>
      <c r="DYZ168" s="500"/>
      <c r="DZA168" s="500"/>
      <c r="DZB168" s="500"/>
      <c r="DZC168" s="500"/>
      <c r="DZD168" s="500"/>
      <c r="DZE168" s="500"/>
      <c r="DZF168" s="500"/>
      <c r="DZG168" s="500"/>
      <c r="DZH168" s="500"/>
      <c r="DZI168" s="500"/>
      <c r="DZJ168" s="500"/>
      <c r="DZK168" s="500"/>
      <c r="DZL168" s="500"/>
      <c r="DZM168" s="500"/>
      <c r="DZN168" s="500"/>
      <c r="DZO168" s="500"/>
      <c r="DZP168" s="500"/>
      <c r="DZQ168" s="500"/>
      <c r="DZR168" s="500"/>
      <c r="DZS168" s="500"/>
      <c r="DZT168" s="500"/>
      <c r="DZU168" s="500"/>
      <c r="DZV168" s="500"/>
      <c r="DZW168" s="500"/>
      <c r="DZX168" s="500"/>
      <c r="DZY168" s="500"/>
      <c r="DZZ168" s="500"/>
      <c r="EAA168" s="500"/>
      <c r="EAB168" s="500"/>
      <c r="EAC168" s="500"/>
      <c r="EAD168" s="500"/>
      <c r="EAE168" s="500"/>
      <c r="EAF168" s="500"/>
      <c r="EAG168" s="500"/>
      <c r="EAH168" s="500"/>
      <c r="EAI168" s="500"/>
      <c r="EAJ168" s="500"/>
      <c r="EAK168" s="500"/>
      <c r="EAL168" s="500"/>
      <c r="EAM168" s="500"/>
      <c r="EAN168" s="500"/>
      <c r="EAO168" s="500"/>
      <c r="EAP168" s="500"/>
      <c r="EAQ168" s="500"/>
      <c r="EAR168" s="500"/>
      <c r="EAS168" s="500"/>
      <c r="EAT168" s="500"/>
      <c r="EAU168" s="500"/>
      <c r="EAV168" s="500"/>
      <c r="EAW168" s="500"/>
      <c r="EAX168" s="500"/>
      <c r="EAY168" s="500"/>
      <c r="EAZ168" s="500"/>
      <c r="EBA168" s="500"/>
      <c r="EBB168" s="500"/>
      <c r="EBC168" s="500"/>
      <c r="EBD168" s="500"/>
      <c r="EBE168" s="500"/>
      <c r="EBF168" s="500"/>
      <c r="EBG168" s="500"/>
      <c r="EBH168" s="500"/>
      <c r="EBI168" s="500"/>
      <c r="EBJ168" s="500"/>
      <c r="EBK168" s="500"/>
      <c r="EBL168" s="500"/>
      <c r="EBM168" s="500"/>
      <c r="EBN168" s="500"/>
      <c r="EBO168" s="500"/>
      <c r="EBP168" s="500"/>
      <c r="EBQ168" s="500"/>
      <c r="EBR168" s="500"/>
      <c r="EBS168" s="500"/>
      <c r="EBT168" s="500"/>
      <c r="EBU168" s="500"/>
      <c r="EBV168" s="500"/>
      <c r="EBW168" s="500"/>
      <c r="EBX168" s="500"/>
      <c r="EBY168" s="500"/>
      <c r="EBZ168" s="500"/>
      <c r="ECA168" s="500"/>
      <c r="ECB168" s="500"/>
      <c r="ECC168" s="500"/>
      <c r="ECD168" s="500"/>
      <c r="ECE168" s="500"/>
      <c r="ECF168" s="500"/>
      <c r="ECG168" s="500"/>
      <c r="ECH168" s="500"/>
      <c r="ECI168" s="500"/>
      <c r="ECJ168" s="500"/>
      <c r="ECK168" s="500"/>
      <c r="ECL168" s="500"/>
      <c r="ECM168" s="500"/>
      <c r="ECN168" s="500"/>
      <c r="ECO168" s="500"/>
      <c r="ECP168" s="500"/>
      <c r="ECQ168" s="500"/>
      <c r="ECR168" s="500"/>
      <c r="ECS168" s="500"/>
      <c r="ECT168" s="500"/>
      <c r="ECU168" s="500"/>
      <c r="ECV168" s="500"/>
      <c r="ECW168" s="500"/>
      <c r="ECX168" s="500"/>
      <c r="ECY168" s="500"/>
      <c r="ECZ168" s="500"/>
      <c r="EDA168" s="500"/>
      <c r="EDB168" s="500"/>
      <c r="EDC168" s="500"/>
      <c r="EDD168" s="500"/>
      <c r="EDE168" s="500"/>
      <c r="EDF168" s="500"/>
      <c r="EDG168" s="500"/>
      <c r="EDH168" s="500"/>
      <c r="EDI168" s="500"/>
      <c r="EDJ168" s="500"/>
      <c r="EDK168" s="500"/>
      <c r="EDL168" s="500"/>
      <c r="EDM168" s="500"/>
      <c r="EDN168" s="500"/>
      <c r="EDO168" s="500"/>
      <c r="EDP168" s="500"/>
      <c r="EDQ168" s="500"/>
      <c r="EDR168" s="500"/>
      <c r="EDS168" s="500"/>
      <c r="EDT168" s="500"/>
      <c r="EDU168" s="500"/>
      <c r="EDV168" s="500"/>
      <c r="EDW168" s="500"/>
      <c r="EDX168" s="500"/>
      <c r="EDY168" s="500"/>
      <c r="EDZ168" s="500"/>
      <c r="EEA168" s="500"/>
      <c r="EEB168" s="500"/>
      <c r="EEC168" s="500"/>
      <c r="EED168" s="500"/>
      <c r="EEE168" s="500"/>
      <c r="EEF168" s="500"/>
      <c r="EEG168" s="500"/>
      <c r="EEH168" s="500"/>
      <c r="EEI168" s="500"/>
      <c r="EEJ168" s="500"/>
      <c r="EEK168" s="500"/>
      <c r="EEL168" s="500"/>
      <c r="EEM168" s="500"/>
      <c r="EEN168" s="500"/>
      <c r="EEO168" s="500"/>
      <c r="EEP168" s="500"/>
      <c r="EEQ168" s="500"/>
      <c r="EER168" s="500"/>
      <c r="EES168" s="500"/>
      <c r="EET168" s="500"/>
      <c r="EEU168" s="500"/>
      <c r="EEV168" s="500"/>
      <c r="EEW168" s="500"/>
      <c r="EEX168" s="500"/>
      <c r="EEY168" s="500"/>
      <c r="EEZ168" s="500"/>
      <c r="EFA168" s="500"/>
      <c r="EFB168" s="500"/>
      <c r="EFC168" s="500"/>
      <c r="EFD168" s="500"/>
      <c r="EFE168" s="500"/>
      <c r="EFF168" s="500"/>
      <c r="EFG168" s="500"/>
      <c r="EFH168" s="500"/>
      <c r="EFI168" s="500"/>
      <c r="EFJ168" s="500"/>
      <c r="EFK168" s="500"/>
      <c r="EFL168" s="500"/>
      <c r="EFM168" s="500"/>
      <c r="EFN168" s="500"/>
      <c r="EFO168" s="500"/>
      <c r="EFP168" s="500"/>
      <c r="EFQ168" s="500"/>
      <c r="EFR168" s="500"/>
      <c r="EFS168" s="500"/>
      <c r="EFT168" s="500"/>
      <c r="EFU168" s="500"/>
      <c r="EFV168" s="500"/>
      <c r="EFW168" s="500"/>
      <c r="EFX168" s="500"/>
      <c r="EFY168" s="500"/>
      <c r="EFZ168" s="500"/>
      <c r="EGA168" s="500"/>
      <c r="EGB168" s="500"/>
      <c r="EGC168" s="500"/>
      <c r="EGD168" s="500"/>
      <c r="EGE168" s="500"/>
      <c r="EGF168" s="500"/>
      <c r="EGG168" s="500"/>
      <c r="EGH168" s="500"/>
      <c r="EGI168" s="500"/>
      <c r="EGJ168" s="500"/>
      <c r="EGK168" s="500"/>
      <c r="EGL168" s="500"/>
      <c r="EGM168" s="500"/>
      <c r="EGN168" s="500"/>
      <c r="EGO168" s="500"/>
      <c r="EGP168" s="500"/>
      <c r="EGQ168" s="500"/>
      <c r="EGR168" s="500"/>
      <c r="EGS168" s="500"/>
      <c r="EGT168" s="500"/>
      <c r="EGU168" s="500"/>
      <c r="EGV168" s="500"/>
      <c r="EGW168" s="500"/>
      <c r="EGX168" s="500"/>
      <c r="EGY168" s="500"/>
      <c r="EGZ168" s="500"/>
      <c r="EHA168" s="500"/>
      <c r="EHB168" s="500"/>
      <c r="EHC168" s="500"/>
      <c r="EHD168" s="500"/>
      <c r="EHE168" s="500"/>
      <c r="EHF168" s="500"/>
      <c r="EHG168" s="500"/>
      <c r="EHH168" s="500"/>
      <c r="EHI168" s="500"/>
      <c r="EHJ168" s="500"/>
      <c r="EHK168" s="500"/>
      <c r="EHL168" s="500"/>
      <c r="EHM168" s="500"/>
      <c r="EHN168" s="500"/>
      <c r="EHO168" s="500"/>
      <c r="EHP168" s="500"/>
      <c r="EHQ168" s="500"/>
      <c r="EHR168" s="500"/>
      <c r="EHS168" s="500"/>
      <c r="EHT168" s="500"/>
      <c r="EHU168" s="500"/>
      <c r="EHV168" s="500"/>
      <c r="EHW168" s="500"/>
      <c r="EHX168" s="500"/>
      <c r="EHY168" s="500"/>
      <c r="EHZ168" s="500"/>
      <c r="EIA168" s="500"/>
      <c r="EIB168" s="500"/>
      <c r="EIC168" s="500"/>
      <c r="EID168" s="500"/>
      <c r="EIE168" s="500"/>
      <c r="EIF168" s="500"/>
      <c r="EIG168" s="500"/>
      <c r="EIH168" s="500"/>
      <c r="EII168" s="500"/>
      <c r="EIJ168" s="500"/>
      <c r="EIK168" s="500"/>
      <c r="EIL168" s="500"/>
      <c r="EIM168" s="500"/>
      <c r="EIN168" s="500"/>
      <c r="EIO168" s="500"/>
      <c r="EIP168" s="500"/>
      <c r="EIQ168" s="500"/>
      <c r="EIR168" s="500"/>
      <c r="EIS168" s="500"/>
      <c r="EIT168" s="500"/>
      <c r="EIU168" s="500"/>
      <c r="EIV168" s="500"/>
      <c r="EIW168" s="500"/>
      <c r="EIX168" s="500"/>
      <c r="EIY168" s="500"/>
      <c r="EIZ168" s="500"/>
      <c r="EJA168" s="500"/>
      <c r="EJB168" s="500"/>
      <c r="EJC168" s="500"/>
      <c r="EJD168" s="500"/>
      <c r="EJE168" s="500"/>
      <c r="EJF168" s="500"/>
      <c r="EJG168" s="500"/>
      <c r="EJH168" s="500"/>
      <c r="EJI168" s="500"/>
      <c r="EJJ168" s="500"/>
      <c r="EJK168" s="500"/>
      <c r="EJL168" s="500"/>
      <c r="EJM168" s="500"/>
      <c r="EJN168" s="500"/>
      <c r="EJO168" s="500"/>
      <c r="EJP168" s="500"/>
      <c r="EJQ168" s="500"/>
      <c r="EJR168" s="500"/>
      <c r="EJS168" s="500"/>
      <c r="EJT168" s="500"/>
      <c r="EJU168" s="500"/>
      <c r="EJV168" s="500"/>
      <c r="EJW168" s="500"/>
      <c r="EJX168" s="500"/>
      <c r="EJY168" s="500"/>
      <c r="EJZ168" s="500"/>
      <c r="EKA168" s="500"/>
      <c r="EKB168" s="500"/>
      <c r="EKC168" s="500"/>
      <c r="EKD168" s="500"/>
      <c r="EKE168" s="500"/>
      <c r="EKF168" s="500"/>
      <c r="EKG168" s="500"/>
      <c r="EKH168" s="500"/>
      <c r="EKI168" s="500"/>
      <c r="EKJ168" s="500"/>
      <c r="EKK168" s="500"/>
      <c r="EKL168" s="500"/>
      <c r="EKM168" s="500"/>
      <c r="EKN168" s="500"/>
      <c r="EKO168" s="500"/>
      <c r="EKP168" s="500"/>
      <c r="EKQ168" s="500"/>
      <c r="EKR168" s="500"/>
      <c r="EKS168" s="500"/>
      <c r="EKT168" s="500"/>
      <c r="EKU168" s="500"/>
      <c r="EKV168" s="500"/>
      <c r="EKW168" s="500"/>
      <c r="EKX168" s="500"/>
      <c r="EKY168" s="500"/>
      <c r="EKZ168" s="500"/>
      <c r="ELA168" s="500"/>
      <c r="ELB168" s="500"/>
      <c r="ELC168" s="500"/>
      <c r="ELD168" s="500"/>
      <c r="ELE168" s="500"/>
      <c r="ELF168" s="500"/>
      <c r="ELG168" s="500"/>
      <c r="ELH168" s="500"/>
      <c r="ELI168" s="500"/>
      <c r="ELJ168" s="500"/>
      <c r="ELK168" s="500"/>
      <c r="ELL168" s="500"/>
      <c r="ELM168" s="500"/>
      <c r="ELN168" s="500"/>
      <c r="ELO168" s="500"/>
      <c r="ELP168" s="500"/>
      <c r="ELQ168" s="500"/>
      <c r="ELR168" s="500"/>
      <c r="ELS168" s="500"/>
      <c r="ELT168" s="500"/>
      <c r="ELU168" s="500"/>
      <c r="ELV168" s="500"/>
      <c r="ELW168" s="500"/>
      <c r="ELX168" s="500"/>
      <c r="ELY168" s="500"/>
      <c r="ELZ168" s="500"/>
      <c r="EMA168" s="500"/>
      <c r="EMB168" s="500"/>
      <c r="EMC168" s="500"/>
      <c r="EMD168" s="500"/>
      <c r="EME168" s="500"/>
      <c r="EMF168" s="500"/>
      <c r="EMG168" s="500"/>
      <c r="EMH168" s="500"/>
      <c r="EMI168" s="500"/>
      <c r="EMJ168" s="500"/>
      <c r="EMK168" s="500"/>
      <c r="EML168" s="500"/>
      <c r="EMM168" s="500"/>
      <c r="EMN168" s="500"/>
      <c r="EMO168" s="500"/>
      <c r="EMP168" s="500"/>
      <c r="EMQ168" s="500"/>
      <c r="EMR168" s="500"/>
      <c r="EMS168" s="500"/>
      <c r="EMT168" s="500"/>
      <c r="EMU168" s="500"/>
      <c r="EMV168" s="500"/>
      <c r="EMW168" s="500"/>
      <c r="EMX168" s="500"/>
      <c r="EMY168" s="500"/>
      <c r="EMZ168" s="500"/>
      <c r="ENA168" s="500"/>
      <c r="ENB168" s="500"/>
      <c r="ENC168" s="500"/>
      <c r="END168" s="500"/>
      <c r="ENE168" s="500"/>
      <c r="ENF168" s="500"/>
      <c r="ENG168" s="500"/>
      <c r="ENH168" s="500"/>
      <c r="ENI168" s="500"/>
      <c r="ENJ168" s="500"/>
      <c r="ENK168" s="500"/>
      <c r="ENL168" s="500"/>
      <c r="ENM168" s="500"/>
      <c r="ENN168" s="500"/>
      <c r="ENO168" s="500"/>
      <c r="ENP168" s="500"/>
      <c r="ENQ168" s="500"/>
      <c r="ENR168" s="500"/>
      <c r="ENS168" s="500"/>
      <c r="ENT168" s="500"/>
      <c r="ENU168" s="500"/>
      <c r="ENV168" s="500"/>
      <c r="ENW168" s="500"/>
      <c r="ENX168" s="500"/>
      <c r="ENY168" s="500"/>
      <c r="ENZ168" s="500"/>
      <c r="EOA168" s="500"/>
      <c r="EOB168" s="500"/>
      <c r="EOC168" s="500"/>
      <c r="EOD168" s="500"/>
      <c r="EOE168" s="500"/>
      <c r="EOF168" s="500"/>
      <c r="EOG168" s="500"/>
      <c r="EOH168" s="500"/>
      <c r="EOI168" s="500"/>
      <c r="EOJ168" s="500"/>
      <c r="EOK168" s="500"/>
      <c r="EOL168" s="500"/>
      <c r="EOM168" s="500"/>
      <c r="EON168" s="500"/>
      <c r="EOO168" s="500"/>
      <c r="EOP168" s="500"/>
      <c r="EOQ168" s="500"/>
      <c r="EOR168" s="500"/>
      <c r="EOS168" s="500"/>
      <c r="EOT168" s="500"/>
      <c r="EOU168" s="500"/>
      <c r="EOV168" s="500"/>
      <c r="EOW168" s="500"/>
      <c r="EOX168" s="500"/>
      <c r="EOY168" s="500"/>
      <c r="EOZ168" s="500"/>
      <c r="EPA168" s="500"/>
      <c r="EPB168" s="500"/>
      <c r="EPC168" s="500"/>
      <c r="EPD168" s="500"/>
      <c r="EPE168" s="500"/>
      <c r="EPF168" s="500"/>
      <c r="EPG168" s="500"/>
      <c r="EPH168" s="500"/>
      <c r="EPI168" s="500"/>
      <c r="EPJ168" s="500"/>
      <c r="EPK168" s="500"/>
      <c r="EPL168" s="500"/>
      <c r="EPM168" s="500"/>
      <c r="EPN168" s="500"/>
      <c r="EPO168" s="500"/>
      <c r="EPP168" s="500"/>
      <c r="EPQ168" s="500"/>
      <c r="EPR168" s="500"/>
      <c r="EPS168" s="500"/>
      <c r="EPT168" s="500"/>
      <c r="EPU168" s="500"/>
      <c r="EPV168" s="500"/>
      <c r="EPW168" s="500"/>
      <c r="EPX168" s="500"/>
      <c r="EPY168" s="500"/>
      <c r="EPZ168" s="500"/>
      <c r="EQA168" s="500"/>
      <c r="EQB168" s="500"/>
      <c r="EQC168" s="500"/>
      <c r="EQD168" s="500"/>
      <c r="EQE168" s="500"/>
      <c r="EQF168" s="500"/>
      <c r="EQG168" s="500"/>
      <c r="EQH168" s="500"/>
      <c r="EQI168" s="500"/>
      <c r="EQJ168" s="500"/>
      <c r="EQK168" s="500"/>
      <c r="EQL168" s="500"/>
      <c r="EQM168" s="500"/>
      <c r="EQN168" s="500"/>
      <c r="EQO168" s="500"/>
      <c r="EQP168" s="500"/>
      <c r="EQQ168" s="500"/>
      <c r="EQR168" s="500"/>
      <c r="EQS168" s="500"/>
      <c r="EQT168" s="500"/>
      <c r="EQU168" s="500"/>
      <c r="EQV168" s="500"/>
      <c r="EQW168" s="500"/>
      <c r="EQX168" s="500"/>
      <c r="EQY168" s="500"/>
      <c r="EQZ168" s="500"/>
      <c r="ERA168" s="500"/>
      <c r="ERB168" s="500"/>
      <c r="ERC168" s="500"/>
      <c r="ERD168" s="500"/>
      <c r="ERE168" s="500"/>
      <c r="ERF168" s="500"/>
      <c r="ERG168" s="500"/>
      <c r="ERH168" s="500"/>
      <c r="ERI168" s="500"/>
      <c r="ERJ168" s="500"/>
      <c r="ERK168" s="500"/>
      <c r="ERL168" s="500"/>
      <c r="ERM168" s="500"/>
      <c r="ERN168" s="500"/>
      <c r="ERO168" s="500"/>
      <c r="ERP168" s="500"/>
      <c r="ERQ168" s="500"/>
      <c r="ERR168" s="500"/>
      <c r="ERS168" s="500"/>
      <c r="ERT168" s="500"/>
      <c r="ERU168" s="500"/>
      <c r="ERV168" s="500"/>
      <c r="ERW168" s="500"/>
      <c r="ERX168" s="500"/>
      <c r="ERY168" s="500"/>
      <c r="ERZ168" s="500"/>
      <c r="ESA168" s="500"/>
      <c r="ESB168" s="500"/>
      <c r="ESC168" s="500"/>
      <c r="ESD168" s="500"/>
      <c r="ESE168" s="500"/>
      <c r="ESF168" s="500"/>
      <c r="ESG168" s="500"/>
      <c r="ESH168" s="500"/>
      <c r="ESI168" s="500"/>
      <c r="ESJ168" s="500"/>
      <c r="ESK168" s="500"/>
      <c r="ESL168" s="500"/>
      <c r="ESM168" s="500"/>
      <c r="ESN168" s="500"/>
      <c r="ESO168" s="500"/>
      <c r="ESP168" s="500"/>
      <c r="ESQ168" s="500"/>
      <c r="ESR168" s="500"/>
      <c r="ESS168" s="500"/>
      <c r="EST168" s="500"/>
      <c r="ESU168" s="500"/>
      <c r="ESV168" s="500"/>
      <c r="ESW168" s="500"/>
      <c r="ESX168" s="500"/>
      <c r="ESY168" s="500"/>
      <c r="ESZ168" s="500"/>
      <c r="ETA168" s="500"/>
      <c r="ETB168" s="500"/>
      <c r="ETC168" s="500"/>
      <c r="ETD168" s="500"/>
      <c r="ETE168" s="500"/>
      <c r="ETF168" s="500"/>
      <c r="ETG168" s="500"/>
      <c r="ETH168" s="500"/>
      <c r="ETI168" s="500"/>
      <c r="ETJ168" s="500"/>
      <c r="ETK168" s="500"/>
      <c r="ETL168" s="500"/>
      <c r="ETM168" s="500"/>
      <c r="ETN168" s="500"/>
      <c r="ETO168" s="500"/>
      <c r="ETP168" s="500"/>
      <c r="ETQ168" s="500"/>
      <c r="ETR168" s="500"/>
      <c r="ETS168" s="500"/>
      <c r="ETT168" s="500"/>
      <c r="ETU168" s="500"/>
      <c r="ETV168" s="500"/>
      <c r="ETW168" s="500"/>
      <c r="ETX168" s="500"/>
      <c r="ETY168" s="500"/>
      <c r="ETZ168" s="500"/>
      <c r="EUA168" s="500"/>
      <c r="EUB168" s="500"/>
      <c r="EUC168" s="500"/>
      <c r="EUD168" s="500"/>
      <c r="EUE168" s="500"/>
      <c r="EUF168" s="500"/>
      <c r="EUG168" s="500"/>
      <c r="EUH168" s="500"/>
      <c r="EUI168" s="500"/>
      <c r="EUJ168" s="500"/>
      <c r="EUK168" s="500"/>
      <c r="EUL168" s="500"/>
      <c r="EUM168" s="500"/>
      <c r="EUN168" s="500"/>
      <c r="EUO168" s="500"/>
      <c r="EUP168" s="500"/>
      <c r="EUQ168" s="500"/>
      <c r="EUR168" s="500"/>
      <c r="EUS168" s="500"/>
      <c r="EUT168" s="500"/>
      <c r="EUU168" s="500"/>
      <c r="EUV168" s="500"/>
      <c r="EUW168" s="500"/>
      <c r="EUX168" s="500"/>
      <c r="EUY168" s="500"/>
      <c r="EUZ168" s="500"/>
      <c r="EVA168" s="500"/>
      <c r="EVB168" s="500"/>
      <c r="EVC168" s="500"/>
      <c r="EVD168" s="500"/>
      <c r="EVE168" s="500"/>
      <c r="EVF168" s="500"/>
      <c r="EVG168" s="500"/>
      <c r="EVH168" s="500"/>
      <c r="EVI168" s="500"/>
      <c r="EVJ168" s="500"/>
      <c r="EVK168" s="500"/>
      <c r="EVL168" s="500"/>
      <c r="EVM168" s="500"/>
      <c r="EVN168" s="500"/>
      <c r="EVO168" s="500"/>
      <c r="EVP168" s="500"/>
      <c r="EVQ168" s="500"/>
      <c r="EVR168" s="500"/>
      <c r="EVS168" s="500"/>
      <c r="EVT168" s="500"/>
      <c r="EVU168" s="500"/>
      <c r="EVV168" s="500"/>
      <c r="EVW168" s="500"/>
      <c r="EVX168" s="500"/>
      <c r="EVY168" s="500"/>
      <c r="EVZ168" s="500"/>
      <c r="EWA168" s="500"/>
      <c r="EWB168" s="500"/>
      <c r="EWC168" s="500"/>
      <c r="EWD168" s="500"/>
      <c r="EWE168" s="500"/>
      <c r="EWF168" s="500"/>
      <c r="EWG168" s="500"/>
      <c r="EWH168" s="500"/>
      <c r="EWI168" s="500"/>
      <c r="EWJ168" s="500"/>
      <c r="EWK168" s="500"/>
      <c r="EWL168" s="500"/>
      <c r="EWM168" s="500"/>
      <c r="EWN168" s="500"/>
      <c r="EWO168" s="500"/>
      <c r="EWP168" s="500"/>
      <c r="EWQ168" s="500"/>
      <c r="EWR168" s="500"/>
      <c r="EWS168" s="500"/>
      <c r="EWT168" s="500"/>
      <c r="EWU168" s="500"/>
      <c r="EWV168" s="500"/>
      <c r="EWW168" s="500"/>
      <c r="EWX168" s="500"/>
      <c r="EWY168" s="500"/>
      <c r="EWZ168" s="500"/>
      <c r="EXA168" s="500"/>
      <c r="EXB168" s="500"/>
      <c r="EXC168" s="500"/>
      <c r="EXD168" s="500"/>
      <c r="EXE168" s="500"/>
      <c r="EXF168" s="500"/>
      <c r="EXG168" s="500"/>
      <c r="EXH168" s="500"/>
      <c r="EXI168" s="500"/>
      <c r="EXJ168" s="500"/>
      <c r="EXK168" s="500"/>
      <c r="EXL168" s="500"/>
      <c r="EXM168" s="500"/>
      <c r="EXN168" s="500"/>
      <c r="EXO168" s="500"/>
      <c r="EXP168" s="500"/>
      <c r="EXQ168" s="500"/>
      <c r="EXR168" s="500"/>
      <c r="EXS168" s="500"/>
      <c r="EXT168" s="500"/>
      <c r="EXU168" s="500"/>
      <c r="EXV168" s="500"/>
      <c r="EXW168" s="500"/>
      <c r="EXX168" s="500"/>
      <c r="EXY168" s="500"/>
      <c r="EXZ168" s="500"/>
      <c r="EYA168" s="500"/>
      <c r="EYB168" s="500"/>
      <c r="EYC168" s="500"/>
      <c r="EYD168" s="500"/>
      <c r="EYE168" s="500"/>
      <c r="EYF168" s="500"/>
      <c r="EYG168" s="500"/>
      <c r="EYH168" s="500"/>
      <c r="EYI168" s="500"/>
      <c r="EYJ168" s="500"/>
      <c r="EYK168" s="500"/>
      <c r="EYL168" s="500"/>
      <c r="EYM168" s="500"/>
      <c r="EYN168" s="500"/>
      <c r="EYO168" s="500"/>
      <c r="EYP168" s="500"/>
      <c r="EYQ168" s="500"/>
      <c r="EYR168" s="500"/>
      <c r="EYS168" s="500"/>
      <c r="EYT168" s="500"/>
      <c r="EYU168" s="500"/>
      <c r="EYV168" s="500"/>
      <c r="EYW168" s="500"/>
      <c r="EYX168" s="500"/>
      <c r="EYY168" s="500"/>
      <c r="EYZ168" s="500"/>
      <c r="EZA168" s="500"/>
      <c r="EZB168" s="500"/>
      <c r="EZC168" s="500"/>
      <c r="EZD168" s="500"/>
      <c r="EZE168" s="500"/>
      <c r="EZF168" s="500"/>
      <c r="EZG168" s="500"/>
      <c r="EZH168" s="500"/>
      <c r="EZI168" s="500"/>
      <c r="EZJ168" s="500"/>
      <c r="EZK168" s="500"/>
      <c r="EZL168" s="500"/>
      <c r="EZM168" s="500"/>
      <c r="EZN168" s="500"/>
      <c r="EZO168" s="500"/>
      <c r="EZP168" s="500"/>
      <c r="EZQ168" s="500"/>
      <c r="EZR168" s="500"/>
      <c r="EZS168" s="500"/>
      <c r="EZT168" s="500"/>
      <c r="EZU168" s="500"/>
      <c r="EZV168" s="500"/>
      <c r="EZW168" s="500"/>
      <c r="EZX168" s="500"/>
      <c r="EZY168" s="500"/>
      <c r="EZZ168" s="500"/>
      <c r="FAA168" s="500"/>
      <c r="FAB168" s="500"/>
      <c r="FAC168" s="500"/>
      <c r="FAD168" s="500"/>
      <c r="FAE168" s="500"/>
      <c r="FAF168" s="500"/>
      <c r="FAG168" s="500"/>
      <c r="FAH168" s="500"/>
      <c r="FAI168" s="500"/>
      <c r="FAJ168" s="500"/>
      <c r="FAK168" s="500"/>
      <c r="FAL168" s="500"/>
      <c r="FAM168" s="500"/>
      <c r="FAN168" s="500"/>
      <c r="FAO168" s="500"/>
      <c r="FAP168" s="500"/>
      <c r="FAQ168" s="500"/>
      <c r="FAR168" s="500"/>
      <c r="FAS168" s="500"/>
      <c r="FAT168" s="500"/>
      <c r="FAU168" s="500"/>
      <c r="FAV168" s="500"/>
      <c r="FAW168" s="500"/>
      <c r="FAX168" s="500"/>
      <c r="FAY168" s="500"/>
      <c r="FAZ168" s="500"/>
      <c r="FBA168" s="500"/>
      <c r="FBB168" s="500"/>
      <c r="FBC168" s="500"/>
      <c r="FBD168" s="500"/>
      <c r="FBE168" s="500"/>
      <c r="FBF168" s="500"/>
      <c r="FBG168" s="500"/>
      <c r="FBH168" s="500"/>
      <c r="FBI168" s="500"/>
      <c r="FBJ168" s="500"/>
      <c r="FBK168" s="500"/>
      <c r="FBL168" s="500"/>
      <c r="FBM168" s="500"/>
      <c r="FBN168" s="500"/>
      <c r="FBO168" s="500"/>
      <c r="FBP168" s="500"/>
      <c r="FBQ168" s="500"/>
      <c r="FBR168" s="500"/>
      <c r="FBS168" s="500"/>
      <c r="FBT168" s="500"/>
      <c r="FBU168" s="500"/>
      <c r="FBV168" s="500"/>
      <c r="FBW168" s="500"/>
      <c r="FBX168" s="500"/>
      <c r="FBY168" s="500"/>
      <c r="FBZ168" s="500"/>
      <c r="FCA168" s="500"/>
      <c r="FCB168" s="500"/>
      <c r="FCC168" s="500"/>
      <c r="FCD168" s="500"/>
      <c r="FCE168" s="500"/>
      <c r="FCF168" s="500"/>
      <c r="FCG168" s="500"/>
      <c r="FCH168" s="500"/>
      <c r="FCI168" s="500"/>
      <c r="FCJ168" s="500"/>
      <c r="FCK168" s="500"/>
      <c r="FCL168" s="500"/>
      <c r="FCM168" s="500"/>
      <c r="FCN168" s="500"/>
      <c r="FCO168" s="500"/>
      <c r="FCP168" s="500"/>
      <c r="FCQ168" s="500"/>
      <c r="FCR168" s="500"/>
      <c r="FCS168" s="500"/>
      <c r="FCT168" s="500"/>
      <c r="FCU168" s="500"/>
      <c r="FCV168" s="500"/>
      <c r="FCW168" s="500"/>
      <c r="FCX168" s="500"/>
      <c r="FCY168" s="500"/>
      <c r="FCZ168" s="500"/>
      <c r="FDA168" s="500"/>
      <c r="FDB168" s="500"/>
      <c r="FDC168" s="500"/>
      <c r="FDD168" s="500"/>
      <c r="FDE168" s="500"/>
      <c r="FDF168" s="500"/>
      <c r="FDG168" s="500"/>
      <c r="FDH168" s="500"/>
      <c r="FDI168" s="500"/>
      <c r="FDJ168" s="500"/>
      <c r="FDK168" s="500"/>
      <c r="FDL168" s="500"/>
      <c r="FDM168" s="500"/>
      <c r="FDN168" s="500"/>
      <c r="FDO168" s="500"/>
      <c r="FDP168" s="500"/>
      <c r="FDQ168" s="500"/>
      <c r="FDR168" s="500"/>
      <c r="FDS168" s="500"/>
      <c r="FDT168" s="500"/>
      <c r="FDU168" s="500"/>
      <c r="FDV168" s="500"/>
      <c r="FDW168" s="500"/>
      <c r="FDX168" s="500"/>
      <c r="FDY168" s="500"/>
      <c r="FDZ168" s="500"/>
      <c r="FEA168" s="500"/>
      <c r="FEB168" s="500"/>
      <c r="FEC168" s="500"/>
      <c r="FED168" s="500"/>
      <c r="FEE168" s="500"/>
      <c r="FEF168" s="500"/>
      <c r="FEG168" s="500"/>
      <c r="FEH168" s="500"/>
      <c r="FEI168" s="500"/>
      <c r="FEJ168" s="500"/>
      <c r="FEK168" s="500"/>
      <c r="FEL168" s="500"/>
      <c r="FEM168" s="500"/>
      <c r="FEN168" s="500"/>
      <c r="FEO168" s="500"/>
      <c r="FEP168" s="500"/>
      <c r="FEQ168" s="500"/>
      <c r="FER168" s="500"/>
      <c r="FES168" s="500"/>
      <c r="FET168" s="500"/>
      <c r="FEU168" s="500"/>
      <c r="FEV168" s="500"/>
      <c r="FEW168" s="500"/>
      <c r="FEX168" s="500"/>
      <c r="FEY168" s="500"/>
      <c r="FEZ168" s="500"/>
      <c r="FFA168" s="500"/>
      <c r="FFB168" s="500"/>
      <c r="FFC168" s="500"/>
      <c r="FFD168" s="500"/>
      <c r="FFE168" s="500"/>
      <c r="FFF168" s="500"/>
      <c r="FFG168" s="500"/>
      <c r="FFH168" s="500"/>
      <c r="FFI168" s="500"/>
      <c r="FFJ168" s="500"/>
      <c r="FFK168" s="500"/>
      <c r="FFL168" s="500"/>
      <c r="FFM168" s="500"/>
      <c r="FFN168" s="500"/>
      <c r="FFO168" s="500"/>
      <c r="FFP168" s="500"/>
      <c r="FFQ168" s="500"/>
      <c r="FFR168" s="500"/>
      <c r="FFS168" s="500"/>
      <c r="FFT168" s="500"/>
      <c r="FFU168" s="500"/>
      <c r="FFV168" s="500"/>
      <c r="FFW168" s="500"/>
      <c r="FFX168" s="500"/>
      <c r="FFY168" s="500"/>
      <c r="FFZ168" s="500"/>
      <c r="FGA168" s="500"/>
      <c r="FGB168" s="500"/>
      <c r="FGC168" s="500"/>
      <c r="FGD168" s="500"/>
      <c r="FGE168" s="500"/>
      <c r="FGF168" s="500"/>
      <c r="FGG168" s="500"/>
      <c r="FGH168" s="500"/>
      <c r="FGI168" s="500"/>
      <c r="FGJ168" s="500"/>
      <c r="FGK168" s="500"/>
      <c r="FGL168" s="500"/>
      <c r="FGM168" s="500"/>
      <c r="FGN168" s="500"/>
      <c r="FGO168" s="500"/>
      <c r="FGP168" s="500"/>
      <c r="FGQ168" s="500"/>
      <c r="FGR168" s="500"/>
      <c r="FGS168" s="500"/>
      <c r="FGT168" s="500"/>
      <c r="FGU168" s="500"/>
      <c r="FGV168" s="500"/>
      <c r="FGW168" s="500"/>
      <c r="FGX168" s="500"/>
      <c r="FGY168" s="500"/>
      <c r="FGZ168" s="500"/>
      <c r="FHA168" s="500"/>
      <c r="FHB168" s="500"/>
      <c r="FHC168" s="500"/>
      <c r="FHD168" s="500"/>
      <c r="FHE168" s="500"/>
      <c r="FHF168" s="500"/>
      <c r="FHG168" s="500"/>
      <c r="FHH168" s="500"/>
      <c r="FHI168" s="500"/>
      <c r="FHJ168" s="500"/>
      <c r="FHK168" s="500"/>
      <c r="FHL168" s="500"/>
      <c r="FHM168" s="500"/>
      <c r="FHN168" s="500"/>
      <c r="FHO168" s="500"/>
      <c r="FHP168" s="500"/>
      <c r="FHQ168" s="500"/>
      <c r="FHR168" s="500"/>
      <c r="FHS168" s="500"/>
      <c r="FHT168" s="500"/>
      <c r="FHU168" s="500"/>
      <c r="FHV168" s="500"/>
      <c r="FHW168" s="500"/>
      <c r="FHX168" s="500"/>
      <c r="FHY168" s="500"/>
      <c r="FHZ168" s="500"/>
      <c r="FIA168" s="500"/>
      <c r="FIB168" s="500"/>
      <c r="FIC168" s="500"/>
      <c r="FID168" s="500"/>
      <c r="FIE168" s="500"/>
      <c r="FIF168" s="500"/>
      <c r="FIG168" s="500"/>
      <c r="FIH168" s="500"/>
      <c r="FII168" s="500"/>
      <c r="FIJ168" s="500"/>
      <c r="FIK168" s="500"/>
      <c r="FIL168" s="500"/>
      <c r="FIM168" s="500"/>
      <c r="FIN168" s="500"/>
      <c r="FIO168" s="500"/>
      <c r="FIP168" s="500"/>
      <c r="FIQ168" s="500"/>
      <c r="FIR168" s="500"/>
      <c r="FIS168" s="500"/>
      <c r="FIT168" s="500"/>
      <c r="FIU168" s="500"/>
      <c r="FIV168" s="500"/>
      <c r="FIW168" s="500"/>
      <c r="FIX168" s="500"/>
      <c r="FIY168" s="500"/>
      <c r="FIZ168" s="500"/>
      <c r="FJA168" s="500"/>
      <c r="FJB168" s="500"/>
      <c r="FJC168" s="500"/>
      <c r="FJD168" s="500"/>
      <c r="FJE168" s="500"/>
      <c r="FJF168" s="500"/>
      <c r="FJG168" s="500"/>
      <c r="FJH168" s="500"/>
      <c r="FJI168" s="500"/>
      <c r="FJJ168" s="500"/>
      <c r="FJK168" s="500"/>
      <c r="FJL168" s="500"/>
      <c r="FJM168" s="500"/>
      <c r="FJN168" s="500"/>
      <c r="FJO168" s="500"/>
      <c r="FJP168" s="500"/>
      <c r="FJQ168" s="500"/>
      <c r="FJR168" s="500"/>
      <c r="FJS168" s="500"/>
      <c r="FJT168" s="500"/>
      <c r="FJU168" s="500"/>
      <c r="FJV168" s="500"/>
      <c r="FJW168" s="500"/>
      <c r="FJX168" s="500"/>
      <c r="FJY168" s="500"/>
      <c r="FJZ168" s="500"/>
      <c r="FKA168" s="500"/>
      <c r="FKB168" s="500"/>
      <c r="FKC168" s="500"/>
      <c r="FKD168" s="500"/>
      <c r="FKE168" s="500"/>
      <c r="FKF168" s="500"/>
      <c r="FKG168" s="500"/>
      <c r="FKH168" s="500"/>
      <c r="FKI168" s="500"/>
      <c r="FKJ168" s="500"/>
      <c r="FKK168" s="500"/>
      <c r="FKL168" s="500"/>
      <c r="FKM168" s="500"/>
      <c r="FKN168" s="500"/>
      <c r="FKO168" s="500"/>
      <c r="FKP168" s="500"/>
      <c r="FKQ168" s="500"/>
      <c r="FKR168" s="500"/>
      <c r="FKS168" s="500"/>
      <c r="FKT168" s="500"/>
      <c r="FKU168" s="500"/>
      <c r="FKV168" s="500"/>
      <c r="FKW168" s="500"/>
      <c r="FKX168" s="500"/>
      <c r="FKY168" s="500"/>
      <c r="FKZ168" s="500"/>
      <c r="FLA168" s="500"/>
      <c r="FLB168" s="500"/>
      <c r="FLC168" s="500"/>
      <c r="FLD168" s="500"/>
      <c r="FLE168" s="500"/>
      <c r="FLF168" s="500"/>
      <c r="FLG168" s="500"/>
      <c r="FLH168" s="500"/>
      <c r="FLI168" s="500"/>
      <c r="FLJ168" s="500"/>
      <c r="FLK168" s="500"/>
      <c r="FLL168" s="500"/>
      <c r="FLM168" s="500"/>
      <c r="FLN168" s="500"/>
      <c r="FLO168" s="500"/>
      <c r="FLP168" s="500"/>
      <c r="FLQ168" s="500"/>
      <c r="FLR168" s="500"/>
      <c r="FLS168" s="500"/>
      <c r="FLT168" s="500"/>
      <c r="FLU168" s="500"/>
      <c r="FLV168" s="500"/>
      <c r="FLW168" s="500"/>
      <c r="FLX168" s="500"/>
      <c r="FLY168" s="500"/>
      <c r="FLZ168" s="500"/>
      <c r="FMA168" s="500"/>
      <c r="FMB168" s="500"/>
      <c r="FMC168" s="500"/>
      <c r="FMD168" s="500"/>
      <c r="FME168" s="500"/>
      <c r="FMF168" s="500"/>
      <c r="FMG168" s="500"/>
      <c r="FMH168" s="500"/>
      <c r="FMI168" s="500"/>
      <c r="FMJ168" s="500"/>
      <c r="FMK168" s="500"/>
      <c r="FML168" s="500"/>
      <c r="FMM168" s="500"/>
      <c r="FMN168" s="500"/>
      <c r="FMO168" s="500"/>
      <c r="FMP168" s="500"/>
      <c r="FMQ168" s="500"/>
      <c r="FMR168" s="500"/>
      <c r="FMS168" s="500"/>
      <c r="FMT168" s="500"/>
      <c r="FMU168" s="500"/>
      <c r="FMV168" s="500"/>
      <c r="FMW168" s="500"/>
      <c r="FMX168" s="500"/>
      <c r="FMY168" s="500"/>
      <c r="FMZ168" s="500"/>
      <c r="FNA168" s="500"/>
      <c r="FNB168" s="500"/>
      <c r="FNC168" s="500"/>
      <c r="FND168" s="500"/>
      <c r="FNE168" s="500"/>
      <c r="FNF168" s="500"/>
      <c r="FNG168" s="500"/>
      <c r="FNH168" s="500"/>
      <c r="FNI168" s="500"/>
      <c r="FNJ168" s="500"/>
      <c r="FNK168" s="500"/>
      <c r="FNL168" s="500"/>
      <c r="FNM168" s="500"/>
      <c r="FNN168" s="500"/>
      <c r="FNO168" s="500"/>
      <c r="FNP168" s="500"/>
      <c r="FNQ168" s="500"/>
      <c r="FNR168" s="500"/>
      <c r="FNS168" s="500"/>
      <c r="FNT168" s="500"/>
      <c r="FNU168" s="500"/>
      <c r="FNV168" s="500"/>
      <c r="FNW168" s="500"/>
      <c r="FNX168" s="500"/>
      <c r="FNY168" s="500"/>
      <c r="FNZ168" s="500"/>
      <c r="FOA168" s="500"/>
      <c r="FOB168" s="500"/>
      <c r="FOC168" s="500"/>
      <c r="FOD168" s="500"/>
      <c r="FOE168" s="500"/>
      <c r="FOF168" s="500"/>
      <c r="FOG168" s="500"/>
      <c r="FOH168" s="500"/>
      <c r="FOI168" s="500"/>
      <c r="FOJ168" s="500"/>
      <c r="FOK168" s="500"/>
      <c r="FOL168" s="500"/>
      <c r="FOM168" s="500"/>
      <c r="FON168" s="500"/>
      <c r="FOO168" s="500"/>
      <c r="FOP168" s="500"/>
      <c r="FOQ168" s="500"/>
      <c r="FOR168" s="500"/>
      <c r="FOS168" s="500"/>
      <c r="FOT168" s="500"/>
      <c r="FOU168" s="500"/>
      <c r="FOV168" s="500"/>
      <c r="FOW168" s="500"/>
      <c r="FOX168" s="500"/>
      <c r="FOY168" s="500"/>
      <c r="FOZ168" s="500"/>
      <c r="FPA168" s="500"/>
      <c r="FPB168" s="500"/>
      <c r="FPC168" s="500"/>
      <c r="FPD168" s="500"/>
      <c r="FPE168" s="500"/>
      <c r="FPF168" s="500"/>
      <c r="FPG168" s="500"/>
      <c r="FPH168" s="500"/>
      <c r="FPI168" s="500"/>
      <c r="FPJ168" s="500"/>
      <c r="FPK168" s="500"/>
      <c r="FPL168" s="500"/>
      <c r="FPM168" s="500"/>
      <c r="FPN168" s="500"/>
      <c r="FPO168" s="500"/>
      <c r="FPP168" s="500"/>
      <c r="FPQ168" s="500"/>
      <c r="FPR168" s="500"/>
      <c r="FPS168" s="500"/>
      <c r="FPT168" s="500"/>
      <c r="FPU168" s="500"/>
      <c r="FPV168" s="500"/>
      <c r="FPW168" s="500"/>
      <c r="FPX168" s="500"/>
      <c r="FPY168" s="500"/>
      <c r="FPZ168" s="500"/>
      <c r="FQA168" s="500"/>
      <c r="FQB168" s="500"/>
      <c r="FQC168" s="500"/>
      <c r="FQD168" s="500"/>
      <c r="FQE168" s="500"/>
      <c r="FQF168" s="500"/>
      <c r="FQG168" s="500"/>
      <c r="FQH168" s="500"/>
      <c r="FQI168" s="500"/>
      <c r="FQJ168" s="500"/>
      <c r="FQK168" s="500"/>
      <c r="FQL168" s="500"/>
      <c r="FQM168" s="500"/>
      <c r="FQN168" s="500"/>
      <c r="FQO168" s="500"/>
      <c r="FQP168" s="500"/>
      <c r="FQQ168" s="500"/>
      <c r="FQR168" s="500"/>
      <c r="FQS168" s="500"/>
      <c r="FQT168" s="500"/>
      <c r="FQU168" s="500"/>
      <c r="FQV168" s="500"/>
      <c r="FQW168" s="500"/>
      <c r="FQX168" s="500"/>
      <c r="FQY168" s="500"/>
      <c r="FQZ168" s="500"/>
      <c r="FRA168" s="500"/>
      <c r="FRB168" s="500"/>
      <c r="FRC168" s="500"/>
      <c r="FRD168" s="500"/>
      <c r="FRE168" s="500"/>
      <c r="FRF168" s="500"/>
      <c r="FRG168" s="500"/>
      <c r="FRH168" s="500"/>
      <c r="FRI168" s="500"/>
      <c r="FRJ168" s="500"/>
      <c r="FRK168" s="500"/>
      <c r="FRL168" s="500"/>
      <c r="FRM168" s="500"/>
      <c r="FRN168" s="500"/>
      <c r="FRO168" s="500"/>
      <c r="FRP168" s="500"/>
      <c r="FRQ168" s="500"/>
      <c r="FRR168" s="500"/>
      <c r="FRS168" s="500"/>
      <c r="FRT168" s="500"/>
      <c r="FRU168" s="500"/>
      <c r="FRV168" s="500"/>
      <c r="FRW168" s="500"/>
      <c r="FRX168" s="500"/>
      <c r="FRY168" s="500"/>
      <c r="FRZ168" s="500"/>
      <c r="FSA168" s="500"/>
      <c r="FSB168" s="500"/>
      <c r="FSC168" s="500"/>
      <c r="FSD168" s="500"/>
      <c r="FSE168" s="500"/>
      <c r="FSF168" s="500"/>
      <c r="FSG168" s="500"/>
      <c r="FSH168" s="500"/>
      <c r="FSI168" s="500"/>
      <c r="FSJ168" s="500"/>
      <c r="FSK168" s="500"/>
      <c r="FSL168" s="500"/>
      <c r="FSM168" s="500"/>
      <c r="FSN168" s="500"/>
      <c r="FSO168" s="500"/>
      <c r="FSP168" s="500"/>
      <c r="FSQ168" s="500"/>
      <c r="FSR168" s="500"/>
      <c r="FSS168" s="500"/>
      <c r="FST168" s="500"/>
      <c r="FSU168" s="500"/>
      <c r="FSV168" s="500"/>
      <c r="FSW168" s="500"/>
      <c r="FSX168" s="500"/>
      <c r="FSY168" s="500"/>
      <c r="FSZ168" s="500"/>
      <c r="FTA168" s="500"/>
      <c r="FTB168" s="500"/>
      <c r="FTC168" s="500"/>
      <c r="FTD168" s="500"/>
      <c r="FTE168" s="500"/>
      <c r="FTF168" s="500"/>
      <c r="FTG168" s="500"/>
      <c r="FTH168" s="500"/>
      <c r="FTI168" s="500"/>
      <c r="FTJ168" s="500"/>
      <c r="FTK168" s="500"/>
      <c r="FTL168" s="500"/>
      <c r="FTM168" s="500"/>
      <c r="FTN168" s="500"/>
      <c r="FTO168" s="500"/>
      <c r="FTP168" s="500"/>
      <c r="FTQ168" s="500"/>
      <c r="FTR168" s="500"/>
      <c r="FTS168" s="500"/>
      <c r="FTT168" s="500"/>
      <c r="FTU168" s="500"/>
      <c r="FTV168" s="500"/>
      <c r="FTW168" s="500"/>
      <c r="FTX168" s="500"/>
      <c r="FTY168" s="500"/>
      <c r="FTZ168" s="500"/>
      <c r="FUA168" s="500"/>
      <c r="FUB168" s="500"/>
      <c r="FUC168" s="500"/>
      <c r="FUD168" s="500"/>
      <c r="FUE168" s="500"/>
      <c r="FUF168" s="500"/>
      <c r="FUG168" s="500"/>
      <c r="FUH168" s="500"/>
      <c r="FUI168" s="500"/>
      <c r="FUJ168" s="500"/>
      <c r="FUK168" s="500"/>
      <c r="FUL168" s="500"/>
      <c r="FUM168" s="500"/>
      <c r="FUN168" s="500"/>
      <c r="FUO168" s="500"/>
      <c r="FUP168" s="500"/>
      <c r="FUQ168" s="500"/>
      <c r="FUR168" s="500"/>
      <c r="FUS168" s="500"/>
      <c r="FUT168" s="500"/>
      <c r="FUU168" s="500"/>
      <c r="FUV168" s="500"/>
      <c r="FUW168" s="500"/>
      <c r="FUX168" s="500"/>
      <c r="FUY168" s="500"/>
      <c r="FUZ168" s="500"/>
      <c r="FVA168" s="500"/>
      <c r="FVB168" s="500"/>
      <c r="FVC168" s="500"/>
      <c r="FVD168" s="500"/>
      <c r="FVE168" s="500"/>
      <c r="FVF168" s="500"/>
      <c r="FVG168" s="500"/>
      <c r="FVH168" s="500"/>
      <c r="FVI168" s="500"/>
      <c r="FVJ168" s="500"/>
      <c r="FVK168" s="500"/>
      <c r="FVL168" s="500"/>
      <c r="FVM168" s="500"/>
      <c r="FVN168" s="500"/>
      <c r="FVO168" s="500"/>
      <c r="FVP168" s="500"/>
      <c r="FVQ168" s="500"/>
      <c r="FVR168" s="500"/>
      <c r="FVS168" s="500"/>
      <c r="FVT168" s="500"/>
      <c r="FVU168" s="500"/>
      <c r="FVV168" s="500"/>
      <c r="FVW168" s="500"/>
      <c r="FVX168" s="500"/>
      <c r="FVY168" s="500"/>
      <c r="FVZ168" s="500"/>
      <c r="FWA168" s="500"/>
      <c r="FWB168" s="500"/>
      <c r="FWC168" s="500"/>
      <c r="FWD168" s="500"/>
      <c r="FWE168" s="500"/>
      <c r="FWF168" s="500"/>
      <c r="FWG168" s="500"/>
      <c r="FWH168" s="500"/>
      <c r="FWI168" s="500"/>
      <c r="FWJ168" s="500"/>
      <c r="FWK168" s="500"/>
      <c r="FWL168" s="500"/>
      <c r="FWM168" s="500"/>
      <c r="FWN168" s="500"/>
      <c r="FWO168" s="500"/>
      <c r="FWP168" s="500"/>
      <c r="FWQ168" s="500"/>
      <c r="FWR168" s="500"/>
      <c r="FWS168" s="500"/>
      <c r="FWT168" s="500"/>
      <c r="FWU168" s="500"/>
      <c r="FWV168" s="500"/>
      <c r="FWW168" s="500"/>
      <c r="FWX168" s="500"/>
      <c r="FWY168" s="500"/>
      <c r="FWZ168" s="500"/>
      <c r="FXA168" s="500"/>
      <c r="FXB168" s="500"/>
      <c r="FXC168" s="500"/>
      <c r="FXD168" s="500"/>
      <c r="FXE168" s="500"/>
      <c r="FXF168" s="500"/>
      <c r="FXG168" s="500"/>
      <c r="FXH168" s="500"/>
      <c r="FXI168" s="500"/>
      <c r="FXJ168" s="500"/>
      <c r="FXK168" s="500"/>
      <c r="FXL168" s="500"/>
      <c r="FXM168" s="500"/>
      <c r="FXN168" s="500"/>
      <c r="FXO168" s="500"/>
      <c r="FXP168" s="500"/>
      <c r="FXQ168" s="500"/>
      <c r="FXR168" s="500"/>
      <c r="FXS168" s="500"/>
      <c r="FXT168" s="500"/>
      <c r="FXU168" s="500"/>
      <c r="FXV168" s="500"/>
      <c r="FXW168" s="500"/>
      <c r="FXX168" s="500"/>
      <c r="FXY168" s="500"/>
      <c r="FXZ168" s="500"/>
      <c r="FYA168" s="500"/>
      <c r="FYB168" s="500"/>
      <c r="FYC168" s="500"/>
      <c r="FYD168" s="500"/>
      <c r="FYE168" s="500"/>
      <c r="FYF168" s="500"/>
      <c r="FYG168" s="500"/>
      <c r="FYH168" s="500"/>
      <c r="FYI168" s="500"/>
      <c r="FYJ168" s="500"/>
      <c r="FYK168" s="500"/>
      <c r="FYL168" s="500"/>
      <c r="FYM168" s="500"/>
      <c r="FYN168" s="500"/>
      <c r="FYO168" s="500"/>
      <c r="FYP168" s="500"/>
      <c r="FYQ168" s="500"/>
      <c r="FYR168" s="500"/>
      <c r="FYS168" s="500"/>
      <c r="FYT168" s="500"/>
      <c r="FYU168" s="500"/>
      <c r="FYV168" s="500"/>
      <c r="FYW168" s="500"/>
      <c r="FYX168" s="500"/>
      <c r="FYY168" s="500"/>
      <c r="FYZ168" s="500"/>
      <c r="FZA168" s="500"/>
      <c r="FZB168" s="500"/>
      <c r="FZC168" s="500"/>
      <c r="FZD168" s="500"/>
      <c r="FZE168" s="500"/>
      <c r="FZF168" s="500"/>
      <c r="FZG168" s="500"/>
      <c r="FZH168" s="500"/>
      <c r="FZI168" s="500"/>
      <c r="FZJ168" s="500"/>
      <c r="FZK168" s="500"/>
      <c r="FZL168" s="500"/>
      <c r="FZM168" s="500"/>
      <c r="FZN168" s="500"/>
      <c r="FZO168" s="500"/>
      <c r="FZP168" s="500"/>
      <c r="FZQ168" s="500"/>
      <c r="FZR168" s="500"/>
      <c r="FZS168" s="500"/>
      <c r="FZT168" s="500"/>
      <c r="FZU168" s="500"/>
      <c r="FZV168" s="500"/>
      <c r="FZW168" s="500"/>
      <c r="FZX168" s="500"/>
      <c r="FZY168" s="500"/>
      <c r="FZZ168" s="500"/>
      <c r="GAA168" s="500"/>
      <c r="GAB168" s="500"/>
      <c r="GAC168" s="500"/>
      <c r="GAD168" s="500"/>
      <c r="GAE168" s="500"/>
      <c r="GAF168" s="500"/>
      <c r="GAG168" s="500"/>
      <c r="GAH168" s="500"/>
      <c r="GAI168" s="500"/>
      <c r="GAJ168" s="500"/>
      <c r="GAK168" s="500"/>
      <c r="GAL168" s="500"/>
      <c r="GAM168" s="500"/>
      <c r="GAN168" s="500"/>
      <c r="GAO168" s="500"/>
      <c r="GAP168" s="500"/>
      <c r="GAQ168" s="500"/>
      <c r="GAR168" s="500"/>
      <c r="GAS168" s="500"/>
      <c r="GAT168" s="500"/>
      <c r="GAU168" s="500"/>
      <c r="GAV168" s="500"/>
      <c r="GAW168" s="500"/>
      <c r="GAX168" s="500"/>
      <c r="GAY168" s="500"/>
      <c r="GAZ168" s="500"/>
      <c r="GBA168" s="500"/>
      <c r="GBB168" s="500"/>
      <c r="GBC168" s="500"/>
      <c r="GBD168" s="500"/>
      <c r="GBE168" s="500"/>
      <c r="GBF168" s="500"/>
      <c r="GBG168" s="500"/>
      <c r="GBH168" s="500"/>
      <c r="GBI168" s="500"/>
      <c r="GBJ168" s="500"/>
      <c r="GBK168" s="500"/>
      <c r="GBL168" s="500"/>
      <c r="GBM168" s="500"/>
      <c r="GBN168" s="500"/>
      <c r="GBO168" s="500"/>
      <c r="GBP168" s="500"/>
      <c r="GBQ168" s="500"/>
      <c r="GBR168" s="500"/>
      <c r="GBS168" s="500"/>
      <c r="GBT168" s="500"/>
      <c r="GBU168" s="500"/>
      <c r="GBV168" s="500"/>
      <c r="GBW168" s="500"/>
      <c r="GBX168" s="500"/>
      <c r="GBY168" s="500"/>
      <c r="GBZ168" s="500"/>
      <c r="GCA168" s="500"/>
      <c r="GCB168" s="500"/>
      <c r="GCC168" s="500"/>
      <c r="GCD168" s="500"/>
      <c r="GCE168" s="500"/>
      <c r="GCF168" s="500"/>
      <c r="GCG168" s="500"/>
      <c r="GCH168" s="500"/>
      <c r="GCI168" s="500"/>
      <c r="GCJ168" s="500"/>
      <c r="GCK168" s="500"/>
      <c r="GCL168" s="500"/>
      <c r="GCM168" s="500"/>
      <c r="GCN168" s="500"/>
      <c r="GCO168" s="500"/>
      <c r="GCP168" s="500"/>
      <c r="GCQ168" s="500"/>
      <c r="GCR168" s="500"/>
      <c r="GCS168" s="500"/>
      <c r="GCT168" s="500"/>
      <c r="GCU168" s="500"/>
      <c r="GCV168" s="500"/>
      <c r="GCW168" s="500"/>
      <c r="GCX168" s="500"/>
      <c r="GCY168" s="500"/>
      <c r="GCZ168" s="500"/>
      <c r="GDA168" s="500"/>
      <c r="GDB168" s="500"/>
      <c r="GDC168" s="500"/>
      <c r="GDD168" s="500"/>
      <c r="GDE168" s="500"/>
      <c r="GDF168" s="500"/>
      <c r="GDG168" s="500"/>
      <c r="GDH168" s="500"/>
      <c r="GDI168" s="500"/>
      <c r="GDJ168" s="500"/>
      <c r="GDK168" s="500"/>
      <c r="GDL168" s="500"/>
      <c r="GDM168" s="500"/>
      <c r="GDN168" s="500"/>
      <c r="GDO168" s="500"/>
      <c r="GDP168" s="500"/>
      <c r="GDQ168" s="500"/>
      <c r="GDR168" s="500"/>
      <c r="GDS168" s="500"/>
      <c r="GDT168" s="500"/>
      <c r="GDU168" s="500"/>
      <c r="GDV168" s="500"/>
      <c r="GDW168" s="500"/>
      <c r="GDX168" s="500"/>
      <c r="GDY168" s="500"/>
      <c r="GDZ168" s="500"/>
      <c r="GEA168" s="500"/>
      <c r="GEB168" s="500"/>
      <c r="GEC168" s="500"/>
      <c r="GED168" s="500"/>
      <c r="GEE168" s="500"/>
      <c r="GEF168" s="500"/>
      <c r="GEG168" s="500"/>
      <c r="GEH168" s="500"/>
      <c r="GEI168" s="500"/>
      <c r="GEJ168" s="500"/>
      <c r="GEK168" s="500"/>
      <c r="GEL168" s="500"/>
      <c r="GEM168" s="500"/>
      <c r="GEN168" s="500"/>
      <c r="GEO168" s="500"/>
      <c r="GEP168" s="500"/>
      <c r="GEQ168" s="500"/>
      <c r="GER168" s="500"/>
      <c r="GES168" s="500"/>
      <c r="GET168" s="500"/>
      <c r="GEU168" s="500"/>
      <c r="GEV168" s="500"/>
      <c r="GEW168" s="500"/>
      <c r="GEX168" s="500"/>
      <c r="GEY168" s="500"/>
      <c r="GEZ168" s="500"/>
      <c r="GFA168" s="500"/>
      <c r="GFB168" s="500"/>
      <c r="GFC168" s="500"/>
      <c r="GFD168" s="500"/>
      <c r="GFE168" s="500"/>
      <c r="GFF168" s="500"/>
      <c r="GFG168" s="500"/>
      <c r="GFH168" s="500"/>
      <c r="GFI168" s="500"/>
      <c r="GFJ168" s="500"/>
      <c r="GFK168" s="500"/>
      <c r="GFL168" s="500"/>
      <c r="GFM168" s="500"/>
      <c r="GFN168" s="500"/>
      <c r="GFO168" s="500"/>
      <c r="GFP168" s="500"/>
      <c r="GFQ168" s="500"/>
      <c r="GFR168" s="500"/>
      <c r="GFS168" s="500"/>
      <c r="GFT168" s="500"/>
      <c r="GFU168" s="500"/>
      <c r="GFV168" s="500"/>
      <c r="GFW168" s="500"/>
      <c r="GFX168" s="500"/>
      <c r="GFY168" s="500"/>
      <c r="GFZ168" s="500"/>
      <c r="GGA168" s="500"/>
      <c r="GGB168" s="500"/>
      <c r="GGC168" s="500"/>
      <c r="GGD168" s="500"/>
      <c r="GGE168" s="500"/>
      <c r="GGF168" s="500"/>
      <c r="GGG168" s="500"/>
      <c r="GGH168" s="500"/>
      <c r="GGI168" s="500"/>
      <c r="GGJ168" s="500"/>
      <c r="GGK168" s="500"/>
      <c r="GGL168" s="500"/>
      <c r="GGM168" s="500"/>
      <c r="GGN168" s="500"/>
      <c r="GGO168" s="500"/>
      <c r="GGP168" s="500"/>
      <c r="GGQ168" s="500"/>
      <c r="GGR168" s="500"/>
      <c r="GGS168" s="500"/>
      <c r="GGT168" s="500"/>
      <c r="GGU168" s="500"/>
      <c r="GGV168" s="500"/>
      <c r="GGW168" s="500"/>
      <c r="GGX168" s="500"/>
      <c r="GGY168" s="500"/>
      <c r="GGZ168" s="500"/>
      <c r="GHA168" s="500"/>
      <c r="GHB168" s="500"/>
      <c r="GHC168" s="500"/>
      <c r="GHD168" s="500"/>
      <c r="GHE168" s="500"/>
      <c r="GHF168" s="500"/>
      <c r="GHG168" s="500"/>
      <c r="GHH168" s="500"/>
      <c r="GHI168" s="500"/>
      <c r="GHJ168" s="500"/>
      <c r="GHK168" s="500"/>
      <c r="GHL168" s="500"/>
      <c r="GHM168" s="500"/>
      <c r="GHN168" s="500"/>
      <c r="GHO168" s="500"/>
      <c r="GHP168" s="500"/>
      <c r="GHQ168" s="500"/>
      <c r="GHR168" s="500"/>
      <c r="GHS168" s="500"/>
      <c r="GHT168" s="500"/>
      <c r="GHU168" s="500"/>
      <c r="GHV168" s="500"/>
      <c r="GHW168" s="500"/>
      <c r="GHX168" s="500"/>
      <c r="GHY168" s="500"/>
      <c r="GHZ168" s="500"/>
      <c r="GIA168" s="500"/>
      <c r="GIB168" s="500"/>
      <c r="GIC168" s="500"/>
      <c r="GID168" s="500"/>
      <c r="GIE168" s="500"/>
      <c r="GIF168" s="500"/>
      <c r="GIG168" s="500"/>
      <c r="GIH168" s="500"/>
      <c r="GII168" s="500"/>
      <c r="GIJ168" s="500"/>
      <c r="GIK168" s="500"/>
      <c r="GIL168" s="500"/>
      <c r="GIM168" s="500"/>
      <c r="GIN168" s="500"/>
      <c r="GIO168" s="500"/>
      <c r="GIP168" s="500"/>
      <c r="GIQ168" s="500"/>
      <c r="GIR168" s="500"/>
      <c r="GIS168" s="500"/>
      <c r="GIT168" s="500"/>
      <c r="GIU168" s="500"/>
      <c r="GIV168" s="500"/>
      <c r="GIW168" s="500"/>
      <c r="GIX168" s="500"/>
      <c r="GIY168" s="500"/>
      <c r="GIZ168" s="500"/>
      <c r="GJA168" s="500"/>
      <c r="GJB168" s="500"/>
      <c r="GJC168" s="500"/>
      <c r="GJD168" s="500"/>
      <c r="GJE168" s="500"/>
      <c r="GJF168" s="500"/>
      <c r="GJG168" s="500"/>
      <c r="GJH168" s="500"/>
      <c r="GJI168" s="500"/>
      <c r="GJJ168" s="500"/>
      <c r="GJK168" s="500"/>
      <c r="GJL168" s="500"/>
      <c r="GJM168" s="500"/>
      <c r="GJN168" s="500"/>
      <c r="GJO168" s="500"/>
      <c r="GJP168" s="500"/>
      <c r="GJQ168" s="500"/>
      <c r="GJR168" s="500"/>
      <c r="GJS168" s="500"/>
      <c r="GJT168" s="500"/>
      <c r="GJU168" s="500"/>
      <c r="GJV168" s="500"/>
      <c r="GJW168" s="500"/>
      <c r="GJX168" s="500"/>
      <c r="GJY168" s="500"/>
      <c r="GJZ168" s="500"/>
      <c r="GKA168" s="500"/>
      <c r="GKB168" s="500"/>
      <c r="GKC168" s="500"/>
      <c r="GKD168" s="500"/>
      <c r="GKE168" s="500"/>
      <c r="GKF168" s="500"/>
      <c r="GKG168" s="500"/>
      <c r="GKH168" s="500"/>
      <c r="GKI168" s="500"/>
      <c r="GKJ168" s="500"/>
      <c r="GKK168" s="500"/>
      <c r="GKL168" s="500"/>
      <c r="GKM168" s="500"/>
      <c r="GKN168" s="500"/>
      <c r="GKO168" s="500"/>
      <c r="GKP168" s="500"/>
      <c r="GKQ168" s="500"/>
      <c r="GKR168" s="500"/>
      <c r="GKS168" s="500"/>
      <c r="GKT168" s="500"/>
      <c r="GKU168" s="500"/>
      <c r="GKV168" s="500"/>
      <c r="GKW168" s="500"/>
      <c r="GKX168" s="500"/>
      <c r="GKY168" s="500"/>
      <c r="GKZ168" s="500"/>
      <c r="GLA168" s="500"/>
      <c r="GLB168" s="500"/>
      <c r="GLC168" s="500"/>
      <c r="GLD168" s="500"/>
      <c r="GLE168" s="500"/>
      <c r="GLF168" s="500"/>
      <c r="GLG168" s="500"/>
      <c r="GLH168" s="500"/>
      <c r="GLI168" s="500"/>
      <c r="GLJ168" s="500"/>
      <c r="GLK168" s="500"/>
      <c r="GLL168" s="500"/>
      <c r="GLM168" s="500"/>
      <c r="GLN168" s="500"/>
      <c r="GLO168" s="500"/>
      <c r="GLP168" s="500"/>
      <c r="GLQ168" s="500"/>
      <c r="GLR168" s="500"/>
      <c r="GLS168" s="500"/>
      <c r="GLT168" s="500"/>
      <c r="GLU168" s="500"/>
      <c r="GLV168" s="500"/>
      <c r="GLW168" s="500"/>
      <c r="GLX168" s="500"/>
      <c r="GLY168" s="500"/>
      <c r="GLZ168" s="500"/>
      <c r="GMA168" s="500"/>
      <c r="GMB168" s="500"/>
      <c r="GMC168" s="500"/>
      <c r="GMD168" s="500"/>
      <c r="GME168" s="500"/>
      <c r="GMF168" s="500"/>
      <c r="GMG168" s="500"/>
      <c r="GMH168" s="500"/>
      <c r="GMI168" s="500"/>
      <c r="GMJ168" s="500"/>
      <c r="GMK168" s="500"/>
      <c r="GML168" s="500"/>
      <c r="GMM168" s="500"/>
      <c r="GMN168" s="500"/>
      <c r="GMO168" s="500"/>
      <c r="GMP168" s="500"/>
      <c r="GMQ168" s="500"/>
      <c r="GMR168" s="500"/>
      <c r="GMS168" s="500"/>
      <c r="GMT168" s="500"/>
      <c r="GMU168" s="500"/>
      <c r="GMV168" s="500"/>
      <c r="GMW168" s="500"/>
      <c r="GMX168" s="500"/>
      <c r="GMY168" s="500"/>
      <c r="GMZ168" s="500"/>
      <c r="GNA168" s="500"/>
      <c r="GNB168" s="500"/>
      <c r="GNC168" s="500"/>
      <c r="GND168" s="500"/>
      <c r="GNE168" s="500"/>
      <c r="GNF168" s="500"/>
      <c r="GNG168" s="500"/>
      <c r="GNH168" s="500"/>
      <c r="GNI168" s="500"/>
      <c r="GNJ168" s="500"/>
      <c r="GNK168" s="500"/>
      <c r="GNL168" s="500"/>
      <c r="GNM168" s="500"/>
      <c r="GNN168" s="500"/>
      <c r="GNO168" s="500"/>
      <c r="GNP168" s="500"/>
      <c r="GNQ168" s="500"/>
      <c r="GNR168" s="500"/>
      <c r="GNS168" s="500"/>
      <c r="GNT168" s="500"/>
      <c r="GNU168" s="500"/>
      <c r="GNV168" s="500"/>
      <c r="GNW168" s="500"/>
      <c r="GNX168" s="500"/>
      <c r="GNY168" s="500"/>
      <c r="GNZ168" s="500"/>
      <c r="GOA168" s="500"/>
      <c r="GOB168" s="500"/>
      <c r="GOC168" s="500"/>
      <c r="GOD168" s="500"/>
      <c r="GOE168" s="500"/>
      <c r="GOF168" s="500"/>
      <c r="GOG168" s="500"/>
      <c r="GOH168" s="500"/>
      <c r="GOI168" s="500"/>
      <c r="GOJ168" s="500"/>
      <c r="GOK168" s="500"/>
      <c r="GOL168" s="500"/>
      <c r="GOM168" s="500"/>
      <c r="GON168" s="500"/>
      <c r="GOO168" s="500"/>
      <c r="GOP168" s="500"/>
      <c r="GOQ168" s="500"/>
      <c r="GOR168" s="500"/>
      <c r="GOS168" s="500"/>
      <c r="GOT168" s="500"/>
      <c r="GOU168" s="500"/>
      <c r="GOV168" s="500"/>
      <c r="GOW168" s="500"/>
      <c r="GOX168" s="500"/>
      <c r="GOY168" s="500"/>
      <c r="GOZ168" s="500"/>
      <c r="GPA168" s="500"/>
      <c r="GPB168" s="500"/>
      <c r="GPC168" s="500"/>
      <c r="GPD168" s="500"/>
      <c r="GPE168" s="500"/>
      <c r="GPF168" s="500"/>
      <c r="GPG168" s="500"/>
      <c r="GPH168" s="500"/>
      <c r="GPI168" s="500"/>
      <c r="GPJ168" s="500"/>
      <c r="GPK168" s="500"/>
      <c r="GPL168" s="500"/>
      <c r="GPM168" s="500"/>
      <c r="GPN168" s="500"/>
      <c r="GPO168" s="500"/>
      <c r="GPP168" s="500"/>
      <c r="GPQ168" s="500"/>
      <c r="GPR168" s="500"/>
      <c r="GPS168" s="500"/>
      <c r="GPT168" s="500"/>
      <c r="GPU168" s="500"/>
      <c r="GPV168" s="500"/>
      <c r="GPW168" s="500"/>
      <c r="GPX168" s="500"/>
      <c r="GPY168" s="500"/>
      <c r="GPZ168" s="500"/>
      <c r="GQA168" s="500"/>
      <c r="GQB168" s="500"/>
      <c r="GQC168" s="500"/>
      <c r="GQD168" s="500"/>
      <c r="GQE168" s="500"/>
      <c r="GQF168" s="500"/>
      <c r="GQG168" s="500"/>
      <c r="GQH168" s="500"/>
      <c r="GQI168" s="500"/>
      <c r="GQJ168" s="500"/>
      <c r="GQK168" s="500"/>
      <c r="GQL168" s="500"/>
      <c r="GQM168" s="500"/>
      <c r="GQN168" s="500"/>
      <c r="GQO168" s="500"/>
      <c r="GQP168" s="500"/>
      <c r="GQQ168" s="500"/>
      <c r="GQR168" s="500"/>
      <c r="GQS168" s="500"/>
      <c r="GQT168" s="500"/>
      <c r="GQU168" s="500"/>
      <c r="GQV168" s="500"/>
      <c r="GQW168" s="500"/>
      <c r="GQX168" s="500"/>
      <c r="GQY168" s="500"/>
      <c r="GQZ168" s="500"/>
      <c r="GRA168" s="500"/>
      <c r="GRB168" s="500"/>
      <c r="GRC168" s="500"/>
      <c r="GRD168" s="500"/>
      <c r="GRE168" s="500"/>
      <c r="GRF168" s="500"/>
      <c r="GRG168" s="500"/>
      <c r="GRH168" s="500"/>
      <c r="GRI168" s="500"/>
      <c r="GRJ168" s="500"/>
      <c r="GRK168" s="500"/>
      <c r="GRL168" s="500"/>
      <c r="GRM168" s="500"/>
      <c r="GRN168" s="500"/>
      <c r="GRO168" s="500"/>
      <c r="GRP168" s="500"/>
      <c r="GRQ168" s="500"/>
      <c r="GRR168" s="500"/>
      <c r="GRS168" s="500"/>
      <c r="GRT168" s="500"/>
      <c r="GRU168" s="500"/>
      <c r="GRV168" s="500"/>
      <c r="GRW168" s="500"/>
      <c r="GRX168" s="500"/>
      <c r="GRY168" s="500"/>
      <c r="GRZ168" s="500"/>
      <c r="GSA168" s="500"/>
      <c r="GSB168" s="500"/>
      <c r="GSC168" s="500"/>
      <c r="GSD168" s="500"/>
      <c r="GSE168" s="500"/>
      <c r="GSF168" s="500"/>
      <c r="GSG168" s="500"/>
      <c r="GSH168" s="500"/>
      <c r="GSI168" s="500"/>
      <c r="GSJ168" s="500"/>
      <c r="GSK168" s="500"/>
      <c r="GSL168" s="500"/>
      <c r="GSM168" s="500"/>
      <c r="GSN168" s="500"/>
      <c r="GSO168" s="500"/>
      <c r="GSP168" s="500"/>
      <c r="GSQ168" s="500"/>
      <c r="GSR168" s="500"/>
      <c r="GSS168" s="500"/>
      <c r="GST168" s="500"/>
      <c r="GSU168" s="500"/>
      <c r="GSV168" s="500"/>
      <c r="GSW168" s="500"/>
      <c r="GSX168" s="500"/>
      <c r="GSY168" s="500"/>
      <c r="GSZ168" s="500"/>
      <c r="GTA168" s="500"/>
      <c r="GTB168" s="500"/>
      <c r="GTC168" s="500"/>
      <c r="GTD168" s="500"/>
      <c r="GTE168" s="500"/>
      <c r="GTF168" s="500"/>
      <c r="GTG168" s="500"/>
      <c r="GTH168" s="500"/>
      <c r="GTI168" s="500"/>
      <c r="GTJ168" s="500"/>
      <c r="GTK168" s="500"/>
      <c r="GTL168" s="500"/>
      <c r="GTM168" s="500"/>
      <c r="GTN168" s="500"/>
      <c r="GTO168" s="500"/>
      <c r="GTP168" s="500"/>
      <c r="GTQ168" s="500"/>
      <c r="GTR168" s="500"/>
      <c r="GTS168" s="500"/>
      <c r="GTT168" s="500"/>
      <c r="GTU168" s="500"/>
      <c r="GTV168" s="500"/>
      <c r="GTW168" s="500"/>
      <c r="GTX168" s="500"/>
      <c r="GTY168" s="500"/>
      <c r="GTZ168" s="500"/>
      <c r="GUA168" s="500"/>
      <c r="GUB168" s="500"/>
      <c r="GUC168" s="500"/>
      <c r="GUD168" s="500"/>
      <c r="GUE168" s="500"/>
      <c r="GUF168" s="500"/>
      <c r="GUG168" s="500"/>
      <c r="GUH168" s="500"/>
      <c r="GUI168" s="500"/>
      <c r="GUJ168" s="500"/>
      <c r="GUK168" s="500"/>
      <c r="GUL168" s="500"/>
      <c r="GUM168" s="500"/>
      <c r="GUN168" s="500"/>
      <c r="GUO168" s="500"/>
      <c r="GUP168" s="500"/>
      <c r="GUQ168" s="500"/>
      <c r="GUR168" s="500"/>
      <c r="GUS168" s="500"/>
      <c r="GUT168" s="500"/>
      <c r="GUU168" s="500"/>
      <c r="GUV168" s="500"/>
      <c r="GUW168" s="500"/>
      <c r="GUX168" s="500"/>
      <c r="GUY168" s="500"/>
      <c r="GUZ168" s="500"/>
      <c r="GVA168" s="500"/>
      <c r="GVB168" s="500"/>
      <c r="GVC168" s="500"/>
      <c r="GVD168" s="500"/>
      <c r="GVE168" s="500"/>
      <c r="GVF168" s="500"/>
      <c r="GVG168" s="500"/>
      <c r="GVH168" s="500"/>
      <c r="GVI168" s="500"/>
      <c r="GVJ168" s="500"/>
      <c r="GVK168" s="500"/>
      <c r="GVL168" s="500"/>
      <c r="GVM168" s="500"/>
      <c r="GVN168" s="500"/>
      <c r="GVO168" s="500"/>
      <c r="GVP168" s="500"/>
      <c r="GVQ168" s="500"/>
      <c r="GVR168" s="500"/>
      <c r="GVS168" s="500"/>
      <c r="GVT168" s="500"/>
      <c r="GVU168" s="500"/>
      <c r="GVV168" s="500"/>
      <c r="GVW168" s="500"/>
      <c r="GVX168" s="500"/>
      <c r="GVY168" s="500"/>
      <c r="GVZ168" s="500"/>
      <c r="GWA168" s="500"/>
      <c r="GWB168" s="500"/>
      <c r="GWC168" s="500"/>
      <c r="GWD168" s="500"/>
      <c r="GWE168" s="500"/>
      <c r="GWF168" s="500"/>
      <c r="GWG168" s="500"/>
      <c r="GWH168" s="500"/>
      <c r="GWI168" s="500"/>
      <c r="GWJ168" s="500"/>
      <c r="GWK168" s="500"/>
      <c r="GWL168" s="500"/>
      <c r="GWM168" s="500"/>
      <c r="GWN168" s="500"/>
      <c r="GWO168" s="500"/>
      <c r="GWP168" s="500"/>
      <c r="GWQ168" s="500"/>
      <c r="GWR168" s="500"/>
      <c r="GWS168" s="500"/>
      <c r="GWT168" s="500"/>
      <c r="GWU168" s="500"/>
      <c r="GWV168" s="500"/>
      <c r="GWW168" s="500"/>
      <c r="GWX168" s="500"/>
      <c r="GWY168" s="500"/>
      <c r="GWZ168" s="500"/>
      <c r="GXA168" s="500"/>
      <c r="GXB168" s="500"/>
      <c r="GXC168" s="500"/>
      <c r="GXD168" s="500"/>
      <c r="GXE168" s="500"/>
      <c r="GXF168" s="500"/>
      <c r="GXG168" s="500"/>
      <c r="GXH168" s="500"/>
      <c r="GXI168" s="500"/>
      <c r="GXJ168" s="500"/>
      <c r="GXK168" s="500"/>
      <c r="GXL168" s="500"/>
      <c r="GXM168" s="500"/>
      <c r="GXN168" s="500"/>
      <c r="GXO168" s="500"/>
      <c r="GXP168" s="500"/>
      <c r="GXQ168" s="500"/>
      <c r="GXR168" s="500"/>
      <c r="GXS168" s="500"/>
      <c r="GXT168" s="500"/>
      <c r="GXU168" s="500"/>
      <c r="GXV168" s="500"/>
      <c r="GXW168" s="500"/>
      <c r="GXX168" s="500"/>
      <c r="GXY168" s="500"/>
      <c r="GXZ168" s="500"/>
      <c r="GYA168" s="500"/>
      <c r="GYB168" s="500"/>
      <c r="GYC168" s="500"/>
      <c r="GYD168" s="500"/>
      <c r="GYE168" s="500"/>
      <c r="GYF168" s="500"/>
      <c r="GYG168" s="500"/>
      <c r="GYH168" s="500"/>
      <c r="GYI168" s="500"/>
      <c r="GYJ168" s="500"/>
      <c r="GYK168" s="500"/>
      <c r="GYL168" s="500"/>
      <c r="GYM168" s="500"/>
      <c r="GYN168" s="500"/>
      <c r="GYO168" s="500"/>
      <c r="GYP168" s="500"/>
      <c r="GYQ168" s="500"/>
      <c r="GYR168" s="500"/>
      <c r="GYS168" s="500"/>
      <c r="GYT168" s="500"/>
      <c r="GYU168" s="500"/>
      <c r="GYV168" s="500"/>
      <c r="GYW168" s="500"/>
      <c r="GYX168" s="500"/>
      <c r="GYY168" s="500"/>
      <c r="GYZ168" s="500"/>
      <c r="GZA168" s="500"/>
      <c r="GZB168" s="500"/>
      <c r="GZC168" s="500"/>
      <c r="GZD168" s="500"/>
      <c r="GZE168" s="500"/>
      <c r="GZF168" s="500"/>
      <c r="GZG168" s="500"/>
      <c r="GZH168" s="500"/>
      <c r="GZI168" s="500"/>
      <c r="GZJ168" s="500"/>
      <c r="GZK168" s="500"/>
      <c r="GZL168" s="500"/>
      <c r="GZM168" s="500"/>
      <c r="GZN168" s="500"/>
      <c r="GZO168" s="500"/>
      <c r="GZP168" s="500"/>
      <c r="GZQ168" s="500"/>
      <c r="GZR168" s="500"/>
      <c r="GZS168" s="500"/>
      <c r="GZT168" s="500"/>
      <c r="GZU168" s="500"/>
      <c r="GZV168" s="500"/>
      <c r="GZW168" s="500"/>
      <c r="GZX168" s="500"/>
      <c r="GZY168" s="500"/>
      <c r="GZZ168" s="500"/>
      <c r="HAA168" s="500"/>
      <c r="HAB168" s="500"/>
      <c r="HAC168" s="500"/>
      <c r="HAD168" s="500"/>
      <c r="HAE168" s="500"/>
      <c r="HAF168" s="500"/>
      <c r="HAG168" s="500"/>
      <c r="HAH168" s="500"/>
      <c r="HAI168" s="500"/>
      <c r="HAJ168" s="500"/>
      <c r="HAK168" s="500"/>
      <c r="HAL168" s="500"/>
      <c r="HAM168" s="500"/>
      <c r="HAN168" s="500"/>
      <c r="HAO168" s="500"/>
      <c r="HAP168" s="500"/>
      <c r="HAQ168" s="500"/>
      <c r="HAR168" s="500"/>
      <c r="HAS168" s="500"/>
      <c r="HAT168" s="500"/>
      <c r="HAU168" s="500"/>
      <c r="HAV168" s="500"/>
      <c r="HAW168" s="500"/>
      <c r="HAX168" s="500"/>
      <c r="HAY168" s="500"/>
      <c r="HAZ168" s="500"/>
      <c r="HBA168" s="500"/>
      <c r="HBB168" s="500"/>
      <c r="HBC168" s="500"/>
      <c r="HBD168" s="500"/>
      <c r="HBE168" s="500"/>
      <c r="HBF168" s="500"/>
      <c r="HBG168" s="500"/>
      <c r="HBH168" s="500"/>
      <c r="HBI168" s="500"/>
      <c r="HBJ168" s="500"/>
      <c r="HBK168" s="500"/>
      <c r="HBL168" s="500"/>
      <c r="HBM168" s="500"/>
      <c r="HBN168" s="500"/>
      <c r="HBO168" s="500"/>
      <c r="HBP168" s="500"/>
      <c r="HBQ168" s="500"/>
      <c r="HBR168" s="500"/>
      <c r="HBS168" s="500"/>
      <c r="HBT168" s="500"/>
      <c r="HBU168" s="500"/>
      <c r="HBV168" s="500"/>
      <c r="HBW168" s="500"/>
      <c r="HBX168" s="500"/>
      <c r="HBY168" s="500"/>
      <c r="HBZ168" s="500"/>
      <c r="HCA168" s="500"/>
      <c r="HCB168" s="500"/>
      <c r="HCC168" s="500"/>
      <c r="HCD168" s="500"/>
      <c r="HCE168" s="500"/>
      <c r="HCF168" s="500"/>
      <c r="HCG168" s="500"/>
      <c r="HCH168" s="500"/>
      <c r="HCI168" s="500"/>
      <c r="HCJ168" s="500"/>
      <c r="HCK168" s="500"/>
      <c r="HCL168" s="500"/>
      <c r="HCM168" s="500"/>
      <c r="HCN168" s="500"/>
      <c r="HCO168" s="500"/>
      <c r="HCP168" s="500"/>
      <c r="HCQ168" s="500"/>
      <c r="HCR168" s="500"/>
      <c r="HCS168" s="500"/>
      <c r="HCT168" s="500"/>
      <c r="HCU168" s="500"/>
      <c r="HCV168" s="500"/>
      <c r="HCW168" s="500"/>
      <c r="HCX168" s="500"/>
      <c r="HCY168" s="500"/>
      <c r="HCZ168" s="500"/>
      <c r="HDA168" s="500"/>
      <c r="HDB168" s="500"/>
      <c r="HDC168" s="500"/>
      <c r="HDD168" s="500"/>
      <c r="HDE168" s="500"/>
      <c r="HDF168" s="500"/>
      <c r="HDG168" s="500"/>
      <c r="HDH168" s="500"/>
      <c r="HDI168" s="500"/>
      <c r="HDJ168" s="500"/>
      <c r="HDK168" s="500"/>
      <c r="HDL168" s="500"/>
      <c r="HDM168" s="500"/>
      <c r="HDN168" s="500"/>
      <c r="HDO168" s="500"/>
      <c r="HDP168" s="500"/>
      <c r="HDQ168" s="500"/>
      <c r="HDR168" s="500"/>
      <c r="HDS168" s="500"/>
      <c r="HDT168" s="500"/>
      <c r="HDU168" s="500"/>
      <c r="HDV168" s="500"/>
      <c r="HDW168" s="500"/>
      <c r="HDX168" s="500"/>
      <c r="HDY168" s="500"/>
      <c r="HDZ168" s="500"/>
      <c r="HEA168" s="500"/>
      <c r="HEB168" s="500"/>
      <c r="HEC168" s="500"/>
      <c r="HED168" s="500"/>
      <c r="HEE168" s="500"/>
      <c r="HEF168" s="500"/>
      <c r="HEG168" s="500"/>
      <c r="HEH168" s="500"/>
      <c r="HEI168" s="500"/>
      <c r="HEJ168" s="500"/>
      <c r="HEK168" s="500"/>
      <c r="HEL168" s="500"/>
      <c r="HEM168" s="500"/>
      <c r="HEN168" s="500"/>
      <c r="HEO168" s="500"/>
      <c r="HEP168" s="500"/>
      <c r="HEQ168" s="500"/>
      <c r="HER168" s="500"/>
      <c r="HES168" s="500"/>
      <c r="HET168" s="500"/>
      <c r="HEU168" s="500"/>
      <c r="HEV168" s="500"/>
      <c r="HEW168" s="500"/>
      <c r="HEX168" s="500"/>
      <c r="HEY168" s="500"/>
      <c r="HEZ168" s="500"/>
      <c r="HFA168" s="500"/>
      <c r="HFB168" s="500"/>
      <c r="HFC168" s="500"/>
      <c r="HFD168" s="500"/>
      <c r="HFE168" s="500"/>
      <c r="HFF168" s="500"/>
      <c r="HFG168" s="500"/>
      <c r="HFH168" s="500"/>
      <c r="HFI168" s="500"/>
      <c r="HFJ168" s="500"/>
      <c r="HFK168" s="500"/>
      <c r="HFL168" s="500"/>
      <c r="HFM168" s="500"/>
      <c r="HFN168" s="500"/>
      <c r="HFO168" s="500"/>
      <c r="HFP168" s="500"/>
      <c r="HFQ168" s="500"/>
      <c r="HFR168" s="500"/>
      <c r="HFS168" s="500"/>
      <c r="HFT168" s="500"/>
      <c r="HFU168" s="500"/>
      <c r="HFV168" s="500"/>
      <c r="HFW168" s="500"/>
      <c r="HFX168" s="500"/>
      <c r="HFY168" s="500"/>
      <c r="HFZ168" s="500"/>
      <c r="HGA168" s="500"/>
      <c r="HGB168" s="500"/>
      <c r="HGC168" s="500"/>
      <c r="HGD168" s="500"/>
      <c r="HGE168" s="500"/>
      <c r="HGF168" s="500"/>
      <c r="HGG168" s="500"/>
      <c r="HGH168" s="500"/>
      <c r="HGI168" s="500"/>
      <c r="HGJ168" s="500"/>
      <c r="HGK168" s="500"/>
      <c r="HGL168" s="500"/>
      <c r="HGM168" s="500"/>
      <c r="HGN168" s="500"/>
      <c r="HGO168" s="500"/>
      <c r="HGP168" s="500"/>
      <c r="HGQ168" s="500"/>
      <c r="HGR168" s="500"/>
      <c r="HGS168" s="500"/>
      <c r="HGT168" s="500"/>
      <c r="HGU168" s="500"/>
      <c r="HGV168" s="500"/>
      <c r="HGW168" s="500"/>
      <c r="HGX168" s="500"/>
      <c r="HGY168" s="500"/>
      <c r="HGZ168" s="500"/>
      <c r="HHA168" s="500"/>
      <c r="HHB168" s="500"/>
      <c r="HHC168" s="500"/>
      <c r="HHD168" s="500"/>
      <c r="HHE168" s="500"/>
      <c r="HHF168" s="500"/>
      <c r="HHG168" s="500"/>
      <c r="HHH168" s="500"/>
      <c r="HHI168" s="500"/>
      <c r="HHJ168" s="500"/>
      <c r="HHK168" s="500"/>
      <c r="HHL168" s="500"/>
      <c r="HHM168" s="500"/>
      <c r="HHN168" s="500"/>
      <c r="HHO168" s="500"/>
      <c r="HHP168" s="500"/>
      <c r="HHQ168" s="500"/>
      <c r="HHR168" s="500"/>
      <c r="HHS168" s="500"/>
      <c r="HHT168" s="500"/>
      <c r="HHU168" s="500"/>
      <c r="HHV168" s="500"/>
      <c r="HHW168" s="500"/>
      <c r="HHX168" s="500"/>
      <c r="HHY168" s="500"/>
      <c r="HHZ168" s="500"/>
      <c r="HIA168" s="500"/>
      <c r="HIB168" s="500"/>
      <c r="HIC168" s="500"/>
      <c r="HID168" s="500"/>
      <c r="HIE168" s="500"/>
      <c r="HIF168" s="500"/>
      <c r="HIG168" s="500"/>
      <c r="HIH168" s="500"/>
      <c r="HII168" s="500"/>
      <c r="HIJ168" s="500"/>
      <c r="HIK168" s="500"/>
      <c r="HIL168" s="500"/>
      <c r="HIM168" s="500"/>
      <c r="HIN168" s="500"/>
      <c r="HIO168" s="500"/>
      <c r="HIP168" s="500"/>
      <c r="HIQ168" s="500"/>
      <c r="HIR168" s="500"/>
      <c r="HIS168" s="500"/>
      <c r="HIT168" s="500"/>
      <c r="HIU168" s="500"/>
      <c r="HIV168" s="500"/>
      <c r="HIW168" s="500"/>
      <c r="HIX168" s="500"/>
      <c r="HIY168" s="500"/>
      <c r="HIZ168" s="500"/>
      <c r="HJA168" s="500"/>
      <c r="HJB168" s="500"/>
      <c r="HJC168" s="500"/>
      <c r="HJD168" s="500"/>
      <c r="HJE168" s="500"/>
      <c r="HJF168" s="500"/>
      <c r="HJG168" s="500"/>
      <c r="HJH168" s="500"/>
      <c r="HJI168" s="500"/>
      <c r="HJJ168" s="500"/>
      <c r="HJK168" s="500"/>
      <c r="HJL168" s="500"/>
      <c r="HJM168" s="500"/>
      <c r="HJN168" s="500"/>
      <c r="HJO168" s="500"/>
      <c r="HJP168" s="500"/>
      <c r="HJQ168" s="500"/>
      <c r="HJR168" s="500"/>
      <c r="HJS168" s="500"/>
      <c r="HJT168" s="500"/>
      <c r="HJU168" s="500"/>
      <c r="HJV168" s="500"/>
      <c r="HJW168" s="500"/>
      <c r="HJX168" s="500"/>
      <c r="HJY168" s="500"/>
      <c r="HJZ168" s="500"/>
      <c r="HKA168" s="500"/>
      <c r="HKB168" s="500"/>
      <c r="HKC168" s="500"/>
      <c r="HKD168" s="500"/>
      <c r="HKE168" s="500"/>
      <c r="HKF168" s="500"/>
      <c r="HKG168" s="500"/>
      <c r="HKH168" s="500"/>
      <c r="HKI168" s="500"/>
      <c r="HKJ168" s="500"/>
      <c r="HKK168" s="500"/>
      <c r="HKL168" s="500"/>
      <c r="HKM168" s="500"/>
      <c r="HKN168" s="500"/>
      <c r="HKO168" s="500"/>
      <c r="HKP168" s="500"/>
      <c r="HKQ168" s="500"/>
      <c r="HKR168" s="500"/>
      <c r="HKS168" s="500"/>
      <c r="HKT168" s="500"/>
      <c r="HKU168" s="500"/>
      <c r="HKV168" s="500"/>
      <c r="HKW168" s="500"/>
      <c r="HKX168" s="500"/>
      <c r="HKY168" s="500"/>
      <c r="HKZ168" s="500"/>
      <c r="HLA168" s="500"/>
      <c r="HLB168" s="500"/>
      <c r="HLC168" s="500"/>
      <c r="HLD168" s="500"/>
      <c r="HLE168" s="500"/>
      <c r="HLF168" s="500"/>
      <c r="HLG168" s="500"/>
      <c r="HLH168" s="500"/>
      <c r="HLI168" s="500"/>
      <c r="HLJ168" s="500"/>
      <c r="HLK168" s="500"/>
      <c r="HLL168" s="500"/>
      <c r="HLM168" s="500"/>
      <c r="HLN168" s="500"/>
      <c r="HLO168" s="500"/>
      <c r="HLP168" s="500"/>
      <c r="HLQ168" s="500"/>
      <c r="HLR168" s="500"/>
      <c r="HLS168" s="500"/>
      <c r="HLT168" s="500"/>
      <c r="HLU168" s="500"/>
      <c r="HLV168" s="500"/>
      <c r="HLW168" s="500"/>
      <c r="HLX168" s="500"/>
      <c r="HLY168" s="500"/>
      <c r="HLZ168" s="500"/>
      <c r="HMA168" s="500"/>
      <c r="HMB168" s="500"/>
      <c r="HMC168" s="500"/>
      <c r="HMD168" s="500"/>
      <c r="HME168" s="500"/>
      <c r="HMF168" s="500"/>
      <c r="HMG168" s="500"/>
      <c r="HMH168" s="500"/>
      <c r="HMI168" s="500"/>
      <c r="HMJ168" s="500"/>
      <c r="HMK168" s="500"/>
      <c r="HML168" s="500"/>
      <c r="HMM168" s="500"/>
      <c r="HMN168" s="500"/>
      <c r="HMO168" s="500"/>
      <c r="HMP168" s="500"/>
      <c r="HMQ168" s="500"/>
      <c r="HMR168" s="500"/>
      <c r="HMS168" s="500"/>
      <c r="HMT168" s="500"/>
      <c r="HMU168" s="500"/>
      <c r="HMV168" s="500"/>
      <c r="HMW168" s="500"/>
      <c r="HMX168" s="500"/>
      <c r="HMY168" s="500"/>
      <c r="HMZ168" s="500"/>
      <c r="HNA168" s="500"/>
      <c r="HNB168" s="500"/>
      <c r="HNC168" s="500"/>
      <c r="HND168" s="500"/>
      <c r="HNE168" s="500"/>
      <c r="HNF168" s="500"/>
      <c r="HNG168" s="500"/>
      <c r="HNH168" s="500"/>
      <c r="HNI168" s="500"/>
      <c r="HNJ168" s="500"/>
      <c r="HNK168" s="500"/>
      <c r="HNL168" s="500"/>
      <c r="HNM168" s="500"/>
      <c r="HNN168" s="500"/>
      <c r="HNO168" s="500"/>
      <c r="HNP168" s="500"/>
      <c r="HNQ168" s="500"/>
      <c r="HNR168" s="500"/>
      <c r="HNS168" s="500"/>
      <c r="HNT168" s="500"/>
      <c r="HNU168" s="500"/>
      <c r="HNV168" s="500"/>
      <c r="HNW168" s="500"/>
      <c r="HNX168" s="500"/>
      <c r="HNY168" s="500"/>
      <c r="HNZ168" s="500"/>
      <c r="HOA168" s="500"/>
      <c r="HOB168" s="500"/>
      <c r="HOC168" s="500"/>
      <c r="HOD168" s="500"/>
      <c r="HOE168" s="500"/>
      <c r="HOF168" s="500"/>
      <c r="HOG168" s="500"/>
      <c r="HOH168" s="500"/>
      <c r="HOI168" s="500"/>
      <c r="HOJ168" s="500"/>
      <c r="HOK168" s="500"/>
      <c r="HOL168" s="500"/>
      <c r="HOM168" s="500"/>
      <c r="HON168" s="500"/>
      <c r="HOO168" s="500"/>
      <c r="HOP168" s="500"/>
      <c r="HOQ168" s="500"/>
      <c r="HOR168" s="500"/>
      <c r="HOS168" s="500"/>
      <c r="HOT168" s="500"/>
      <c r="HOU168" s="500"/>
      <c r="HOV168" s="500"/>
      <c r="HOW168" s="500"/>
      <c r="HOX168" s="500"/>
      <c r="HOY168" s="500"/>
      <c r="HOZ168" s="500"/>
      <c r="HPA168" s="500"/>
      <c r="HPB168" s="500"/>
      <c r="HPC168" s="500"/>
      <c r="HPD168" s="500"/>
      <c r="HPE168" s="500"/>
      <c r="HPF168" s="500"/>
      <c r="HPG168" s="500"/>
      <c r="HPH168" s="500"/>
      <c r="HPI168" s="500"/>
      <c r="HPJ168" s="500"/>
      <c r="HPK168" s="500"/>
      <c r="HPL168" s="500"/>
      <c r="HPM168" s="500"/>
      <c r="HPN168" s="500"/>
      <c r="HPO168" s="500"/>
      <c r="HPP168" s="500"/>
      <c r="HPQ168" s="500"/>
      <c r="HPR168" s="500"/>
      <c r="HPS168" s="500"/>
      <c r="HPT168" s="500"/>
      <c r="HPU168" s="500"/>
      <c r="HPV168" s="500"/>
      <c r="HPW168" s="500"/>
      <c r="HPX168" s="500"/>
      <c r="HPY168" s="500"/>
      <c r="HPZ168" s="500"/>
      <c r="HQA168" s="500"/>
      <c r="HQB168" s="500"/>
      <c r="HQC168" s="500"/>
      <c r="HQD168" s="500"/>
      <c r="HQE168" s="500"/>
      <c r="HQF168" s="500"/>
      <c r="HQG168" s="500"/>
      <c r="HQH168" s="500"/>
      <c r="HQI168" s="500"/>
      <c r="HQJ168" s="500"/>
      <c r="HQK168" s="500"/>
      <c r="HQL168" s="500"/>
      <c r="HQM168" s="500"/>
      <c r="HQN168" s="500"/>
      <c r="HQO168" s="500"/>
      <c r="HQP168" s="500"/>
      <c r="HQQ168" s="500"/>
      <c r="HQR168" s="500"/>
      <c r="HQS168" s="500"/>
      <c r="HQT168" s="500"/>
      <c r="HQU168" s="500"/>
      <c r="HQV168" s="500"/>
      <c r="HQW168" s="500"/>
      <c r="HQX168" s="500"/>
      <c r="HQY168" s="500"/>
      <c r="HQZ168" s="500"/>
      <c r="HRA168" s="500"/>
      <c r="HRB168" s="500"/>
      <c r="HRC168" s="500"/>
      <c r="HRD168" s="500"/>
      <c r="HRE168" s="500"/>
      <c r="HRF168" s="500"/>
      <c r="HRG168" s="500"/>
      <c r="HRH168" s="500"/>
      <c r="HRI168" s="500"/>
      <c r="HRJ168" s="500"/>
      <c r="HRK168" s="500"/>
      <c r="HRL168" s="500"/>
      <c r="HRM168" s="500"/>
      <c r="HRN168" s="500"/>
      <c r="HRO168" s="500"/>
      <c r="HRP168" s="500"/>
      <c r="HRQ168" s="500"/>
      <c r="HRR168" s="500"/>
      <c r="HRS168" s="500"/>
      <c r="HRT168" s="500"/>
      <c r="HRU168" s="500"/>
      <c r="HRV168" s="500"/>
      <c r="HRW168" s="500"/>
      <c r="HRX168" s="500"/>
      <c r="HRY168" s="500"/>
      <c r="HRZ168" s="500"/>
      <c r="HSA168" s="500"/>
      <c r="HSB168" s="500"/>
      <c r="HSC168" s="500"/>
      <c r="HSD168" s="500"/>
      <c r="HSE168" s="500"/>
      <c r="HSF168" s="500"/>
      <c r="HSG168" s="500"/>
      <c r="HSH168" s="500"/>
      <c r="HSI168" s="500"/>
      <c r="HSJ168" s="500"/>
      <c r="HSK168" s="500"/>
      <c r="HSL168" s="500"/>
      <c r="HSM168" s="500"/>
      <c r="HSN168" s="500"/>
      <c r="HSO168" s="500"/>
      <c r="HSP168" s="500"/>
      <c r="HSQ168" s="500"/>
      <c r="HSR168" s="500"/>
      <c r="HSS168" s="500"/>
      <c r="HST168" s="500"/>
      <c r="HSU168" s="500"/>
      <c r="HSV168" s="500"/>
      <c r="HSW168" s="500"/>
      <c r="HSX168" s="500"/>
      <c r="HSY168" s="500"/>
      <c r="HSZ168" s="500"/>
      <c r="HTA168" s="500"/>
      <c r="HTB168" s="500"/>
      <c r="HTC168" s="500"/>
      <c r="HTD168" s="500"/>
      <c r="HTE168" s="500"/>
      <c r="HTF168" s="500"/>
      <c r="HTG168" s="500"/>
      <c r="HTH168" s="500"/>
      <c r="HTI168" s="500"/>
      <c r="HTJ168" s="500"/>
      <c r="HTK168" s="500"/>
      <c r="HTL168" s="500"/>
      <c r="HTM168" s="500"/>
      <c r="HTN168" s="500"/>
      <c r="HTO168" s="500"/>
      <c r="HTP168" s="500"/>
      <c r="HTQ168" s="500"/>
      <c r="HTR168" s="500"/>
      <c r="HTS168" s="500"/>
      <c r="HTT168" s="500"/>
      <c r="HTU168" s="500"/>
      <c r="HTV168" s="500"/>
      <c r="HTW168" s="500"/>
      <c r="HTX168" s="500"/>
      <c r="HTY168" s="500"/>
      <c r="HTZ168" s="500"/>
      <c r="HUA168" s="500"/>
      <c r="HUB168" s="500"/>
      <c r="HUC168" s="500"/>
      <c r="HUD168" s="500"/>
      <c r="HUE168" s="500"/>
      <c r="HUF168" s="500"/>
      <c r="HUG168" s="500"/>
      <c r="HUH168" s="500"/>
      <c r="HUI168" s="500"/>
      <c r="HUJ168" s="500"/>
      <c r="HUK168" s="500"/>
      <c r="HUL168" s="500"/>
      <c r="HUM168" s="500"/>
      <c r="HUN168" s="500"/>
      <c r="HUO168" s="500"/>
      <c r="HUP168" s="500"/>
      <c r="HUQ168" s="500"/>
      <c r="HUR168" s="500"/>
      <c r="HUS168" s="500"/>
      <c r="HUT168" s="500"/>
      <c r="HUU168" s="500"/>
      <c r="HUV168" s="500"/>
      <c r="HUW168" s="500"/>
      <c r="HUX168" s="500"/>
      <c r="HUY168" s="500"/>
      <c r="HUZ168" s="500"/>
      <c r="HVA168" s="500"/>
      <c r="HVB168" s="500"/>
      <c r="HVC168" s="500"/>
      <c r="HVD168" s="500"/>
      <c r="HVE168" s="500"/>
      <c r="HVF168" s="500"/>
      <c r="HVG168" s="500"/>
      <c r="HVH168" s="500"/>
      <c r="HVI168" s="500"/>
      <c r="HVJ168" s="500"/>
      <c r="HVK168" s="500"/>
      <c r="HVL168" s="500"/>
      <c r="HVM168" s="500"/>
      <c r="HVN168" s="500"/>
      <c r="HVO168" s="500"/>
      <c r="HVP168" s="500"/>
      <c r="HVQ168" s="500"/>
      <c r="HVR168" s="500"/>
      <c r="HVS168" s="500"/>
      <c r="HVT168" s="500"/>
      <c r="HVU168" s="500"/>
      <c r="HVV168" s="500"/>
      <c r="HVW168" s="500"/>
      <c r="HVX168" s="500"/>
      <c r="HVY168" s="500"/>
      <c r="HVZ168" s="500"/>
      <c r="HWA168" s="500"/>
      <c r="HWB168" s="500"/>
      <c r="HWC168" s="500"/>
      <c r="HWD168" s="500"/>
      <c r="HWE168" s="500"/>
      <c r="HWF168" s="500"/>
      <c r="HWG168" s="500"/>
      <c r="HWH168" s="500"/>
      <c r="HWI168" s="500"/>
      <c r="HWJ168" s="500"/>
      <c r="HWK168" s="500"/>
      <c r="HWL168" s="500"/>
      <c r="HWM168" s="500"/>
      <c r="HWN168" s="500"/>
      <c r="HWO168" s="500"/>
      <c r="HWP168" s="500"/>
      <c r="HWQ168" s="500"/>
      <c r="HWR168" s="500"/>
      <c r="HWS168" s="500"/>
      <c r="HWT168" s="500"/>
      <c r="HWU168" s="500"/>
      <c r="HWV168" s="500"/>
      <c r="HWW168" s="500"/>
      <c r="HWX168" s="500"/>
      <c r="HWY168" s="500"/>
      <c r="HWZ168" s="500"/>
      <c r="HXA168" s="500"/>
      <c r="HXB168" s="500"/>
      <c r="HXC168" s="500"/>
      <c r="HXD168" s="500"/>
      <c r="HXE168" s="500"/>
      <c r="HXF168" s="500"/>
      <c r="HXG168" s="500"/>
      <c r="HXH168" s="500"/>
      <c r="HXI168" s="500"/>
      <c r="HXJ168" s="500"/>
      <c r="HXK168" s="500"/>
      <c r="HXL168" s="500"/>
      <c r="HXM168" s="500"/>
      <c r="HXN168" s="500"/>
      <c r="HXO168" s="500"/>
      <c r="HXP168" s="500"/>
      <c r="HXQ168" s="500"/>
      <c r="HXR168" s="500"/>
      <c r="HXS168" s="500"/>
      <c r="HXT168" s="500"/>
      <c r="HXU168" s="500"/>
      <c r="HXV168" s="500"/>
      <c r="HXW168" s="500"/>
      <c r="HXX168" s="500"/>
      <c r="HXY168" s="500"/>
      <c r="HXZ168" s="500"/>
      <c r="HYA168" s="500"/>
      <c r="HYB168" s="500"/>
      <c r="HYC168" s="500"/>
      <c r="HYD168" s="500"/>
      <c r="HYE168" s="500"/>
      <c r="HYF168" s="500"/>
      <c r="HYG168" s="500"/>
      <c r="HYH168" s="500"/>
      <c r="HYI168" s="500"/>
      <c r="HYJ168" s="500"/>
      <c r="HYK168" s="500"/>
      <c r="HYL168" s="500"/>
      <c r="HYM168" s="500"/>
      <c r="HYN168" s="500"/>
      <c r="HYO168" s="500"/>
      <c r="HYP168" s="500"/>
      <c r="HYQ168" s="500"/>
      <c r="HYR168" s="500"/>
      <c r="HYS168" s="500"/>
      <c r="HYT168" s="500"/>
      <c r="HYU168" s="500"/>
      <c r="HYV168" s="500"/>
      <c r="HYW168" s="500"/>
      <c r="HYX168" s="500"/>
      <c r="HYY168" s="500"/>
      <c r="HYZ168" s="500"/>
      <c r="HZA168" s="500"/>
      <c r="HZB168" s="500"/>
      <c r="HZC168" s="500"/>
      <c r="HZD168" s="500"/>
      <c r="HZE168" s="500"/>
      <c r="HZF168" s="500"/>
      <c r="HZG168" s="500"/>
      <c r="HZH168" s="500"/>
      <c r="HZI168" s="500"/>
      <c r="HZJ168" s="500"/>
      <c r="HZK168" s="500"/>
      <c r="HZL168" s="500"/>
      <c r="HZM168" s="500"/>
      <c r="HZN168" s="500"/>
      <c r="HZO168" s="500"/>
      <c r="HZP168" s="500"/>
      <c r="HZQ168" s="500"/>
      <c r="HZR168" s="500"/>
      <c r="HZS168" s="500"/>
      <c r="HZT168" s="500"/>
      <c r="HZU168" s="500"/>
      <c r="HZV168" s="500"/>
      <c r="HZW168" s="500"/>
      <c r="HZX168" s="500"/>
      <c r="HZY168" s="500"/>
      <c r="HZZ168" s="500"/>
      <c r="IAA168" s="500"/>
      <c r="IAB168" s="500"/>
      <c r="IAC168" s="500"/>
      <c r="IAD168" s="500"/>
      <c r="IAE168" s="500"/>
      <c r="IAF168" s="500"/>
      <c r="IAG168" s="500"/>
      <c r="IAH168" s="500"/>
      <c r="IAI168" s="500"/>
      <c r="IAJ168" s="500"/>
      <c r="IAK168" s="500"/>
      <c r="IAL168" s="500"/>
      <c r="IAM168" s="500"/>
      <c r="IAN168" s="500"/>
      <c r="IAO168" s="500"/>
      <c r="IAP168" s="500"/>
      <c r="IAQ168" s="500"/>
      <c r="IAR168" s="500"/>
      <c r="IAS168" s="500"/>
      <c r="IAT168" s="500"/>
      <c r="IAU168" s="500"/>
      <c r="IAV168" s="500"/>
      <c r="IAW168" s="500"/>
      <c r="IAX168" s="500"/>
      <c r="IAY168" s="500"/>
      <c r="IAZ168" s="500"/>
      <c r="IBA168" s="500"/>
      <c r="IBB168" s="500"/>
      <c r="IBC168" s="500"/>
      <c r="IBD168" s="500"/>
      <c r="IBE168" s="500"/>
      <c r="IBF168" s="500"/>
      <c r="IBG168" s="500"/>
      <c r="IBH168" s="500"/>
      <c r="IBI168" s="500"/>
      <c r="IBJ168" s="500"/>
      <c r="IBK168" s="500"/>
      <c r="IBL168" s="500"/>
      <c r="IBM168" s="500"/>
      <c r="IBN168" s="500"/>
      <c r="IBO168" s="500"/>
      <c r="IBP168" s="500"/>
      <c r="IBQ168" s="500"/>
      <c r="IBR168" s="500"/>
      <c r="IBS168" s="500"/>
      <c r="IBT168" s="500"/>
      <c r="IBU168" s="500"/>
      <c r="IBV168" s="500"/>
      <c r="IBW168" s="500"/>
      <c r="IBX168" s="500"/>
      <c r="IBY168" s="500"/>
      <c r="IBZ168" s="500"/>
      <c r="ICA168" s="500"/>
      <c r="ICB168" s="500"/>
      <c r="ICC168" s="500"/>
      <c r="ICD168" s="500"/>
      <c r="ICE168" s="500"/>
      <c r="ICF168" s="500"/>
      <c r="ICG168" s="500"/>
      <c r="ICH168" s="500"/>
      <c r="ICI168" s="500"/>
      <c r="ICJ168" s="500"/>
      <c r="ICK168" s="500"/>
      <c r="ICL168" s="500"/>
      <c r="ICM168" s="500"/>
      <c r="ICN168" s="500"/>
      <c r="ICO168" s="500"/>
      <c r="ICP168" s="500"/>
      <c r="ICQ168" s="500"/>
      <c r="ICR168" s="500"/>
      <c r="ICS168" s="500"/>
      <c r="ICT168" s="500"/>
      <c r="ICU168" s="500"/>
      <c r="ICV168" s="500"/>
      <c r="ICW168" s="500"/>
      <c r="ICX168" s="500"/>
      <c r="ICY168" s="500"/>
      <c r="ICZ168" s="500"/>
      <c r="IDA168" s="500"/>
      <c r="IDB168" s="500"/>
      <c r="IDC168" s="500"/>
      <c r="IDD168" s="500"/>
      <c r="IDE168" s="500"/>
      <c r="IDF168" s="500"/>
      <c r="IDG168" s="500"/>
      <c r="IDH168" s="500"/>
      <c r="IDI168" s="500"/>
      <c r="IDJ168" s="500"/>
      <c r="IDK168" s="500"/>
      <c r="IDL168" s="500"/>
      <c r="IDM168" s="500"/>
      <c r="IDN168" s="500"/>
      <c r="IDO168" s="500"/>
      <c r="IDP168" s="500"/>
      <c r="IDQ168" s="500"/>
      <c r="IDR168" s="500"/>
      <c r="IDS168" s="500"/>
      <c r="IDT168" s="500"/>
      <c r="IDU168" s="500"/>
      <c r="IDV168" s="500"/>
      <c r="IDW168" s="500"/>
      <c r="IDX168" s="500"/>
      <c r="IDY168" s="500"/>
      <c r="IDZ168" s="500"/>
      <c r="IEA168" s="500"/>
      <c r="IEB168" s="500"/>
      <c r="IEC168" s="500"/>
      <c r="IED168" s="500"/>
      <c r="IEE168" s="500"/>
      <c r="IEF168" s="500"/>
      <c r="IEG168" s="500"/>
      <c r="IEH168" s="500"/>
      <c r="IEI168" s="500"/>
      <c r="IEJ168" s="500"/>
      <c r="IEK168" s="500"/>
      <c r="IEL168" s="500"/>
      <c r="IEM168" s="500"/>
      <c r="IEN168" s="500"/>
      <c r="IEO168" s="500"/>
      <c r="IEP168" s="500"/>
      <c r="IEQ168" s="500"/>
      <c r="IER168" s="500"/>
      <c r="IES168" s="500"/>
      <c r="IET168" s="500"/>
      <c r="IEU168" s="500"/>
      <c r="IEV168" s="500"/>
      <c r="IEW168" s="500"/>
      <c r="IEX168" s="500"/>
      <c r="IEY168" s="500"/>
      <c r="IEZ168" s="500"/>
      <c r="IFA168" s="500"/>
      <c r="IFB168" s="500"/>
      <c r="IFC168" s="500"/>
      <c r="IFD168" s="500"/>
      <c r="IFE168" s="500"/>
      <c r="IFF168" s="500"/>
      <c r="IFG168" s="500"/>
      <c r="IFH168" s="500"/>
      <c r="IFI168" s="500"/>
      <c r="IFJ168" s="500"/>
      <c r="IFK168" s="500"/>
      <c r="IFL168" s="500"/>
      <c r="IFM168" s="500"/>
      <c r="IFN168" s="500"/>
      <c r="IFO168" s="500"/>
      <c r="IFP168" s="500"/>
      <c r="IFQ168" s="500"/>
      <c r="IFR168" s="500"/>
      <c r="IFS168" s="500"/>
      <c r="IFT168" s="500"/>
      <c r="IFU168" s="500"/>
      <c r="IFV168" s="500"/>
      <c r="IFW168" s="500"/>
      <c r="IFX168" s="500"/>
      <c r="IFY168" s="500"/>
      <c r="IFZ168" s="500"/>
      <c r="IGA168" s="500"/>
      <c r="IGB168" s="500"/>
      <c r="IGC168" s="500"/>
      <c r="IGD168" s="500"/>
      <c r="IGE168" s="500"/>
      <c r="IGF168" s="500"/>
      <c r="IGG168" s="500"/>
      <c r="IGH168" s="500"/>
      <c r="IGI168" s="500"/>
      <c r="IGJ168" s="500"/>
      <c r="IGK168" s="500"/>
      <c r="IGL168" s="500"/>
      <c r="IGM168" s="500"/>
      <c r="IGN168" s="500"/>
      <c r="IGO168" s="500"/>
      <c r="IGP168" s="500"/>
      <c r="IGQ168" s="500"/>
      <c r="IGR168" s="500"/>
      <c r="IGS168" s="500"/>
      <c r="IGT168" s="500"/>
      <c r="IGU168" s="500"/>
      <c r="IGV168" s="500"/>
      <c r="IGW168" s="500"/>
      <c r="IGX168" s="500"/>
      <c r="IGY168" s="500"/>
      <c r="IGZ168" s="500"/>
      <c r="IHA168" s="500"/>
      <c r="IHB168" s="500"/>
      <c r="IHC168" s="500"/>
      <c r="IHD168" s="500"/>
      <c r="IHE168" s="500"/>
      <c r="IHF168" s="500"/>
      <c r="IHG168" s="500"/>
      <c r="IHH168" s="500"/>
      <c r="IHI168" s="500"/>
      <c r="IHJ168" s="500"/>
      <c r="IHK168" s="500"/>
      <c r="IHL168" s="500"/>
      <c r="IHM168" s="500"/>
      <c r="IHN168" s="500"/>
      <c r="IHO168" s="500"/>
      <c r="IHP168" s="500"/>
      <c r="IHQ168" s="500"/>
      <c r="IHR168" s="500"/>
      <c r="IHS168" s="500"/>
      <c r="IHT168" s="500"/>
      <c r="IHU168" s="500"/>
      <c r="IHV168" s="500"/>
      <c r="IHW168" s="500"/>
      <c r="IHX168" s="500"/>
      <c r="IHY168" s="500"/>
      <c r="IHZ168" s="500"/>
      <c r="IIA168" s="500"/>
      <c r="IIB168" s="500"/>
      <c r="IIC168" s="500"/>
      <c r="IID168" s="500"/>
      <c r="IIE168" s="500"/>
      <c r="IIF168" s="500"/>
      <c r="IIG168" s="500"/>
      <c r="IIH168" s="500"/>
      <c r="III168" s="500"/>
      <c r="IIJ168" s="500"/>
      <c r="IIK168" s="500"/>
      <c r="IIL168" s="500"/>
      <c r="IIM168" s="500"/>
      <c r="IIN168" s="500"/>
      <c r="IIO168" s="500"/>
      <c r="IIP168" s="500"/>
      <c r="IIQ168" s="500"/>
      <c r="IIR168" s="500"/>
      <c r="IIS168" s="500"/>
      <c r="IIT168" s="500"/>
      <c r="IIU168" s="500"/>
      <c r="IIV168" s="500"/>
      <c r="IIW168" s="500"/>
      <c r="IIX168" s="500"/>
      <c r="IIY168" s="500"/>
      <c r="IIZ168" s="500"/>
      <c r="IJA168" s="500"/>
      <c r="IJB168" s="500"/>
      <c r="IJC168" s="500"/>
      <c r="IJD168" s="500"/>
      <c r="IJE168" s="500"/>
      <c r="IJF168" s="500"/>
      <c r="IJG168" s="500"/>
      <c r="IJH168" s="500"/>
      <c r="IJI168" s="500"/>
      <c r="IJJ168" s="500"/>
      <c r="IJK168" s="500"/>
      <c r="IJL168" s="500"/>
      <c r="IJM168" s="500"/>
      <c r="IJN168" s="500"/>
      <c r="IJO168" s="500"/>
      <c r="IJP168" s="500"/>
      <c r="IJQ168" s="500"/>
      <c r="IJR168" s="500"/>
      <c r="IJS168" s="500"/>
      <c r="IJT168" s="500"/>
      <c r="IJU168" s="500"/>
      <c r="IJV168" s="500"/>
      <c r="IJW168" s="500"/>
      <c r="IJX168" s="500"/>
      <c r="IJY168" s="500"/>
      <c r="IJZ168" s="500"/>
      <c r="IKA168" s="500"/>
      <c r="IKB168" s="500"/>
      <c r="IKC168" s="500"/>
      <c r="IKD168" s="500"/>
      <c r="IKE168" s="500"/>
      <c r="IKF168" s="500"/>
      <c r="IKG168" s="500"/>
      <c r="IKH168" s="500"/>
      <c r="IKI168" s="500"/>
      <c r="IKJ168" s="500"/>
      <c r="IKK168" s="500"/>
      <c r="IKL168" s="500"/>
      <c r="IKM168" s="500"/>
      <c r="IKN168" s="500"/>
      <c r="IKO168" s="500"/>
      <c r="IKP168" s="500"/>
      <c r="IKQ168" s="500"/>
      <c r="IKR168" s="500"/>
      <c r="IKS168" s="500"/>
      <c r="IKT168" s="500"/>
      <c r="IKU168" s="500"/>
      <c r="IKV168" s="500"/>
      <c r="IKW168" s="500"/>
      <c r="IKX168" s="500"/>
      <c r="IKY168" s="500"/>
      <c r="IKZ168" s="500"/>
      <c r="ILA168" s="500"/>
      <c r="ILB168" s="500"/>
      <c r="ILC168" s="500"/>
      <c r="ILD168" s="500"/>
      <c r="ILE168" s="500"/>
      <c r="ILF168" s="500"/>
      <c r="ILG168" s="500"/>
      <c r="ILH168" s="500"/>
      <c r="ILI168" s="500"/>
      <c r="ILJ168" s="500"/>
      <c r="ILK168" s="500"/>
      <c r="ILL168" s="500"/>
      <c r="ILM168" s="500"/>
      <c r="ILN168" s="500"/>
      <c r="ILO168" s="500"/>
      <c r="ILP168" s="500"/>
      <c r="ILQ168" s="500"/>
      <c r="ILR168" s="500"/>
      <c r="ILS168" s="500"/>
      <c r="ILT168" s="500"/>
      <c r="ILU168" s="500"/>
      <c r="ILV168" s="500"/>
      <c r="ILW168" s="500"/>
      <c r="ILX168" s="500"/>
      <c r="ILY168" s="500"/>
      <c r="ILZ168" s="500"/>
      <c r="IMA168" s="500"/>
      <c r="IMB168" s="500"/>
      <c r="IMC168" s="500"/>
      <c r="IMD168" s="500"/>
      <c r="IME168" s="500"/>
      <c r="IMF168" s="500"/>
      <c r="IMG168" s="500"/>
      <c r="IMH168" s="500"/>
      <c r="IMI168" s="500"/>
      <c r="IMJ168" s="500"/>
      <c r="IMK168" s="500"/>
      <c r="IML168" s="500"/>
      <c r="IMM168" s="500"/>
      <c r="IMN168" s="500"/>
      <c r="IMO168" s="500"/>
      <c r="IMP168" s="500"/>
      <c r="IMQ168" s="500"/>
      <c r="IMR168" s="500"/>
      <c r="IMS168" s="500"/>
      <c r="IMT168" s="500"/>
      <c r="IMU168" s="500"/>
      <c r="IMV168" s="500"/>
      <c r="IMW168" s="500"/>
      <c r="IMX168" s="500"/>
      <c r="IMY168" s="500"/>
      <c r="IMZ168" s="500"/>
      <c r="INA168" s="500"/>
      <c r="INB168" s="500"/>
      <c r="INC168" s="500"/>
      <c r="IND168" s="500"/>
      <c r="INE168" s="500"/>
      <c r="INF168" s="500"/>
      <c r="ING168" s="500"/>
      <c r="INH168" s="500"/>
      <c r="INI168" s="500"/>
      <c r="INJ168" s="500"/>
      <c r="INK168" s="500"/>
      <c r="INL168" s="500"/>
      <c r="INM168" s="500"/>
      <c r="INN168" s="500"/>
      <c r="INO168" s="500"/>
      <c r="INP168" s="500"/>
      <c r="INQ168" s="500"/>
      <c r="INR168" s="500"/>
      <c r="INS168" s="500"/>
      <c r="INT168" s="500"/>
      <c r="INU168" s="500"/>
      <c r="INV168" s="500"/>
      <c r="INW168" s="500"/>
      <c r="INX168" s="500"/>
      <c r="INY168" s="500"/>
      <c r="INZ168" s="500"/>
      <c r="IOA168" s="500"/>
      <c r="IOB168" s="500"/>
      <c r="IOC168" s="500"/>
      <c r="IOD168" s="500"/>
      <c r="IOE168" s="500"/>
      <c r="IOF168" s="500"/>
      <c r="IOG168" s="500"/>
      <c r="IOH168" s="500"/>
      <c r="IOI168" s="500"/>
      <c r="IOJ168" s="500"/>
      <c r="IOK168" s="500"/>
      <c r="IOL168" s="500"/>
      <c r="IOM168" s="500"/>
      <c r="ION168" s="500"/>
      <c r="IOO168" s="500"/>
      <c r="IOP168" s="500"/>
      <c r="IOQ168" s="500"/>
      <c r="IOR168" s="500"/>
      <c r="IOS168" s="500"/>
      <c r="IOT168" s="500"/>
      <c r="IOU168" s="500"/>
      <c r="IOV168" s="500"/>
      <c r="IOW168" s="500"/>
      <c r="IOX168" s="500"/>
      <c r="IOY168" s="500"/>
      <c r="IOZ168" s="500"/>
      <c r="IPA168" s="500"/>
      <c r="IPB168" s="500"/>
      <c r="IPC168" s="500"/>
      <c r="IPD168" s="500"/>
      <c r="IPE168" s="500"/>
      <c r="IPF168" s="500"/>
      <c r="IPG168" s="500"/>
      <c r="IPH168" s="500"/>
      <c r="IPI168" s="500"/>
      <c r="IPJ168" s="500"/>
      <c r="IPK168" s="500"/>
      <c r="IPL168" s="500"/>
      <c r="IPM168" s="500"/>
      <c r="IPN168" s="500"/>
      <c r="IPO168" s="500"/>
      <c r="IPP168" s="500"/>
      <c r="IPQ168" s="500"/>
      <c r="IPR168" s="500"/>
      <c r="IPS168" s="500"/>
      <c r="IPT168" s="500"/>
      <c r="IPU168" s="500"/>
      <c r="IPV168" s="500"/>
      <c r="IPW168" s="500"/>
      <c r="IPX168" s="500"/>
      <c r="IPY168" s="500"/>
      <c r="IPZ168" s="500"/>
      <c r="IQA168" s="500"/>
      <c r="IQB168" s="500"/>
      <c r="IQC168" s="500"/>
      <c r="IQD168" s="500"/>
      <c r="IQE168" s="500"/>
      <c r="IQF168" s="500"/>
      <c r="IQG168" s="500"/>
      <c r="IQH168" s="500"/>
      <c r="IQI168" s="500"/>
      <c r="IQJ168" s="500"/>
      <c r="IQK168" s="500"/>
      <c r="IQL168" s="500"/>
      <c r="IQM168" s="500"/>
      <c r="IQN168" s="500"/>
      <c r="IQO168" s="500"/>
      <c r="IQP168" s="500"/>
      <c r="IQQ168" s="500"/>
      <c r="IQR168" s="500"/>
      <c r="IQS168" s="500"/>
      <c r="IQT168" s="500"/>
      <c r="IQU168" s="500"/>
      <c r="IQV168" s="500"/>
      <c r="IQW168" s="500"/>
      <c r="IQX168" s="500"/>
      <c r="IQY168" s="500"/>
      <c r="IQZ168" s="500"/>
      <c r="IRA168" s="500"/>
      <c r="IRB168" s="500"/>
      <c r="IRC168" s="500"/>
      <c r="IRD168" s="500"/>
      <c r="IRE168" s="500"/>
      <c r="IRF168" s="500"/>
      <c r="IRG168" s="500"/>
      <c r="IRH168" s="500"/>
      <c r="IRI168" s="500"/>
      <c r="IRJ168" s="500"/>
      <c r="IRK168" s="500"/>
      <c r="IRL168" s="500"/>
      <c r="IRM168" s="500"/>
      <c r="IRN168" s="500"/>
      <c r="IRO168" s="500"/>
      <c r="IRP168" s="500"/>
      <c r="IRQ168" s="500"/>
      <c r="IRR168" s="500"/>
      <c r="IRS168" s="500"/>
      <c r="IRT168" s="500"/>
      <c r="IRU168" s="500"/>
      <c r="IRV168" s="500"/>
      <c r="IRW168" s="500"/>
      <c r="IRX168" s="500"/>
      <c r="IRY168" s="500"/>
      <c r="IRZ168" s="500"/>
      <c r="ISA168" s="500"/>
      <c r="ISB168" s="500"/>
      <c r="ISC168" s="500"/>
      <c r="ISD168" s="500"/>
      <c r="ISE168" s="500"/>
      <c r="ISF168" s="500"/>
      <c r="ISG168" s="500"/>
      <c r="ISH168" s="500"/>
      <c r="ISI168" s="500"/>
      <c r="ISJ168" s="500"/>
      <c r="ISK168" s="500"/>
      <c r="ISL168" s="500"/>
      <c r="ISM168" s="500"/>
      <c r="ISN168" s="500"/>
      <c r="ISO168" s="500"/>
      <c r="ISP168" s="500"/>
      <c r="ISQ168" s="500"/>
      <c r="ISR168" s="500"/>
      <c r="ISS168" s="500"/>
      <c r="IST168" s="500"/>
      <c r="ISU168" s="500"/>
      <c r="ISV168" s="500"/>
      <c r="ISW168" s="500"/>
      <c r="ISX168" s="500"/>
      <c r="ISY168" s="500"/>
      <c r="ISZ168" s="500"/>
      <c r="ITA168" s="500"/>
      <c r="ITB168" s="500"/>
      <c r="ITC168" s="500"/>
      <c r="ITD168" s="500"/>
      <c r="ITE168" s="500"/>
      <c r="ITF168" s="500"/>
      <c r="ITG168" s="500"/>
      <c r="ITH168" s="500"/>
      <c r="ITI168" s="500"/>
      <c r="ITJ168" s="500"/>
      <c r="ITK168" s="500"/>
      <c r="ITL168" s="500"/>
      <c r="ITM168" s="500"/>
      <c r="ITN168" s="500"/>
      <c r="ITO168" s="500"/>
      <c r="ITP168" s="500"/>
      <c r="ITQ168" s="500"/>
      <c r="ITR168" s="500"/>
      <c r="ITS168" s="500"/>
      <c r="ITT168" s="500"/>
      <c r="ITU168" s="500"/>
      <c r="ITV168" s="500"/>
      <c r="ITW168" s="500"/>
      <c r="ITX168" s="500"/>
      <c r="ITY168" s="500"/>
      <c r="ITZ168" s="500"/>
      <c r="IUA168" s="500"/>
      <c r="IUB168" s="500"/>
      <c r="IUC168" s="500"/>
      <c r="IUD168" s="500"/>
      <c r="IUE168" s="500"/>
      <c r="IUF168" s="500"/>
      <c r="IUG168" s="500"/>
      <c r="IUH168" s="500"/>
      <c r="IUI168" s="500"/>
      <c r="IUJ168" s="500"/>
      <c r="IUK168" s="500"/>
      <c r="IUL168" s="500"/>
      <c r="IUM168" s="500"/>
      <c r="IUN168" s="500"/>
      <c r="IUO168" s="500"/>
      <c r="IUP168" s="500"/>
      <c r="IUQ168" s="500"/>
      <c r="IUR168" s="500"/>
      <c r="IUS168" s="500"/>
      <c r="IUT168" s="500"/>
      <c r="IUU168" s="500"/>
      <c r="IUV168" s="500"/>
      <c r="IUW168" s="500"/>
      <c r="IUX168" s="500"/>
      <c r="IUY168" s="500"/>
      <c r="IUZ168" s="500"/>
      <c r="IVA168" s="500"/>
      <c r="IVB168" s="500"/>
      <c r="IVC168" s="500"/>
      <c r="IVD168" s="500"/>
      <c r="IVE168" s="500"/>
      <c r="IVF168" s="500"/>
      <c r="IVG168" s="500"/>
      <c r="IVH168" s="500"/>
      <c r="IVI168" s="500"/>
      <c r="IVJ168" s="500"/>
      <c r="IVK168" s="500"/>
      <c r="IVL168" s="500"/>
      <c r="IVM168" s="500"/>
      <c r="IVN168" s="500"/>
      <c r="IVO168" s="500"/>
      <c r="IVP168" s="500"/>
      <c r="IVQ168" s="500"/>
      <c r="IVR168" s="500"/>
      <c r="IVS168" s="500"/>
      <c r="IVT168" s="500"/>
      <c r="IVU168" s="500"/>
      <c r="IVV168" s="500"/>
      <c r="IVW168" s="500"/>
      <c r="IVX168" s="500"/>
      <c r="IVY168" s="500"/>
      <c r="IVZ168" s="500"/>
      <c r="IWA168" s="500"/>
      <c r="IWB168" s="500"/>
      <c r="IWC168" s="500"/>
      <c r="IWD168" s="500"/>
      <c r="IWE168" s="500"/>
      <c r="IWF168" s="500"/>
      <c r="IWG168" s="500"/>
      <c r="IWH168" s="500"/>
      <c r="IWI168" s="500"/>
      <c r="IWJ168" s="500"/>
      <c r="IWK168" s="500"/>
      <c r="IWL168" s="500"/>
      <c r="IWM168" s="500"/>
      <c r="IWN168" s="500"/>
      <c r="IWO168" s="500"/>
      <c r="IWP168" s="500"/>
      <c r="IWQ168" s="500"/>
      <c r="IWR168" s="500"/>
      <c r="IWS168" s="500"/>
      <c r="IWT168" s="500"/>
      <c r="IWU168" s="500"/>
      <c r="IWV168" s="500"/>
      <c r="IWW168" s="500"/>
      <c r="IWX168" s="500"/>
      <c r="IWY168" s="500"/>
      <c r="IWZ168" s="500"/>
      <c r="IXA168" s="500"/>
      <c r="IXB168" s="500"/>
      <c r="IXC168" s="500"/>
      <c r="IXD168" s="500"/>
      <c r="IXE168" s="500"/>
      <c r="IXF168" s="500"/>
      <c r="IXG168" s="500"/>
      <c r="IXH168" s="500"/>
      <c r="IXI168" s="500"/>
      <c r="IXJ168" s="500"/>
      <c r="IXK168" s="500"/>
      <c r="IXL168" s="500"/>
      <c r="IXM168" s="500"/>
      <c r="IXN168" s="500"/>
      <c r="IXO168" s="500"/>
      <c r="IXP168" s="500"/>
      <c r="IXQ168" s="500"/>
      <c r="IXR168" s="500"/>
      <c r="IXS168" s="500"/>
      <c r="IXT168" s="500"/>
      <c r="IXU168" s="500"/>
      <c r="IXV168" s="500"/>
      <c r="IXW168" s="500"/>
      <c r="IXX168" s="500"/>
      <c r="IXY168" s="500"/>
      <c r="IXZ168" s="500"/>
      <c r="IYA168" s="500"/>
      <c r="IYB168" s="500"/>
      <c r="IYC168" s="500"/>
      <c r="IYD168" s="500"/>
      <c r="IYE168" s="500"/>
      <c r="IYF168" s="500"/>
      <c r="IYG168" s="500"/>
      <c r="IYH168" s="500"/>
      <c r="IYI168" s="500"/>
      <c r="IYJ168" s="500"/>
      <c r="IYK168" s="500"/>
      <c r="IYL168" s="500"/>
      <c r="IYM168" s="500"/>
      <c r="IYN168" s="500"/>
      <c r="IYO168" s="500"/>
      <c r="IYP168" s="500"/>
      <c r="IYQ168" s="500"/>
      <c r="IYR168" s="500"/>
      <c r="IYS168" s="500"/>
      <c r="IYT168" s="500"/>
      <c r="IYU168" s="500"/>
      <c r="IYV168" s="500"/>
      <c r="IYW168" s="500"/>
      <c r="IYX168" s="500"/>
      <c r="IYY168" s="500"/>
      <c r="IYZ168" s="500"/>
      <c r="IZA168" s="500"/>
      <c r="IZB168" s="500"/>
      <c r="IZC168" s="500"/>
      <c r="IZD168" s="500"/>
      <c r="IZE168" s="500"/>
      <c r="IZF168" s="500"/>
      <c r="IZG168" s="500"/>
      <c r="IZH168" s="500"/>
      <c r="IZI168" s="500"/>
      <c r="IZJ168" s="500"/>
      <c r="IZK168" s="500"/>
      <c r="IZL168" s="500"/>
      <c r="IZM168" s="500"/>
      <c r="IZN168" s="500"/>
      <c r="IZO168" s="500"/>
      <c r="IZP168" s="500"/>
      <c r="IZQ168" s="500"/>
      <c r="IZR168" s="500"/>
      <c r="IZS168" s="500"/>
      <c r="IZT168" s="500"/>
      <c r="IZU168" s="500"/>
      <c r="IZV168" s="500"/>
      <c r="IZW168" s="500"/>
      <c r="IZX168" s="500"/>
      <c r="IZY168" s="500"/>
      <c r="IZZ168" s="500"/>
      <c r="JAA168" s="500"/>
      <c r="JAB168" s="500"/>
      <c r="JAC168" s="500"/>
      <c r="JAD168" s="500"/>
      <c r="JAE168" s="500"/>
      <c r="JAF168" s="500"/>
      <c r="JAG168" s="500"/>
      <c r="JAH168" s="500"/>
      <c r="JAI168" s="500"/>
      <c r="JAJ168" s="500"/>
      <c r="JAK168" s="500"/>
      <c r="JAL168" s="500"/>
      <c r="JAM168" s="500"/>
      <c r="JAN168" s="500"/>
      <c r="JAO168" s="500"/>
      <c r="JAP168" s="500"/>
      <c r="JAQ168" s="500"/>
      <c r="JAR168" s="500"/>
      <c r="JAS168" s="500"/>
      <c r="JAT168" s="500"/>
      <c r="JAU168" s="500"/>
      <c r="JAV168" s="500"/>
      <c r="JAW168" s="500"/>
      <c r="JAX168" s="500"/>
      <c r="JAY168" s="500"/>
      <c r="JAZ168" s="500"/>
      <c r="JBA168" s="500"/>
      <c r="JBB168" s="500"/>
      <c r="JBC168" s="500"/>
      <c r="JBD168" s="500"/>
      <c r="JBE168" s="500"/>
      <c r="JBF168" s="500"/>
      <c r="JBG168" s="500"/>
      <c r="JBH168" s="500"/>
      <c r="JBI168" s="500"/>
      <c r="JBJ168" s="500"/>
      <c r="JBK168" s="500"/>
      <c r="JBL168" s="500"/>
      <c r="JBM168" s="500"/>
      <c r="JBN168" s="500"/>
      <c r="JBO168" s="500"/>
      <c r="JBP168" s="500"/>
      <c r="JBQ168" s="500"/>
      <c r="JBR168" s="500"/>
      <c r="JBS168" s="500"/>
      <c r="JBT168" s="500"/>
      <c r="JBU168" s="500"/>
      <c r="JBV168" s="500"/>
      <c r="JBW168" s="500"/>
      <c r="JBX168" s="500"/>
      <c r="JBY168" s="500"/>
      <c r="JBZ168" s="500"/>
      <c r="JCA168" s="500"/>
      <c r="JCB168" s="500"/>
      <c r="JCC168" s="500"/>
      <c r="JCD168" s="500"/>
      <c r="JCE168" s="500"/>
      <c r="JCF168" s="500"/>
      <c r="JCG168" s="500"/>
      <c r="JCH168" s="500"/>
      <c r="JCI168" s="500"/>
      <c r="JCJ168" s="500"/>
      <c r="JCK168" s="500"/>
      <c r="JCL168" s="500"/>
      <c r="JCM168" s="500"/>
      <c r="JCN168" s="500"/>
      <c r="JCO168" s="500"/>
      <c r="JCP168" s="500"/>
      <c r="JCQ168" s="500"/>
      <c r="JCR168" s="500"/>
      <c r="JCS168" s="500"/>
      <c r="JCT168" s="500"/>
      <c r="JCU168" s="500"/>
      <c r="JCV168" s="500"/>
      <c r="JCW168" s="500"/>
      <c r="JCX168" s="500"/>
      <c r="JCY168" s="500"/>
      <c r="JCZ168" s="500"/>
      <c r="JDA168" s="500"/>
      <c r="JDB168" s="500"/>
      <c r="JDC168" s="500"/>
      <c r="JDD168" s="500"/>
      <c r="JDE168" s="500"/>
      <c r="JDF168" s="500"/>
      <c r="JDG168" s="500"/>
      <c r="JDH168" s="500"/>
      <c r="JDI168" s="500"/>
      <c r="JDJ168" s="500"/>
      <c r="JDK168" s="500"/>
      <c r="JDL168" s="500"/>
      <c r="JDM168" s="500"/>
      <c r="JDN168" s="500"/>
      <c r="JDO168" s="500"/>
      <c r="JDP168" s="500"/>
      <c r="JDQ168" s="500"/>
      <c r="JDR168" s="500"/>
      <c r="JDS168" s="500"/>
      <c r="JDT168" s="500"/>
      <c r="JDU168" s="500"/>
      <c r="JDV168" s="500"/>
      <c r="JDW168" s="500"/>
      <c r="JDX168" s="500"/>
      <c r="JDY168" s="500"/>
      <c r="JDZ168" s="500"/>
      <c r="JEA168" s="500"/>
      <c r="JEB168" s="500"/>
      <c r="JEC168" s="500"/>
      <c r="JED168" s="500"/>
      <c r="JEE168" s="500"/>
      <c r="JEF168" s="500"/>
      <c r="JEG168" s="500"/>
      <c r="JEH168" s="500"/>
      <c r="JEI168" s="500"/>
      <c r="JEJ168" s="500"/>
      <c r="JEK168" s="500"/>
      <c r="JEL168" s="500"/>
      <c r="JEM168" s="500"/>
      <c r="JEN168" s="500"/>
      <c r="JEO168" s="500"/>
      <c r="JEP168" s="500"/>
      <c r="JEQ168" s="500"/>
      <c r="JER168" s="500"/>
      <c r="JES168" s="500"/>
      <c r="JET168" s="500"/>
      <c r="JEU168" s="500"/>
      <c r="JEV168" s="500"/>
      <c r="JEW168" s="500"/>
      <c r="JEX168" s="500"/>
      <c r="JEY168" s="500"/>
      <c r="JEZ168" s="500"/>
      <c r="JFA168" s="500"/>
      <c r="JFB168" s="500"/>
      <c r="JFC168" s="500"/>
      <c r="JFD168" s="500"/>
      <c r="JFE168" s="500"/>
      <c r="JFF168" s="500"/>
      <c r="JFG168" s="500"/>
      <c r="JFH168" s="500"/>
      <c r="JFI168" s="500"/>
      <c r="JFJ168" s="500"/>
      <c r="JFK168" s="500"/>
      <c r="JFL168" s="500"/>
      <c r="JFM168" s="500"/>
      <c r="JFN168" s="500"/>
      <c r="JFO168" s="500"/>
      <c r="JFP168" s="500"/>
      <c r="JFQ168" s="500"/>
      <c r="JFR168" s="500"/>
      <c r="JFS168" s="500"/>
      <c r="JFT168" s="500"/>
      <c r="JFU168" s="500"/>
      <c r="JFV168" s="500"/>
      <c r="JFW168" s="500"/>
      <c r="JFX168" s="500"/>
      <c r="JFY168" s="500"/>
      <c r="JFZ168" s="500"/>
      <c r="JGA168" s="500"/>
      <c r="JGB168" s="500"/>
      <c r="JGC168" s="500"/>
      <c r="JGD168" s="500"/>
      <c r="JGE168" s="500"/>
      <c r="JGF168" s="500"/>
      <c r="JGG168" s="500"/>
      <c r="JGH168" s="500"/>
      <c r="JGI168" s="500"/>
      <c r="JGJ168" s="500"/>
      <c r="JGK168" s="500"/>
      <c r="JGL168" s="500"/>
      <c r="JGM168" s="500"/>
      <c r="JGN168" s="500"/>
      <c r="JGO168" s="500"/>
      <c r="JGP168" s="500"/>
      <c r="JGQ168" s="500"/>
      <c r="JGR168" s="500"/>
      <c r="JGS168" s="500"/>
      <c r="JGT168" s="500"/>
      <c r="JGU168" s="500"/>
      <c r="JGV168" s="500"/>
      <c r="JGW168" s="500"/>
      <c r="JGX168" s="500"/>
      <c r="JGY168" s="500"/>
      <c r="JGZ168" s="500"/>
      <c r="JHA168" s="500"/>
      <c r="JHB168" s="500"/>
      <c r="JHC168" s="500"/>
      <c r="JHD168" s="500"/>
      <c r="JHE168" s="500"/>
      <c r="JHF168" s="500"/>
      <c r="JHG168" s="500"/>
      <c r="JHH168" s="500"/>
      <c r="JHI168" s="500"/>
      <c r="JHJ168" s="500"/>
      <c r="JHK168" s="500"/>
      <c r="JHL168" s="500"/>
      <c r="JHM168" s="500"/>
      <c r="JHN168" s="500"/>
      <c r="JHO168" s="500"/>
      <c r="JHP168" s="500"/>
      <c r="JHQ168" s="500"/>
      <c r="JHR168" s="500"/>
      <c r="JHS168" s="500"/>
      <c r="JHT168" s="500"/>
      <c r="JHU168" s="500"/>
      <c r="JHV168" s="500"/>
      <c r="JHW168" s="500"/>
      <c r="JHX168" s="500"/>
      <c r="JHY168" s="500"/>
      <c r="JHZ168" s="500"/>
      <c r="JIA168" s="500"/>
      <c r="JIB168" s="500"/>
      <c r="JIC168" s="500"/>
      <c r="JID168" s="500"/>
      <c r="JIE168" s="500"/>
      <c r="JIF168" s="500"/>
      <c r="JIG168" s="500"/>
      <c r="JIH168" s="500"/>
      <c r="JII168" s="500"/>
      <c r="JIJ168" s="500"/>
      <c r="JIK168" s="500"/>
      <c r="JIL168" s="500"/>
      <c r="JIM168" s="500"/>
      <c r="JIN168" s="500"/>
      <c r="JIO168" s="500"/>
      <c r="JIP168" s="500"/>
      <c r="JIQ168" s="500"/>
      <c r="JIR168" s="500"/>
      <c r="JIS168" s="500"/>
      <c r="JIT168" s="500"/>
      <c r="JIU168" s="500"/>
      <c r="JIV168" s="500"/>
      <c r="JIW168" s="500"/>
      <c r="JIX168" s="500"/>
      <c r="JIY168" s="500"/>
      <c r="JIZ168" s="500"/>
      <c r="JJA168" s="500"/>
      <c r="JJB168" s="500"/>
      <c r="JJC168" s="500"/>
      <c r="JJD168" s="500"/>
      <c r="JJE168" s="500"/>
      <c r="JJF168" s="500"/>
      <c r="JJG168" s="500"/>
      <c r="JJH168" s="500"/>
      <c r="JJI168" s="500"/>
      <c r="JJJ168" s="500"/>
      <c r="JJK168" s="500"/>
      <c r="JJL168" s="500"/>
      <c r="JJM168" s="500"/>
      <c r="JJN168" s="500"/>
      <c r="JJO168" s="500"/>
      <c r="JJP168" s="500"/>
      <c r="JJQ168" s="500"/>
      <c r="JJR168" s="500"/>
      <c r="JJS168" s="500"/>
      <c r="JJT168" s="500"/>
      <c r="JJU168" s="500"/>
      <c r="JJV168" s="500"/>
      <c r="JJW168" s="500"/>
      <c r="JJX168" s="500"/>
      <c r="JJY168" s="500"/>
      <c r="JJZ168" s="500"/>
      <c r="JKA168" s="500"/>
      <c r="JKB168" s="500"/>
      <c r="JKC168" s="500"/>
      <c r="JKD168" s="500"/>
      <c r="JKE168" s="500"/>
      <c r="JKF168" s="500"/>
      <c r="JKG168" s="500"/>
      <c r="JKH168" s="500"/>
      <c r="JKI168" s="500"/>
      <c r="JKJ168" s="500"/>
      <c r="JKK168" s="500"/>
      <c r="JKL168" s="500"/>
      <c r="JKM168" s="500"/>
      <c r="JKN168" s="500"/>
      <c r="JKO168" s="500"/>
      <c r="JKP168" s="500"/>
      <c r="JKQ168" s="500"/>
      <c r="JKR168" s="500"/>
      <c r="JKS168" s="500"/>
      <c r="JKT168" s="500"/>
      <c r="JKU168" s="500"/>
      <c r="JKV168" s="500"/>
      <c r="JKW168" s="500"/>
      <c r="JKX168" s="500"/>
      <c r="JKY168" s="500"/>
      <c r="JKZ168" s="500"/>
      <c r="JLA168" s="500"/>
      <c r="JLB168" s="500"/>
      <c r="JLC168" s="500"/>
      <c r="JLD168" s="500"/>
      <c r="JLE168" s="500"/>
      <c r="JLF168" s="500"/>
      <c r="JLG168" s="500"/>
      <c r="JLH168" s="500"/>
      <c r="JLI168" s="500"/>
      <c r="JLJ168" s="500"/>
      <c r="JLK168" s="500"/>
      <c r="JLL168" s="500"/>
      <c r="JLM168" s="500"/>
      <c r="JLN168" s="500"/>
      <c r="JLO168" s="500"/>
      <c r="JLP168" s="500"/>
      <c r="JLQ168" s="500"/>
      <c r="JLR168" s="500"/>
      <c r="JLS168" s="500"/>
      <c r="JLT168" s="500"/>
      <c r="JLU168" s="500"/>
      <c r="JLV168" s="500"/>
      <c r="JLW168" s="500"/>
      <c r="JLX168" s="500"/>
      <c r="JLY168" s="500"/>
      <c r="JLZ168" s="500"/>
      <c r="JMA168" s="500"/>
      <c r="JMB168" s="500"/>
      <c r="JMC168" s="500"/>
      <c r="JMD168" s="500"/>
      <c r="JME168" s="500"/>
      <c r="JMF168" s="500"/>
      <c r="JMG168" s="500"/>
      <c r="JMH168" s="500"/>
      <c r="JMI168" s="500"/>
      <c r="JMJ168" s="500"/>
      <c r="JMK168" s="500"/>
      <c r="JML168" s="500"/>
      <c r="JMM168" s="500"/>
      <c r="JMN168" s="500"/>
      <c r="JMO168" s="500"/>
      <c r="JMP168" s="500"/>
      <c r="JMQ168" s="500"/>
      <c r="JMR168" s="500"/>
      <c r="JMS168" s="500"/>
      <c r="JMT168" s="500"/>
      <c r="JMU168" s="500"/>
      <c r="JMV168" s="500"/>
      <c r="JMW168" s="500"/>
      <c r="JMX168" s="500"/>
      <c r="JMY168" s="500"/>
      <c r="JMZ168" s="500"/>
      <c r="JNA168" s="500"/>
      <c r="JNB168" s="500"/>
      <c r="JNC168" s="500"/>
      <c r="JND168" s="500"/>
      <c r="JNE168" s="500"/>
      <c r="JNF168" s="500"/>
      <c r="JNG168" s="500"/>
      <c r="JNH168" s="500"/>
      <c r="JNI168" s="500"/>
      <c r="JNJ168" s="500"/>
      <c r="JNK168" s="500"/>
      <c r="JNL168" s="500"/>
      <c r="JNM168" s="500"/>
      <c r="JNN168" s="500"/>
      <c r="JNO168" s="500"/>
      <c r="JNP168" s="500"/>
      <c r="JNQ168" s="500"/>
      <c r="JNR168" s="500"/>
      <c r="JNS168" s="500"/>
      <c r="JNT168" s="500"/>
      <c r="JNU168" s="500"/>
      <c r="JNV168" s="500"/>
      <c r="JNW168" s="500"/>
      <c r="JNX168" s="500"/>
      <c r="JNY168" s="500"/>
      <c r="JNZ168" s="500"/>
      <c r="JOA168" s="500"/>
      <c r="JOB168" s="500"/>
      <c r="JOC168" s="500"/>
      <c r="JOD168" s="500"/>
      <c r="JOE168" s="500"/>
      <c r="JOF168" s="500"/>
      <c r="JOG168" s="500"/>
      <c r="JOH168" s="500"/>
      <c r="JOI168" s="500"/>
      <c r="JOJ168" s="500"/>
      <c r="JOK168" s="500"/>
      <c r="JOL168" s="500"/>
      <c r="JOM168" s="500"/>
      <c r="JON168" s="500"/>
      <c r="JOO168" s="500"/>
      <c r="JOP168" s="500"/>
      <c r="JOQ168" s="500"/>
      <c r="JOR168" s="500"/>
      <c r="JOS168" s="500"/>
      <c r="JOT168" s="500"/>
      <c r="JOU168" s="500"/>
      <c r="JOV168" s="500"/>
      <c r="JOW168" s="500"/>
      <c r="JOX168" s="500"/>
      <c r="JOY168" s="500"/>
      <c r="JOZ168" s="500"/>
      <c r="JPA168" s="500"/>
      <c r="JPB168" s="500"/>
      <c r="JPC168" s="500"/>
      <c r="JPD168" s="500"/>
      <c r="JPE168" s="500"/>
      <c r="JPF168" s="500"/>
      <c r="JPG168" s="500"/>
      <c r="JPH168" s="500"/>
      <c r="JPI168" s="500"/>
      <c r="JPJ168" s="500"/>
      <c r="JPK168" s="500"/>
      <c r="JPL168" s="500"/>
      <c r="JPM168" s="500"/>
      <c r="JPN168" s="500"/>
      <c r="JPO168" s="500"/>
      <c r="JPP168" s="500"/>
      <c r="JPQ168" s="500"/>
      <c r="JPR168" s="500"/>
      <c r="JPS168" s="500"/>
      <c r="JPT168" s="500"/>
      <c r="JPU168" s="500"/>
      <c r="JPV168" s="500"/>
      <c r="JPW168" s="500"/>
      <c r="JPX168" s="500"/>
      <c r="JPY168" s="500"/>
      <c r="JPZ168" s="500"/>
      <c r="JQA168" s="500"/>
      <c r="JQB168" s="500"/>
      <c r="JQC168" s="500"/>
      <c r="JQD168" s="500"/>
      <c r="JQE168" s="500"/>
      <c r="JQF168" s="500"/>
      <c r="JQG168" s="500"/>
      <c r="JQH168" s="500"/>
      <c r="JQI168" s="500"/>
      <c r="JQJ168" s="500"/>
      <c r="JQK168" s="500"/>
      <c r="JQL168" s="500"/>
      <c r="JQM168" s="500"/>
      <c r="JQN168" s="500"/>
      <c r="JQO168" s="500"/>
      <c r="JQP168" s="500"/>
      <c r="JQQ168" s="500"/>
      <c r="JQR168" s="500"/>
      <c r="JQS168" s="500"/>
      <c r="JQT168" s="500"/>
      <c r="JQU168" s="500"/>
      <c r="JQV168" s="500"/>
      <c r="JQW168" s="500"/>
      <c r="JQX168" s="500"/>
      <c r="JQY168" s="500"/>
      <c r="JQZ168" s="500"/>
      <c r="JRA168" s="500"/>
      <c r="JRB168" s="500"/>
      <c r="JRC168" s="500"/>
      <c r="JRD168" s="500"/>
      <c r="JRE168" s="500"/>
      <c r="JRF168" s="500"/>
      <c r="JRG168" s="500"/>
      <c r="JRH168" s="500"/>
      <c r="JRI168" s="500"/>
      <c r="JRJ168" s="500"/>
      <c r="JRK168" s="500"/>
      <c r="JRL168" s="500"/>
      <c r="JRM168" s="500"/>
      <c r="JRN168" s="500"/>
      <c r="JRO168" s="500"/>
      <c r="JRP168" s="500"/>
      <c r="JRQ168" s="500"/>
      <c r="JRR168" s="500"/>
      <c r="JRS168" s="500"/>
      <c r="JRT168" s="500"/>
      <c r="JRU168" s="500"/>
      <c r="JRV168" s="500"/>
      <c r="JRW168" s="500"/>
      <c r="JRX168" s="500"/>
      <c r="JRY168" s="500"/>
      <c r="JRZ168" s="500"/>
      <c r="JSA168" s="500"/>
      <c r="JSB168" s="500"/>
      <c r="JSC168" s="500"/>
      <c r="JSD168" s="500"/>
      <c r="JSE168" s="500"/>
      <c r="JSF168" s="500"/>
      <c r="JSG168" s="500"/>
      <c r="JSH168" s="500"/>
      <c r="JSI168" s="500"/>
      <c r="JSJ168" s="500"/>
      <c r="JSK168" s="500"/>
      <c r="JSL168" s="500"/>
      <c r="JSM168" s="500"/>
      <c r="JSN168" s="500"/>
      <c r="JSO168" s="500"/>
      <c r="JSP168" s="500"/>
      <c r="JSQ168" s="500"/>
      <c r="JSR168" s="500"/>
      <c r="JSS168" s="500"/>
      <c r="JST168" s="500"/>
      <c r="JSU168" s="500"/>
      <c r="JSV168" s="500"/>
      <c r="JSW168" s="500"/>
      <c r="JSX168" s="500"/>
      <c r="JSY168" s="500"/>
      <c r="JSZ168" s="500"/>
      <c r="JTA168" s="500"/>
      <c r="JTB168" s="500"/>
      <c r="JTC168" s="500"/>
      <c r="JTD168" s="500"/>
      <c r="JTE168" s="500"/>
      <c r="JTF168" s="500"/>
      <c r="JTG168" s="500"/>
      <c r="JTH168" s="500"/>
      <c r="JTI168" s="500"/>
      <c r="JTJ168" s="500"/>
      <c r="JTK168" s="500"/>
      <c r="JTL168" s="500"/>
      <c r="JTM168" s="500"/>
      <c r="JTN168" s="500"/>
      <c r="JTO168" s="500"/>
      <c r="JTP168" s="500"/>
      <c r="JTQ168" s="500"/>
      <c r="JTR168" s="500"/>
      <c r="JTS168" s="500"/>
      <c r="JTT168" s="500"/>
      <c r="JTU168" s="500"/>
      <c r="JTV168" s="500"/>
      <c r="JTW168" s="500"/>
      <c r="JTX168" s="500"/>
      <c r="JTY168" s="500"/>
      <c r="JTZ168" s="500"/>
      <c r="JUA168" s="500"/>
      <c r="JUB168" s="500"/>
      <c r="JUC168" s="500"/>
      <c r="JUD168" s="500"/>
      <c r="JUE168" s="500"/>
      <c r="JUF168" s="500"/>
      <c r="JUG168" s="500"/>
      <c r="JUH168" s="500"/>
      <c r="JUI168" s="500"/>
      <c r="JUJ168" s="500"/>
      <c r="JUK168" s="500"/>
      <c r="JUL168" s="500"/>
      <c r="JUM168" s="500"/>
      <c r="JUN168" s="500"/>
      <c r="JUO168" s="500"/>
      <c r="JUP168" s="500"/>
      <c r="JUQ168" s="500"/>
      <c r="JUR168" s="500"/>
      <c r="JUS168" s="500"/>
      <c r="JUT168" s="500"/>
      <c r="JUU168" s="500"/>
      <c r="JUV168" s="500"/>
      <c r="JUW168" s="500"/>
      <c r="JUX168" s="500"/>
      <c r="JUY168" s="500"/>
      <c r="JUZ168" s="500"/>
      <c r="JVA168" s="500"/>
      <c r="JVB168" s="500"/>
      <c r="JVC168" s="500"/>
      <c r="JVD168" s="500"/>
      <c r="JVE168" s="500"/>
      <c r="JVF168" s="500"/>
      <c r="JVG168" s="500"/>
      <c r="JVH168" s="500"/>
      <c r="JVI168" s="500"/>
      <c r="JVJ168" s="500"/>
      <c r="JVK168" s="500"/>
      <c r="JVL168" s="500"/>
      <c r="JVM168" s="500"/>
      <c r="JVN168" s="500"/>
      <c r="JVO168" s="500"/>
      <c r="JVP168" s="500"/>
      <c r="JVQ168" s="500"/>
      <c r="JVR168" s="500"/>
      <c r="JVS168" s="500"/>
      <c r="JVT168" s="500"/>
      <c r="JVU168" s="500"/>
      <c r="JVV168" s="500"/>
      <c r="JVW168" s="500"/>
      <c r="JVX168" s="500"/>
      <c r="JVY168" s="500"/>
      <c r="JVZ168" s="500"/>
      <c r="JWA168" s="500"/>
      <c r="JWB168" s="500"/>
      <c r="JWC168" s="500"/>
      <c r="JWD168" s="500"/>
      <c r="JWE168" s="500"/>
      <c r="JWF168" s="500"/>
      <c r="JWG168" s="500"/>
      <c r="JWH168" s="500"/>
      <c r="JWI168" s="500"/>
      <c r="JWJ168" s="500"/>
      <c r="JWK168" s="500"/>
      <c r="JWL168" s="500"/>
      <c r="JWM168" s="500"/>
      <c r="JWN168" s="500"/>
      <c r="JWO168" s="500"/>
      <c r="JWP168" s="500"/>
      <c r="JWQ168" s="500"/>
      <c r="JWR168" s="500"/>
      <c r="JWS168" s="500"/>
      <c r="JWT168" s="500"/>
      <c r="JWU168" s="500"/>
      <c r="JWV168" s="500"/>
      <c r="JWW168" s="500"/>
      <c r="JWX168" s="500"/>
      <c r="JWY168" s="500"/>
      <c r="JWZ168" s="500"/>
      <c r="JXA168" s="500"/>
      <c r="JXB168" s="500"/>
      <c r="JXC168" s="500"/>
      <c r="JXD168" s="500"/>
      <c r="JXE168" s="500"/>
      <c r="JXF168" s="500"/>
      <c r="JXG168" s="500"/>
      <c r="JXH168" s="500"/>
      <c r="JXI168" s="500"/>
      <c r="JXJ168" s="500"/>
      <c r="JXK168" s="500"/>
      <c r="JXL168" s="500"/>
      <c r="JXM168" s="500"/>
      <c r="JXN168" s="500"/>
      <c r="JXO168" s="500"/>
      <c r="JXP168" s="500"/>
      <c r="JXQ168" s="500"/>
      <c r="JXR168" s="500"/>
      <c r="JXS168" s="500"/>
      <c r="JXT168" s="500"/>
      <c r="JXU168" s="500"/>
      <c r="JXV168" s="500"/>
      <c r="JXW168" s="500"/>
      <c r="JXX168" s="500"/>
      <c r="JXY168" s="500"/>
      <c r="JXZ168" s="500"/>
      <c r="JYA168" s="500"/>
      <c r="JYB168" s="500"/>
      <c r="JYC168" s="500"/>
      <c r="JYD168" s="500"/>
      <c r="JYE168" s="500"/>
      <c r="JYF168" s="500"/>
      <c r="JYG168" s="500"/>
      <c r="JYH168" s="500"/>
      <c r="JYI168" s="500"/>
      <c r="JYJ168" s="500"/>
      <c r="JYK168" s="500"/>
      <c r="JYL168" s="500"/>
      <c r="JYM168" s="500"/>
      <c r="JYN168" s="500"/>
      <c r="JYO168" s="500"/>
      <c r="JYP168" s="500"/>
      <c r="JYQ168" s="500"/>
      <c r="JYR168" s="500"/>
      <c r="JYS168" s="500"/>
      <c r="JYT168" s="500"/>
      <c r="JYU168" s="500"/>
      <c r="JYV168" s="500"/>
      <c r="JYW168" s="500"/>
      <c r="JYX168" s="500"/>
      <c r="JYY168" s="500"/>
      <c r="JYZ168" s="500"/>
      <c r="JZA168" s="500"/>
      <c r="JZB168" s="500"/>
      <c r="JZC168" s="500"/>
      <c r="JZD168" s="500"/>
      <c r="JZE168" s="500"/>
      <c r="JZF168" s="500"/>
      <c r="JZG168" s="500"/>
      <c r="JZH168" s="500"/>
      <c r="JZI168" s="500"/>
      <c r="JZJ168" s="500"/>
      <c r="JZK168" s="500"/>
      <c r="JZL168" s="500"/>
      <c r="JZM168" s="500"/>
      <c r="JZN168" s="500"/>
      <c r="JZO168" s="500"/>
      <c r="JZP168" s="500"/>
      <c r="JZQ168" s="500"/>
      <c r="JZR168" s="500"/>
      <c r="JZS168" s="500"/>
      <c r="JZT168" s="500"/>
      <c r="JZU168" s="500"/>
      <c r="JZV168" s="500"/>
      <c r="JZW168" s="500"/>
      <c r="JZX168" s="500"/>
      <c r="JZY168" s="500"/>
      <c r="JZZ168" s="500"/>
      <c r="KAA168" s="500"/>
      <c r="KAB168" s="500"/>
      <c r="KAC168" s="500"/>
      <c r="KAD168" s="500"/>
      <c r="KAE168" s="500"/>
      <c r="KAF168" s="500"/>
      <c r="KAG168" s="500"/>
      <c r="KAH168" s="500"/>
      <c r="KAI168" s="500"/>
      <c r="KAJ168" s="500"/>
      <c r="KAK168" s="500"/>
      <c r="KAL168" s="500"/>
      <c r="KAM168" s="500"/>
      <c r="KAN168" s="500"/>
      <c r="KAO168" s="500"/>
      <c r="KAP168" s="500"/>
      <c r="KAQ168" s="500"/>
      <c r="KAR168" s="500"/>
      <c r="KAS168" s="500"/>
      <c r="KAT168" s="500"/>
      <c r="KAU168" s="500"/>
      <c r="KAV168" s="500"/>
      <c r="KAW168" s="500"/>
      <c r="KAX168" s="500"/>
      <c r="KAY168" s="500"/>
      <c r="KAZ168" s="500"/>
      <c r="KBA168" s="500"/>
      <c r="KBB168" s="500"/>
      <c r="KBC168" s="500"/>
      <c r="KBD168" s="500"/>
      <c r="KBE168" s="500"/>
      <c r="KBF168" s="500"/>
      <c r="KBG168" s="500"/>
      <c r="KBH168" s="500"/>
      <c r="KBI168" s="500"/>
      <c r="KBJ168" s="500"/>
      <c r="KBK168" s="500"/>
      <c r="KBL168" s="500"/>
      <c r="KBM168" s="500"/>
      <c r="KBN168" s="500"/>
      <c r="KBO168" s="500"/>
      <c r="KBP168" s="500"/>
      <c r="KBQ168" s="500"/>
      <c r="KBR168" s="500"/>
      <c r="KBS168" s="500"/>
      <c r="KBT168" s="500"/>
      <c r="KBU168" s="500"/>
      <c r="KBV168" s="500"/>
      <c r="KBW168" s="500"/>
      <c r="KBX168" s="500"/>
      <c r="KBY168" s="500"/>
      <c r="KBZ168" s="500"/>
      <c r="KCA168" s="500"/>
      <c r="KCB168" s="500"/>
      <c r="KCC168" s="500"/>
      <c r="KCD168" s="500"/>
      <c r="KCE168" s="500"/>
      <c r="KCF168" s="500"/>
      <c r="KCG168" s="500"/>
      <c r="KCH168" s="500"/>
      <c r="KCI168" s="500"/>
      <c r="KCJ168" s="500"/>
      <c r="KCK168" s="500"/>
      <c r="KCL168" s="500"/>
      <c r="KCM168" s="500"/>
      <c r="KCN168" s="500"/>
      <c r="KCO168" s="500"/>
      <c r="KCP168" s="500"/>
      <c r="KCQ168" s="500"/>
      <c r="KCR168" s="500"/>
      <c r="KCS168" s="500"/>
      <c r="KCT168" s="500"/>
      <c r="KCU168" s="500"/>
      <c r="KCV168" s="500"/>
      <c r="KCW168" s="500"/>
      <c r="KCX168" s="500"/>
      <c r="KCY168" s="500"/>
      <c r="KCZ168" s="500"/>
      <c r="KDA168" s="500"/>
      <c r="KDB168" s="500"/>
      <c r="KDC168" s="500"/>
      <c r="KDD168" s="500"/>
      <c r="KDE168" s="500"/>
      <c r="KDF168" s="500"/>
      <c r="KDG168" s="500"/>
      <c r="KDH168" s="500"/>
      <c r="KDI168" s="500"/>
      <c r="KDJ168" s="500"/>
      <c r="KDK168" s="500"/>
      <c r="KDL168" s="500"/>
      <c r="KDM168" s="500"/>
      <c r="KDN168" s="500"/>
      <c r="KDO168" s="500"/>
      <c r="KDP168" s="500"/>
      <c r="KDQ168" s="500"/>
      <c r="KDR168" s="500"/>
      <c r="KDS168" s="500"/>
      <c r="KDT168" s="500"/>
      <c r="KDU168" s="500"/>
      <c r="KDV168" s="500"/>
      <c r="KDW168" s="500"/>
      <c r="KDX168" s="500"/>
      <c r="KDY168" s="500"/>
      <c r="KDZ168" s="500"/>
      <c r="KEA168" s="500"/>
      <c r="KEB168" s="500"/>
      <c r="KEC168" s="500"/>
      <c r="KED168" s="500"/>
      <c r="KEE168" s="500"/>
      <c r="KEF168" s="500"/>
      <c r="KEG168" s="500"/>
      <c r="KEH168" s="500"/>
      <c r="KEI168" s="500"/>
      <c r="KEJ168" s="500"/>
      <c r="KEK168" s="500"/>
      <c r="KEL168" s="500"/>
      <c r="KEM168" s="500"/>
      <c r="KEN168" s="500"/>
      <c r="KEO168" s="500"/>
      <c r="KEP168" s="500"/>
      <c r="KEQ168" s="500"/>
      <c r="KER168" s="500"/>
      <c r="KES168" s="500"/>
      <c r="KET168" s="500"/>
      <c r="KEU168" s="500"/>
      <c r="KEV168" s="500"/>
      <c r="KEW168" s="500"/>
      <c r="KEX168" s="500"/>
      <c r="KEY168" s="500"/>
      <c r="KEZ168" s="500"/>
      <c r="KFA168" s="500"/>
      <c r="KFB168" s="500"/>
      <c r="KFC168" s="500"/>
      <c r="KFD168" s="500"/>
      <c r="KFE168" s="500"/>
      <c r="KFF168" s="500"/>
      <c r="KFG168" s="500"/>
      <c r="KFH168" s="500"/>
      <c r="KFI168" s="500"/>
      <c r="KFJ168" s="500"/>
      <c r="KFK168" s="500"/>
      <c r="KFL168" s="500"/>
      <c r="KFM168" s="500"/>
      <c r="KFN168" s="500"/>
      <c r="KFO168" s="500"/>
      <c r="KFP168" s="500"/>
      <c r="KFQ168" s="500"/>
      <c r="KFR168" s="500"/>
      <c r="KFS168" s="500"/>
      <c r="KFT168" s="500"/>
      <c r="KFU168" s="500"/>
      <c r="KFV168" s="500"/>
      <c r="KFW168" s="500"/>
      <c r="KFX168" s="500"/>
      <c r="KFY168" s="500"/>
      <c r="KFZ168" s="500"/>
      <c r="KGA168" s="500"/>
      <c r="KGB168" s="500"/>
      <c r="KGC168" s="500"/>
      <c r="KGD168" s="500"/>
      <c r="KGE168" s="500"/>
      <c r="KGF168" s="500"/>
      <c r="KGG168" s="500"/>
      <c r="KGH168" s="500"/>
      <c r="KGI168" s="500"/>
      <c r="KGJ168" s="500"/>
      <c r="KGK168" s="500"/>
      <c r="KGL168" s="500"/>
      <c r="KGM168" s="500"/>
      <c r="KGN168" s="500"/>
      <c r="KGO168" s="500"/>
      <c r="KGP168" s="500"/>
      <c r="KGQ168" s="500"/>
      <c r="KGR168" s="500"/>
      <c r="KGS168" s="500"/>
      <c r="KGT168" s="500"/>
      <c r="KGU168" s="500"/>
      <c r="KGV168" s="500"/>
      <c r="KGW168" s="500"/>
      <c r="KGX168" s="500"/>
      <c r="KGY168" s="500"/>
      <c r="KGZ168" s="500"/>
      <c r="KHA168" s="500"/>
      <c r="KHB168" s="500"/>
      <c r="KHC168" s="500"/>
      <c r="KHD168" s="500"/>
      <c r="KHE168" s="500"/>
      <c r="KHF168" s="500"/>
      <c r="KHG168" s="500"/>
      <c r="KHH168" s="500"/>
      <c r="KHI168" s="500"/>
      <c r="KHJ168" s="500"/>
      <c r="KHK168" s="500"/>
      <c r="KHL168" s="500"/>
      <c r="KHM168" s="500"/>
      <c r="KHN168" s="500"/>
      <c r="KHO168" s="500"/>
      <c r="KHP168" s="500"/>
      <c r="KHQ168" s="500"/>
      <c r="KHR168" s="500"/>
      <c r="KHS168" s="500"/>
      <c r="KHT168" s="500"/>
      <c r="KHU168" s="500"/>
      <c r="KHV168" s="500"/>
      <c r="KHW168" s="500"/>
      <c r="KHX168" s="500"/>
      <c r="KHY168" s="500"/>
      <c r="KHZ168" s="500"/>
      <c r="KIA168" s="500"/>
      <c r="KIB168" s="500"/>
      <c r="KIC168" s="500"/>
      <c r="KID168" s="500"/>
      <c r="KIE168" s="500"/>
      <c r="KIF168" s="500"/>
      <c r="KIG168" s="500"/>
      <c r="KIH168" s="500"/>
      <c r="KII168" s="500"/>
      <c r="KIJ168" s="500"/>
      <c r="KIK168" s="500"/>
      <c r="KIL168" s="500"/>
      <c r="KIM168" s="500"/>
      <c r="KIN168" s="500"/>
      <c r="KIO168" s="500"/>
      <c r="KIP168" s="500"/>
      <c r="KIQ168" s="500"/>
      <c r="KIR168" s="500"/>
      <c r="KIS168" s="500"/>
      <c r="KIT168" s="500"/>
      <c r="KIU168" s="500"/>
      <c r="KIV168" s="500"/>
      <c r="KIW168" s="500"/>
      <c r="KIX168" s="500"/>
      <c r="KIY168" s="500"/>
      <c r="KIZ168" s="500"/>
      <c r="KJA168" s="500"/>
      <c r="KJB168" s="500"/>
      <c r="KJC168" s="500"/>
      <c r="KJD168" s="500"/>
      <c r="KJE168" s="500"/>
      <c r="KJF168" s="500"/>
      <c r="KJG168" s="500"/>
      <c r="KJH168" s="500"/>
      <c r="KJI168" s="500"/>
      <c r="KJJ168" s="500"/>
      <c r="KJK168" s="500"/>
      <c r="KJL168" s="500"/>
      <c r="KJM168" s="500"/>
      <c r="KJN168" s="500"/>
      <c r="KJO168" s="500"/>
      <c r="KJP168" s="500"/>
      <c r="KJQ168" s="500"/>
      <c r="KJR168" s="500"/>
      <c r="KJS168" s="500"/>
      <c r="KJT168" s="500"/>
      <c r="KJU168" s="500"/>
      <c r="KJV168" s="500"/>
      <c r="KJW168" s="500"/>
      <c r="KJX168" s="500"/>
      <c r="KJY168" s="500"/>
      <c r="KJZ168" s="500"/>
      <c r="KKA168" s="500"/>
      <c r="KKB168" s="500"/>
      <c r="KKC168" s="500"/>
      <c r="KKD168" s="500"/>
      <c r="KKE168" s="500"/>
      <c r="KKF168" s="500"/>
      <c r="KKG168" s="500"/>
      <c r="KKH168" s="500"/>
      <c r="KKI168" s="500"/>
      <c r="KKJ168" s="500"/>
      <c r="KKK168" s="500"/>
      <c r="KKL168" s="500"/>
      <c r="KKM168" s="500"/>
      <c r="KKN168" s="500"/>
      <c r="KKO168" s="500"/>
      <c r="KKP168" s="500"/>
      <c r="KKQ168" s="500"/>
      <c r="KKR168" s="500"/>
      <c r="KKS168" s="500"/>
      <c r="KKT168" s="500"/>
      <c r="KKU168" s="500"/>
      <c r="KKV168" s="500"/>
      <c r="KKW168" s="500"/>
      <c r="KKX168" s="500"/>
      <c r="KKY168" s="500"/>
      <c r="KKZ168" s="500"/>
      <c r="KLA168" s="500"/>
      <c r="KLB168" s="500"/>
      <c r="KLC168" s="500"/>
      <c r="KLD168" s="500"/>
      <c r="KLE168" s="500"/>
      <c r="KLF168" s="500"/>
      <c r="KLG168" s="500"/>
      <c r="KLH168" s="500"/>
      <c r="KLI168" s="500"/>
      <c r="KLJ168" s="500"/>
      <c r="KLK168" s="500"/>
      <c r="KLL168" s="500"/>
      <c r="KLM168" s="500"/>
      <c r="KLN168" s="500"/>
      <c r="KLO168" s="500"/>
      <c r="KLP168" s="500"/>
      <c r="KLQ168" s="500"/>
      <c r="KLR168" s="500"/>
      <c r="KLS168" s="500"/>
      <c r="KLT168" s="500"/>
      <c r="KLU168" s="500"/>
      <c r="KLV168" s="500"/>
      <c r="KLW168" s="500"/>
      <c r="KLX168" s="500"/>
      <c r="KLY168" s="500"/>
      <c r="KLZ168" s="500"/>
      <c r="KMA168" s="500"/>
      <c r="KMB168" s="500"/>
      <c r="KMC168" s="500"/>
      <c r="KMD168" s="500"/>
      <c r="KME168" s="500"/>
      <c r="KMF168" s="500"/>
      <c r="KMG168" s="500"/>
      <c r="KMH168" s="500"/>
      <c r="KMI168" s="500"/>
      <c r="KMJ168" s="500"/>
      <c r="KMK168" s="500"/>
      <c r="KML168" s="500"/>
      <c r="KMM168" s="500"/>
      <c r="KMN168" s="500"/>
      <c r="KMO168" s="500"/>
      <c r="KMP168" s="500"/>
      <c r="KMQ168" s="500"/>
      <c r="KMR168" s="500"/>
      <c r="KMS168" s="500"/>
      <c r="KMT168" s="500"/>
      <c r="KMU168" s="500"/>
      <c r="KMV168" s="500"/>
      <c r="KMW168" s="500"/>
      <c r="KMX168" s="500"/>
      <c r="KMY168" s="500"/>
      <c r="KMZ168" s="500"/>
      <c r="KNA168" s="500"/>
      <c r="KNB168" s="500"/>
      <c r="KNC168" s="500"/>
      <c r="KND168" s="500"/>
      <c r="KNE168" s="500"/>
      <c r="KNF168" s="500"/>
      <c r="KNG168" s="500"/>
      <c r="KNH168" s="500"/>
      <c r="KNI168" s="500"/>
      <c r="KNJ168" s="500"/>
      <c r="KNK168" s="500"/>
      <c r="KNL168" s="500"/>
      <c r="KNM168" s="500"/>
      <c r="KNN168" s="500"/>
      <c r="KNO168" s="500"/>
      <c r="KNP168" s="500"/>
      <c r="KNQ168" s="500"/>
      <c r="KNR168" s="500"/>
      <c r="KNS168" s="500"/>
      <c r="KNT168" s="500"/>
      <c r="KNU168" s="500"/>
      <c r="KNV168" s="500"/>
      <c r="KNW168" s="500"/>
      <c r="KNX168" s="500"/>
      <c r="KNY168" s="500"/>
      <c r="KNZ168" s="500"/>
      <c r="KOA168" s="500"/>
      <c r="KOB168" s="500"/>
      <c r="KOC168" s="500"/>
      <c r="KOD168" s="500"/>
      <c r="KOE168" s="500"/>
      <c r="KOF168" s="500"/>
      <c r="KOG168" s="500"/>
      <c r="KOH168" s="500"/>
      <c r="KOI168" s="500"/>
      <c r="KOJ168" s="500"/>
      <c r="KOK168" s="500"/>
      <c r="KOL168" s="500"/>
      <c r="KOM168" s="500"/>
      <c r="KON168" s="500"/>
      <c r="KOO168" s="500"/>
      <c r="KOP168" s="500"/>
      <c r="KOQ168" s="500"/>
      <c r="KOR168" s="500"/>
      <c r="KOS168" s="500"/>
      <c r="KOT168" s="500"/>
      <c r="KOU168" s="500"/>
      <c r="KOV168" s="500"/>
      <c r="KOW168" s="500"/>
      <c r="KOX168" s="500"/>
      <c r="KOY168" s="500"/>
      <c r="KOZ168" s="500"/>
      <c r="KPA168" s="500"/>
      <c r="KPB168" s="500"/>
      <c r="KPC168" s="500"/>
      <c r="KPD168" s="500"/>
      <c r="KPE168" s="500"/>
      <c r="KPF168" s="500"/>
      <c r="KPG168" s="500"/>
      <c r="KPH168" s="500"/>
      <c r="KPI168" s="500"/>
      <c r="KPJ168" s="500"/>
      <c r="KPK168" s="500"/>
      <c r="KPL168" s="500"/>
      <c r="KPM168" s="500"/>
      <c r="KPN168" s="500"/>
      <c r="KPO168" s="500"/>
      <c r="KPP168" s="500"/>
      <c r="KPQ168" s="500"/>
      <c r="KPR168" s="500"/>
      <c r="KPS168" s="500"/>
      <c r="KPT168" s="500"/>
      <c r="KPU168" s="500"/>
      <c r="KPV168" s="500"/>
      <c r="KPW168" s="500"/>
      <c r="KPX168" s="500"/>
      <c r="KPY168" s="500"/>
      <c r="KPZ168" s="500"/>
      <c r="KQA168" s="500"/>
      <c r="KQB168" s="500"/>
      <c r="KQC168" s="500"/>
      <c r="KQD168" s="500"/>
      <c r="KQE168" s="500"/>
      <c r="KQF168" s="500"/>
      <c r="KQG168" s="500"/>
      <c r="KQH168" s="500"/>
      <c r="KQI168" s="500"/>
      <c r="KQJ168" s="500"/>
      <c r="KQK168" s="500"/>
      <c r="KQL168" s="500"/>
      <c r="KQM168" s="500"/>
      <c r="KQN168" s="500"/>
      <c r="KQO168" s="500"/>
      <c r="KQP168" s="500"/>
      <c r="KQQ168" s="500"/>
      <c r="KQR168" s="500"/>
      <c r="KQS168" s="500"/>
      <c r="KQT168" s="500"/>
      <c r="KQU168" s="500"/>
      <c r="KQV168" s="500"/>
      <c r="KQW168" s="500"/>
      <c r="KQX168" s="500"/>
      <c r="KQY168" s="500"/>
      <c r="KQZ168" s="500"/>
      <c r="KRA168" s="500"/>
      <c r="KRB168" s="500"/>
      <c r="KRC168" s="500"/>
      <c r="KRD168" s="500"/>
      <c r="KRE168" s="500"/>
      <c r="KRF168" s="500"/>
      <c r="KRG168" s="500"/>
      <c r="KRH168" s="500"/>
      <c r="KRI168" s="500"/>
      <c r="KRJ168" s="500"/>
      <c r="KRK168" s="500"/>
      <c r="KRL168" s="500"/>
      <c r="KRM168" s="500"/>
      <c r="KRN168" s="500"/>
      <c r="KRO168" s="500"/>
      <c r="KRP168" s="500"/>
      <c r="KRQ168" s="500"/>
      <c r="KRR168" s="500"/>
      <c r="KRS168" s="500"/>
      <c r="KRT168" s="500"/>
      <c r="KRU168" s="500"/>
      <c r="KRV168" s="500"/>
      <c r="KRW168" s="500"/>
      <c r="KRX168" s="500"/>
      <c r="KRY168" s="500"/>
      <c r="KRZ168" s="500"/>
      <c r="KSA168" s="500"/>
      <c r="KSB168" s="500"/>
      <c r="KSC168" s="500"/>
      <c r="KSD168" s="500"/>
      <c r="KSE168" s="500"/>
      <c r="KSF168" s="500"/>
      <c r="KSG168" s="500"/>
      <c r="KSH168" s="500"/>
      <c r="KSI168" s="500"/>
      <c r="KSJ168" s="500"/>
      <c r="KSK168" s="500"/>
      <c r="KSL168" s="500"/>
      <c r="KSM168" s="500"/>
      <c r="KSN168" s="500"/>
      <c r="KSO168" s="500"/>
      <c r="KSP168" s="500"/>
      <c r="KSQ168" s="500"/>
      <c r="KSR168" s="500"/>
      <c r="KSS168" s="500"/>
      <c r="KST168" s="500"/>
      <c r="KSU168" s="500"/>
      <c r="KSV168" s="500"/>
      <c r="KSW168" s="500"/>
      <c r="KSX168" s="500"/>
      <c r="KSY168" s="500"/>
      <c r="KSZ168" s="500"/>
      <c r="KTA168" s="500"/>
      <c r="KTB168" s="500"/>
      <c r="KTC168" s="500"/>
      <c r="KTD168" s="500"/>
      <c r="KTE168" s="500"/>
      <c r="KTF168" s="500"/>
      <c r="KTG168" s="500"/>
      <c r="KTH168" s="500"/>
      <c r="KTI168" s="500"/>
      <c r="KTJ168" s="500"/>
      <c r="KTK168" s="500"/>
      <c r="KTL168" s="500"/>
      <c r="KTM168" s="500"/>
      <c r="KTN168" s="500"/>
      <c r="KTO168" s="500"/>
      <c r="KTP168" s="500"/>
      <c r="KTQ168" s="500"/>
      <c r="KTR168" s="500"/>
      <c r="KTS168" s="500"/>
      <c r="KTT168" s="500"/>
      <c r="KTU168" s="500"/>
      <c r="KTV168" s="500"/>
      <c r="KTW168" s="500"/>
      <c r="KTX168" s="500"/>
      <c r="KTY168" s="500"/>
      <c r="KTZ168" s="500"/>
      <c r="KUA168" s="500"/>
      <c r="KUB168" s="500"/>
      <c r="KUC168" s="500"/>
      <c r="KUD168" s="500"/>
      <c r="KUE168" s="500"/>
      <c r="KUF168" s="500"/>
      <c r="KUG168" s="500"/>
      <c r="KUH168" s="500"/>
      <c r="KUI168" s="500"/>
      <c r="KUJ168" s="500"/>
      <c r="KUK168" s="500"/>
      <c r="KUL168" s="500"/>
      <c r="KUM168" s="500"/>
      <c r="KUN168" s="500"/>
      <c r="KUO168" s="500"/>
      <c r="KUP168" s="500"/>
      <c r="KUQ168" s="500"/>
      <c r="KUR168" s="500"/>
      <c r="KUS168" s="500"/>
      <c r="KUT168" s="500"/>
      <c r="KUU168" s="500"/>
      <c r="KUV168" s="500"/>
      <c r="KUW168" s="500"/>
      <c r="KUX168" s="500"/>
      <c r="KUY168" s="500"/>
      <c r="KUZ168" s="500"/>
      <c r="KVA168" s="500"/>
      <c r="KVB168" s="500"/>
      <c r="KVC168" s="500"/>
      <c r="KVD168" s="500"/>
      <c r="KVE168" s="500"/>
      <c r="KVF168" s="500"/>
      <c r="KVG168" s="500"/>
      <c r="KVH168" s="500"/>
      <c r="KVI168" s="500"/>
      <c r="KVJ168" s="500"/>
      <c r="KVK168" s="500"/>
      <c r="KVL168" s="500"/>
      <c r="KVM168" s="500"/>
      <c r="KVN168" s="500"/>
      <c r="KVO168" s="500"/>
      <c r="KVP168" s="500"/>
      <c r="KVQ168" s="500"/>
      <c r="KVR168" s="500"/>
      <c r="KVS168" s="500"/>
      <c r="KVT168" s="500"/>
      <c r="KVU168" s="500"/>
      <c r="KVV168" s="500"/>
      <c r="KVW168" s="500"/>
      <c r="KVX168" s="500"/>
      <c r="KVY168" s="500"/>
      <c r="KVZ168" s="500"/>
      <c r="KWA168" s="500"/>
      <c r="KWB168" s="500"/>
      <c r="KWC168" s="500"/>
      <c r="KWD168" s="500"/>
      <c r="KWE168" s="500"/>
      <c r="KWF168" s="500"/>
      <c r="KWG168" s="500"/>
      <c r="KWH168" s="500"/>
      <c r="KWI168" s="500"/>
      <c r="KWJ168" s="500"/>
      <c r="KWK168" s="500"/>
      <c r="KWL168" s="500"/>
      <c r="KWM168" s="500"/>
      <c r="KWN168" s="500"/>
      <c r="KWO168" s="500"/>
      <c r="KWP168" s="500"/>
      <c r="KWQ168" s="500"/>
      <c r="KWR168" s="500"/>
      <c r="KWS168" s="500"/>
      <c r="KWT168" s="500"/>
      <c r="KWU168" s="500"/>
      <c r="KWV168" s="500"/>
      <c r="KWW168" s="500"/>
      <c r="KWX168" s="500"/>
      <c r="KWY168" s="500"/>
      <c r="KWZ168" s="500"/>
      <c r="KXA168" s="500"/>
      <c r="KXB168" s="500"/>
      <c r="KXC168" s="500"/>
      <c r="KXD168" s="500"/>
      <c r="KXE168" s="500"/>
      <c r="KXF168" s="500"/>
      <c r="KXG168" s="500"/>
      <c r="KXH168" s="500"/>
      <c r="KXI168" s="500"/>
      <c r="KXJ168" s="500"/>
      <c r="KXK168" s="500"/>
      <c r="KXL168" s="500"/>
      <c r="KXM168" s="500"/>
      <c r="KXN168" s="500"/>
      <c r="KXO168" s="500"/>
      <c r="KXP168" s="500"/>
      <c r="KXQ168" s="500"/>
      <c r="KXR168" s="500"/>
      <c r="KXS168" s="500"/>
      <c r="KXT168" s="500"/>
      <c r="KXU168" s="500"/>
      <c r="KXV168" s="500"/>
      <c r="KXW168" s="500"/>
      <c r="KXX168" s="500"/>
      <c r="KXY168" s="500"/>
      <c r="KXZ168" s="500"/>
      <c r="KYA168" s="500"/>
      <c r="KYB168" s="500"/>
      <c r="KYC168" s="500"/>
      <c r="KYD168" s="500"/>
      <c r="KYE168" s="500"/>
      <c r="KYF168" s="500"/>
      <c r="KYG168" s="500"/>
      <c r="KYH168" s="500"/>
      <c r="KYI168" s="500"/>
      <c r="KYJ168" s="500"/>
      <c r="KYK168" s="500"/>
      <c r="KYL168" s="500"/>
      <c r="KYM168" s="500"/>
      <c r="KYN168" s="500"/>
      <c r="KYO168" s="500"/>
      <c r="KYP168" s="500"/>
      <c r="KYQ168" s="500"/>
      <c r="KYR168" s="500"/>
      <c r="KYS168" s="500"/>
      <c r="KYT168" s="500"/>
      <c r="KYU168" s="500"/>
      <c r="KYV168" s="500"/>
      <c r="KYW168" s="500"/>
      <c r="KYX168" s="500"/>
      <c r="KYY168" s="500"/>
      <c r="KYZ168" s="500"/>
      <c r="KZA168" s="500"/>
      <c r="KZB168" s="500"/>
      <c r="KZC168" s="500"/>
      <c r="KZD168" s="500"/>
      <c r="KZE168" s="500"/>
      <c r="KZF168" s="500"/>
      <c r="KZG168" s="500"/>
      <c r="KZH168" s="500"/>
      <c r="KZI168" s="500"/>
      <c r="KZJ168" s="500"/>
      <c r="KZK168" s="500"/>
      <c r="KZL168" s="500"/>
      <c r="KZM168" s="500"/>
      <c r="KZN168" s="500"/>
      <c r="KZO168" s="500"/>
      <c r="KZP168" s="500"/>
      <c r="KZQ168" s="500"/>
      <c r="KZR168" s="500"/>
      <c r="KZS168" s="500"/>
      <c r="KZT168" s="500"/>
      <c r="KZU168" s="500"/>
      <c r="KZV168" s="500"/>
      <c r="KZW168" s="500"/>
      <c r="KZX168" s="500"/>
      <c r="KZY168" s="500"/>
      <c r="KZZ168" s="500"/>
      <c r="LAA168" s="500"/>
      <c r="LAB168" s="500"/>
      <c r="LAC168" s="500"/>
      <c r="LAD168" s="500"/>
      <c r="LAE168" s="500"/>
      <c r="LAF168" s="500"/>
      <c r="LAG168" s="500"/>
      <c r="LAH168" s="500"/>
      <c r="LAI168" s="500"/>
      <c r="LAJ168" s="500"/>
      <c r="LAK168" s="500"/>
      <c r="LAL168" s="500"/>
      <c r="LAM168" s="500"/>
      <c r="LAN168" s="500"/>
      <c r="LAO168" s="500"/>
      <c r="LAP168" s="500"/>
      <c r="LAQ168" s="500"/>
      <c r="LAR168" s="500"/>
      <c r="LAS168" s="500"/>
      <c r="LAT168" s="500"/>
      <c r="LAU168" s="500"/>
      <c r="LAV168" s="500"/>
      <c r="LAW168" s="500"/>
      <c r="LAX168" s="500"/>
      <c r="LAY168" s="500"/>
      <c r="LAZ168" s="500"/>
      <c r="LBA168" s="500"/>
      <c r="LBB168" s="500"/>
      <c r="LBC168" s="500"/>
      <c r="LBD168" s="500"/>
      <c r="LBE168" s="500"/>
      <c r="LBF168" s="500"/>
      <c r="LBG168" s="500"/>
      <c r="LBH168" s="500"/>
      <c r="LBI168" s="500"/>
      <c r="LBJ168" s="500"/>
      <c r="LBK168" s="500"/>
      <c r="LBL168" s="500"/>
      <c r="LBM168" s="500"/>
      <c r="LBN168" s="500"/>
      <c r="LBO168" s="500"/>
      <c r="LBP168" s="500"/>
      <c r="LBQ168" s="500"/>
      <c r="LBR168" s="500"/>
      <c r="LBS168" s="500"/>
      <c r="LBT168" s="500"/>
      <c r="LBU168" s="500"/>
      <c r="LBV168" s="500"/>
      <c r="LBW168" s="500"/>
      <c r="LBX168" s="500"/>
      <c r="LBY168" s="500"/>
      <c r="LBZ168" s="500"/>
      <c r="LCA168" s="500"/>
      <c r="LCB168" s="500"/>
      <c r="LCC168" s="500"/>
      <c r="LCD168" s="500"/>
      <c r="LCE168" s="500"/>
      <c r="LCF168" s="500"/>
      <c r="LCG168" s="500"/>
      <c r="LCH168" s="500"/>
      <c r="LCI168" s="500"/>
      <c r="LCJ168" s="500"/>
      <c r="LCK168" s="500"/>
      <c r="LCL168" s="500"/>
      <c r="LCM168" s="500"/>
      <c r="LCN168" s="500"/>
      <c r="LCO168" s="500"/>
      <c r="LCP168" s="500"/>
      <c r="LCQ168" s="500"/>
      <c r="LCR168" s="500"/>
      <c r="LCS168" s="500"/>
      <c r="LCT168" s="500"/>
      <c r="LCU168" s="500"/>
      <c r="LCV168" s="500"/>
      <c r="LCW168" s="500"/>
      <c r="LCX168" s="500"/>
      <c r="LCY168" s="500"/>
      <c r="LCZ168" s="500"/>
      <c r="LDA168" s="500"/>
      <c r="LDB168" s="500"/>
      <c r="LDC168" s="500"/>
      <c r="LDD168" s="500"/>
      <c r="LDE168" s="500"/>
      <c r="LDF168" s="500"/>
      <c r="LDG168" s="500"/>
      <c r="LDH168" s="500"/>
      <c r="LDI168" s="500"/>
      <c r="LDJ168" s="500"/>
      <c r="LDK168" s="500"/>
      <c r="LDL168" s="500"/>
      <c r="LDM168" s="500"/>
      <c r="LDN168" s="500"/>
      <c r="LDO168" s="500"/>
      <c r="LDP168" s="500"/>
      <c r="LDQ168" s="500"/>
      <c r="LDR168" s="500"/>
      <c r="LDS168" s="500"/>
      <c r="LDT168" s="500"/>
      <c r="LDU168" s="500"/>
      <c r="LDV168" s="500"/>
      <c r="LDW168" s="500"/>
      <c r="LDX168" s="500"/>
      <c r="LDY168" s="500"/>
      <c r="LDZ168" s="500"/>
      <c r="LEA168" s="500"/>
      <c r="LEB168" s="500"/>
      <c r="LEC168" s="500"/>
      <c r="LED168" s="500"/>
      <c r="LEE168" s="500"/>
      <c r="LEF168" s="500"/>
      <c r="LEG168" s="500"/>
      <c r="LEH168" s="500"/>
      <c r="LEI168" s="500"/>
      <c r="LEJ168" s="500"/>
      <c r="LEK168" s="500"/>
      <c r="LEL168" s="500"/>
      <c r="LEM168" s="500"/>
      <c r="LEN168" s="500"/>
      <c r="LEO168" s="500"/>
      <c r="LEP168" s="500"/>
      <c r="LEQ168" s="500"/>
      <c r="LER168" s="500"/>
      <c r="LES168" s="500"/>
      <c r="LET168" s="500"/>
      <c r="LEU168" s="500"/>
      <c r="LEV168" s="500"/>
      <c r="LEW168" s="500"/>
      <c r="LEX168" s="500"/>
      <c r="LEY168" s="500"/>
      <c r="LEZ168" s="500"/>
      <c r="LFA168" s="500"/>
      <c r="LFB168" s="500"/>
      <c r="LFC168" s="500"/>
      <c r="LFD168" s="500"/>
      <c r="LFE168" s="500"/>
      <c r="LFF168" s="500"/>
      <c r="LFG168" s="500"/>
      <c r="LFH168" s="500"/>
      <c r="LFI168" s="500"/>
      <c r="LFJ168" s="500"/>
      <c r="LFK168" s="500"/>
      <c r="LFL168" s="500"/>
      <c r="LFM168" s="500"/>
      <c r="LFN168" s="500"/>
      <c r="LFO168" s="500"/>
      <c r="LFP168" s="500"/>
      <c r="LFQ168" s="500"/>
      <c r="LFR168" s="500"/>
      <c r="LFS168" s="500"/>
      <c r="LFT168" s="500"/>
      <c r="LFU168" s="500"/>
      <c r="LFV168" s="500"/>
      <c r="LFW168" s="500"/>
      <c r="LFX168" s="500"/>
      <c r="LFY168" s="500"/>
      <c r="LFZ168" s="500"/>
      <c r="LGA168" s="500"/>
      <c r="LGB168" s="500"/>
      <c r="LGC168" s="500"/>
      <c r="LGD168" s="500"/>
      <c r="LGE168" s="500"/>
      <c r="LGF168" s="500"/>
      <c r="LGG168" s="500"/>
      <c r="LGH168" s="500"/>
      <c r="LGI168" s="500"/>
      <c r="LGJ168" s="500"/>
      <c r="LGK168" s="500"/>
      <c r="LGL168" s="500"/>
      <c r="LGM168" s="500"/>
      <c r="LGN168" s="500"/>
      <c r="LGO168" s="500"/>
      <c r="LGP168" s="500"/>
      <c r="LGQ168" s="500"/>
      <c r="LGR168" s="500"/>
      <c r="LGS168" s="500"/>
      <c r="LGT168" s="500"/>
      <c r="LGU168" s="500"/>
      <c r="LGV168" s="500"/>
      <c r="LGW168" s="500"/>
      <c r="LGX168" s="500"/>
      <c r="LGY168" s="500"/>
      <c r="LGZ168" s="500"/>
      <c r="LHA168" s="500"/>
      <c r="LHB168" s="500"/>
      <c r="LHC168" s="500"/>
      <c r="LHD168" s="500"/>
      <c r="LHE168" s="500"/>
      <c r="LHF168" s="500"/>
      <c r="LHG168" s="500"/>
      <c r="LHH168" s="500"/>
      <c r="LHI168" s="500"/>
      <c r="LHJ168" s="500"/>
      <c r="LHK168" s="500"/>
      <c r="LHL168" s="500"/>
      <c r="LHM168" s="500"/>
      <c r="LHN168" s="500"/>
      <c r="LHO168" s="500"/>
      <c r="LHP168" s="500"/>
      <c r="LHQ168" s="500"/>
      <c r="LHR168" s="500"/>
      <c r="LHS168" s="500"/>
      <c r="LHT168" s="500"/>
      <c r="LHU168" s="500"/>
      <c r="LHV168" s="500"/>
      <c r="LHW168" s="500"/>
      <c r="LHX168" s="500"/>
      <c r="LHY168" s="500"/>
      <c r="LHZ168" s="500"/>
      <c r="LIA168" s="500"/>
      <c r="LIB168" s="500"/>
      <c r="LIC168" s="500"/>
      <c r="LID168" s="500"/>
      <c r="LIE168" s="500"/>
      <c r="LIF168" s="500"/>
      <c r="LIG168" s="500"/>
      <c r="LIH168" s="500"/>
      <c r="LII168" s="500"/>
      <c r="LIJ168" s="500"/>
      <c r="LIK168" s="500"/>
      <c r="LIL168" s="500"/>
      <c r="LIM168" s="500"/>
      <c r="LIN168" s="500"/>
      <c r="LIO168" s="500"/>
      <c r="LIP168" s="500"/>
      <c r="LIQ168" s="500"/>
      <c r="LIR168" s="500"/>
      <c r="LIS168" s="500"/>
      <c r="LIT168" s="500"/>
      <c r="LIU168" s="500"/>
      <c r="LIV168" s="500"/>
      <c r="LIW168" s="500"/>
      <c r="LIX168" s="500"/>
      <c r="LIY168" s="500"/>
      <c r="LIZ168" s="500"/>
      <c r="LJA168" s="500"/>
      <c r="LJB168" s="500"/>
      <c r="LJC168" s="500"/>
      <c r="LJD168" s="500"/>
      <c r="LJE168" s="500"/>
      <c r="LJF168" s="500"/>
      <c r="LJG168" s="500"/>
      <c r="LJH168" s="500"/>
      <c r="LJI168" s="500"/>
      <c r="LJJ168" s="500"/>
      <c r="LJK168" s="500"/>
      <c r="LJL168" s="500"/>
      <c r="LJM168" s="500"/>
      <c r="LJN168" s="500"/>
      <c r="LJO168" s="500"/>
      <c r="LJP168" s="500"/>
      <c r="LJQ168" s="500"/>
      <c r="LJR168" s="500"/>
      <c r="LJS168" s="500"/>
      <c r="LJT168" s="500"/>
      <c r="LJU168" s="500"/>
      <c r="LJV168" s="500"/>
      <c r="LJW168" s="500"/>
      <c r="LJX168" s="500"/>
      <c r="LJY168" s="500"/>
      <c r="LJZ168" s="500"/>
      <c r="LKA168" s="500"/>
      <c r="LKB168" s="500"/>
      <c r="LKC168" s="500"/>
      <c r="LKD168" s="500"/>
      <c r="LKE168" s="500"/>
      <c r="LKF168" s="500"/>
      <c r="LKG168" s="500"/>
      <c r="LKH168" s="500"/>
      <c r="LKI168" s="500"/>
      <c r="LKJ168" s="500"/>
      <c r="LKK168" s="500"/>
      <c r="LKL168" s="500"/>
      <c r="LKM168" s="500"/>
      <c r="LKN168" s="500"/>
      <c r="LKO168" s="500"/>
      <c r="LKP168" s="500"/>
      <c r="LKQ168" s="500"/>
      <c r="LKR168" s="500"/>
      <c r="LKS168" s="500"/>
      <c r="LKT168" s="500"/>
      <c r="LKU168" s="500"/>
      <c r="LKV168" s="500"/>
      <c r="LKW168" s="500"/>
      <c r="LKX168" s="500"/>
      <c r="LKY168" s="500"/>
      <c r="LKZ168" s="500"/>
      <c r="LLA168" s="500"/>
      <c r="LLB168" s="500"/>
      <c r="LLC168" s="500"/>
      <c r="LLD168" s="500"/>
      <c r="LLE168" s="500"/>
      <c r="LLF168" s="500"/>
      <c r="LLG168" s="500"/>
      <c r="LLH168" s="500"/>
      <c r="LLI168" s="500"/>
      <c r="LLJ168" s="500"/>
      <c r="LLK168" s="500"/>
      <c r="LLL168" s="500"/>
      <c r="LLM168" s="500"/>
      <c r="LLN168" s="500"/>
      <c r="LLO168" s="500"/>
      <c r="LLP168" s="500"/>
      <c r="LLQ168" s="500"/>
      <c r="LLR168" s="500"/>
      <c r="LLS168" s="500"/>
      <c r="LLT168" s="500"/>
      <c r="LLU168" s="500"/>
      <c r="LLV168" s="500"/>
      <c r="LLW168" s="500"/>
      <c r="LLX168" s="500"/>
      <c r="LLY168" s="500"/>
      <c r="LLZ168" s="500"/>
      <c r="LMA168" s="500"/>
      <c r="LMB168" s="500"/>
      <c r="LMC168" s="500"/>
      <c r="LMD168" s="500"/>
      <c r="LME168" s="500"/>
      <c r="LMF168" s="500"/>
      <c r="LMG168" s="500"/>
      <c r="LMH168" s="500"/>
      <c r="LMI168" s="500"/>
      <c r="LMJ168" s="500"/>
      <c r="LMK168" s="500"/>
      <c r="LML168" s="500"/>
      <c r="LMM168" s="500"/>
      <c r="LMN168" s="500"/>
      <c r="LMO168" s="500"/>
      <c r="LMP168" s="500"/>
      <c r="LMQ168" s="500"/>
      <c r="LMR168" s="500"/>
      <c r="LMS168" s="500"/>
      <c r="LMT168" s="500"/>
      <c r="LMU168" s="500"/>
      <c r="LMV168" s="500"/>
      <c r="LMW168" s="500"/>
      <c r="LMX168" s="500"/>
      <c r="LMY168" s="500"/>
      <c r="LMZ168" s="500"/>
      <c r="LNA168" s="500"/>
      <c r="LNB168" s="500"/>
      <c r="LNC168" s="500"/>
      <c r="LND168" s="500"/>
      <c r="LNE168" s="500"/>
      <c r="LNF168" s="500"/>
      <c r="LNG168" s="500"/>
      <c r="LNH168" s="500"/>
      <c r="LNI168" s="500"/>
      <c r="LNJ168" s="500"/>
      <c r="LNK168" s="500"/>
      <c r="LNL168" s="500"/>
      <c r="LNM168" s="500"/>
      <c r="LNN168" s="500"/>
      <c r="LNO168" s="500"/>
      <c r="LNP168" s="500"/>
      <c r="LNQ168" s="500"/>
      <c r="LNR168" s="500"/>
      <c r="LNS168" s="500"/>
      <c r="LNT168" s="500"/>
      <c r="LNU168" s="500"/>
      <c r="LNV168" s="500"/>
      <c r="LNW168" s="500"/>
      <c r="LNX168" s="500"/>
      <c r="LNY168" s="500"/>
      <c r="LNZ168" s="500"/>
      <c r="LOA168" s="500"/>
      <c r="LOB168" s="500"/>
      <c r="LOC168" s="500"/>
      <c r="LOD168" s="500"/>
      <c r="LOE168" s="500"/>
      <c r="LOF168" s="500"/>
      <c r="LOG168" s="500"/>
      <c r="LOH168" s="500"/>
      <c r="LOI168" s="500"/>
      <c r="LOJ168" s="500"/>
      <c r="LOK168" s="500"/>
      <c r="LOL168" s="500"/>
      <c r="LOM168" s="500"/>
      <c r="LON168" s="500"/>
      <c r="LOO168" s="500"/>
      <c r="LOP168" s="500"/>
      <c r="LOQ168" s="500"/>
      <c r="LOR168" s="500"/>
      <c r="LOS168" s="500"/>
      <c r="LOT168" s="500"/>
      <c r="LOU168" s="500"/>
      <c r="LOV168" s="500"/>
      <c r="LOW168" s="500"/>
      <c r="LOX168" s="500"/>
      <c r="LOY168" s="500"/>
      <c r="LOZ168" s="500"/>
      <c r="LPA168" s="500"/>
      <c r="LPB168" s="500"/>
      <c r="LPC168" s="500"/>
      <c r="LPD168" s="500"/>
      <c r="LPE168" s="500"/>
      <c r="LPF168" s="500"/>
      <c r="LPG168" s="500"/>
      <c r="LPH168" s="500"/>
      <c r="LPI168" s="500"/>
      <c r="LPJ168" s="500"/>
      <c r="LPK168" s="500"/>
      <c r="LPL168" s="500"/>
      <c r="LPM168" s="500"/>
      <c r="LPN168" s="500"/>
      <c r="LPO168" s="500"/>
      <c r="LPP168" s="500"/>
      <c r="LPQ168" s="500"/>
      <c r="LPR168" s="500"/>
      <c r="LPS168" s="500"/>
      <c r="LPT168" s="500"/>
      <c r="LPU168" s="500"/>
      <c r="LPV168" s="500"/>
      <c r="LPW168" s="500"/>
      <c r="LPX168" s="500"/>
      <c r="LPY168" s="500"/>
      <c r="LPZ168" s="500"/>
      <c r="LQA168" s="500"/>
      <c r="LQB168" s="500"/>
      <c r="LQC168" s="500"/>
      <c r="LQD168" s="500"/>
      <c r="LQE168" s="500"/>
      <c r="LQF168" s="500"/>
      <c r="LQG168" s="500"/>
      <c r="LQH168" s="500"/>
      <c r="LQI168" s="500"/>
      <c r="LQJ168" s="500"/>
      <c r="LQK168" s="500"/>
      <c r="LQL168" s="500"/>
      <c r="LQM168" s="500"/>
      <c r="LQN168" s="500"/>
      <c r="LQO168" s="500"/>
      <c r="LQP168" s="500"/>
      <c r="LQQ168" s="500"/>
      <c r="LQR168" s="500"/>
      <c r="LQS168" s="500"/>
      <c r="LQT168" s="500"/>
      <c r="LQU168" s="500"/>
      <c r="LQV168" s="500"/>
      <c r="LQW168" s="500"/>
      <c r="LQX168" s="500"/>
      <c r="LQY168" s="500"/>
      <c r="LQZ168" s="500"/>
      <c r="LRA168" s="500"/>
      <c r="LRB168" s="500"/>
      <c r="LRC168" s="500"/>
      <c r="LRD168" s="500"/>
      <c r="LRE168" s="500"/>
      <c r="LRF168" s="500"/>
      <c r="LRG168" s="500"/>
      <c r="LRH168" s="500"/>
      <c r="LRI168" s="500"/>
      <c r="LRJ168" s="500"/>
      <c r="LRK168" s="500"/>
      <c r="LRL168" s="500"/>
      <c r="LRM168" s="500"/>
      <c r="LRN168" s="500"/>
      <c r="LRO168" s="500"/>
      <c r="LRP168" s="500"/>
      <c r="LRQ168" s="500"/>
      <c r="LRR168" s="500"/>
      <c r="LRS168" s="500"/>
      <c r="LRT168" s="500"/>
      <c r="LRU168" s="500"/>
      <c r="LRV168" s="500"/>
      <c r="LRW168" s="500"/>
      <c r="LRX168" s="500"/>
      <c r="LRY168" s="500"/>
      <c r="LRZ168" s="500"/>
      <c r="LSA168" s="500"/>
      <c r="LSB168" s="500"/>
      <c r="LSC168" s="500"/>
      <c r="LSD168" s="500"/>
      <c r="LSE168" s="500"/>
      <c r="LSF168" s="500"/>
      <c r="LSG168" s="500"/>
      <c r="LSH168" s="500"/>
      <c r="LSI168" s="500"/>
      <c r="LSJ168" s="500"/>
      <c r="LSK168" s="500"/>
      <c r="LSL168" s="500"/>
      <c r="LSM168" s="500"/>
      <c r="LSN168" s="500"/>
      <c r="LSO168" s="500"/>
      <c r="LSP168" s="500"/>
      <c r="LSQ168" s="500"/>
      <c r="LSR168" s="500"/>
      <c r="LSS168" s="500"/>
      <c r="LST168" s="500"/>
      <c r="LSU168" s="500"/>
      <c r="LSV168" s="500"/>
      <c r="LSW168" s="500"/>
      <c r="LSX168" s="500"/>
      <c r="LSY168" s="500"/>
      <c r="LSZ168" s="500"/>
      <c r="LTA168" s="500"/>
      <c r="LTB168" s="500"/>
      <c r="LTC168" s="500"/>
      <c r="LTD168" s="500"/>
      <c r="LTE168" s="500"/>
      <c r="LTF168" s="500"/>
      <c r="LTG168" s="500"/>
      <c r="LTH168" s="500"/>
      <c r="LTI168" s="500"/>
      <c r="LTJ168" s="500"/>
      <c r="LTK168" s="500"/>
      <c r="LTL168" s="500"/>
      <c r="LTM168" s="500"/>
      <c r="LTN168" s="500"/>
      <c r="LTO168" s="500"/>
      <c r="LTP168" s="500"/>
      <c r="LTQ168" s="500"/>
      <c r="LTR168" s="500"/>
      <c r="LTS168" s="500"/>
      <c r="LTT168" s="500"/>
      <c r="LTU168" s="500"/>
      <c r="LTV168" s="500"/>
      <c r="LTW168" s="500"/>
      <c r="LTX168" s="500"/>
      <c r="LTY168" s="500"/>
      <c r="LTZ168" s="500"/>
      <c r="LUA168" s="500"/>
      <c r="LUB168" s="500"/>
      <c r="LUC168" s="500"/>
      <c r="LUD168" s="500"/>
      <c r="LUE168" s="500"/>
      <c r="LUF168" s="500"/>
      <c r="LUG168" s="500"/>
      <c r="LUH168" s="500"/>
      <c r="LUI168" s="500"/>
      <c r="LUJ168" s="500"/>
      <c r="LUK168" s="500"/>
      <c r="LUL168" s="500"/>
      <c r="LUM168" s="500"/>
      <c r="LUN168" s="500"/>
      <c r="LUO168" s="500"/>
      <c r="LUP168" s="500"/>
      <c r="LUQ168" s="500"/>
      <c r="LUR168" s="500"/>
      <c r="LUS168" s="500"/>
      <c r="LUT168" s="500"/>
      <c r="LUU168" s="500"/>
      <c r="LUV168" s="500"/>
      <c r="LUW168" s="500"/>
      <c r="LUX168" s="500"/>
      <c r="LUY168" s="500"/>
      <c r="LUZ168" s="500"/>
      <c r="LVA168" s="500"/>
      <c r="LVB168" s="500"/>
      <c r="LVC168" s="500"/>
      <c r="LVD168" s="500"/>
      <c r="LVE168" s="500"/>
      <c r="LVF168" s="500"/>
      <c r="LVG168" s="500"/>
      <c r="LVH168" s="500"/>
      <c r="LVI168" s="500"/>
      <c r="LVJ168" s="500"/>
      <c r="LVK168" s="500"/>
      <c r="LVL168" s="500"/>
      <c r="LVM168" s="500"/>
      <c r="LVN168" s="500"/>
      <c r="LVO168" s="500"/>
      <c r="LVP168" s="500"/>
      <c r="LVQ168" s="500"/>
      <c r="LVR168" s="500"/>
      <c r="LVS168" s="500"/>
      <c r="LVT168" s="500"/>
      <c r="LVU168" s="500"/>
      <c r="LVV168" s="500"/>
      <c r="LVW168" s="500"/>
      <c r="LVX168" s="500"/>
      <c r="LVY168" s="500"/>
      <c r="LVZ168" s="500"/>
      <c r="LWA168" s="500"/>
      <c r="LWB168" s="500"/>
      <c r="LWC168" s="500"/>
      <c r="LWD168" s="500"/>
      <c r="LWE168" s="500"/>
      <c r="LWF168" s="500"/>
      <c r="LWG168" s="500"/>
      <c r="LWH168" s="500"/>
      <c r="LWI168" s="500"/>
      <c r="LWJ168" s="500"/>
      <c r="LWK168" s="500"/>
      <c r="LWL168" s="500"/>
      <c r="LWM168" s="500"/>
      <c r="LWN168" s="500"/>
      <c r="LWO168" s="500"/>
      <c r="LWP168" s="500"/>
      <c r="LWQ168" s="500"/>
      <c r="LWR168" s="500"/>
      <c r="LWS168" s="500"/>
      <c r="LWT168" s="500"/>
      <c r="LWU168" s="500"/>
      <c r="LWV168" s="500"/>
      <c r="LWW168" s="500"/>
      <c r="LWX168" s="500"/>
      <c r="LWY168" s="500"/>
      <c r="LWZ168" s="500"/>
      <c r="LXA168" s="500"/>
      <c r="LXB168" s="500"/>
      <c r="LXC168" s="500"/>
      <c r="LXD168" s="500"/>
      <c r="LXE168" s="500"/>
      <c r="LXF168" s="500"/>
      <c r="LXG168" s="500"/>
      <c r="LXH168" s="500"/>
      <c r="LXI168" s="500"/>
      <c r="LXJ168" s="500"/>
      <c r="LXK168" s="500"/>
      <c r="LXL168" s="500"/>
      <c r="LXM168" s="500"/>
      <c r="LXN168" s="500"/>
      <c r="LXO168" s="500"/>
      <c r="LXP168" s="500"/>
      <c r="LXQ168" s="500"/>
      <c r="LXR168" s="500"/>
      <c r="LXS168" s="500"/>
      <c r="LXT168" s="500"/>
      <c r="LXU168" s="500"/>
      <c r="LXV168" s="500"/>
      <c r="LXW168" s="500"/>
      <c r="LXX168" s="500"/>
      <c r="LXY168" s="500"/>
      <c r="LXZ168" s="500"/>
      <c r="LYA168" s="500"/>
      <c r="LYB168" s="500"/>
      <c r="LYC168" s="500"/>
      <c r="LYD168" s="500"/>
      <c r="LYE168" s="500"/>
      <c r="LYF168" s="500"/>
      <c r="LYG168" s="500"/>
      <c r="LYH168" s="500"/>
      <c r="LYI168" s="500"/>
      <c r="LYJ168" s="500"/>
      <c r="LYK168" s="500"/>
      <c r="LYL168" s="500"/>
      <c r="LYM168" s="500"/>
      <c r="LYN168" s="500"/>
      <c r="LYO168" s="500"/>
      <c r="LYP168" s="500"/>
      <c r="LYQ168" s="500"/>
      <c r="LYR168" s="500"/>
      <c r="LYS168" s="500"/>
      <c r="LYT168" s="500"/>
      <c r="LYU168" s="500"/>
      <c r="LYV168" s="500"/>
      <c r="LYW168" s="500"/>
      <c r="LYX168" s="500"/>
      <c r="LYY168" s="500"/>
      <c r="LYZ168" s="500"/>
      <c r="LZA168" s="500"/>
      <c r="LZB168" s="500"/>
      <c r="LZC168" s="500"/>
      <c r="LZD168" s="500"/>
      <c r="LZE168" s="500"/>
      <c r="LZF168" s="500"/>
      <c r="LZG168" s="500"/>
      <c r="LZH168" s="500"/>
      <c r="LZI168" s="500"/>
      <c r="LZJ168" s="500"/>
      <c r="LZK168" s="500"/>
      <c r="LZL168" s="500"/>
      <c r="LZM168" s="500"/>
      <c r="LZN168" s="500"/>
      <c r="LZO168" s="500"/>
      <c r="LZP168" s="500"/>
      <c r="LZQ168" s="500"/>
      <c r="LZR168" s="500"/>
      <c r="LZS168" s="500"/>
      <c r="LZT168" s="500"/>
      <c r="LZU168" s="500"/>
      <c r="LZV168" s="500"/>
      <c r="LZW168" s="500"/>
      <c r="LZX168" s="500"/>
      <c r="LZY168" s="500"/>
      <c r="LZZ168" s="500"/>
      <c r="MAA168" s="500"/>
      <c r="MAB168" s="500"/>
      <c r="MAC168" s="500"/>
      <c r="MAD168" s="500"/>
      <c r="MAE168" s="500"/>
      <c r="MAF168" s="500"/>
      <c r="MAG168" s="500"/>
      <c r="MAH168" s="500"/>
      <c r="MAI168" s="500"/>
      <c r="MAJ168" s="500"/>
      <c r="MAK168" s="500"/>
      <c r="MAL168" s="500"/>
      <c r="MAM168" s="500"/>
      <c r="MAN168" s="500"/>
      <c r="MAO168" s="500"/>
      <c r="MAP168" s="500"/>
      <c r="MAQ168" s="500"/>
      <c r="MAR168" s="500"/>
      <c r="MAS168" s="500"/>
      <c r="MAT168" s="500"/>
      <c r="MAU168" s="500"/>
      <c r="MAV168" s="500"/>
      <c r="MAW168" s="500"/>
      <c r="MAX168" s="500"/>
      <c r="MAY168" s="500"/>
      <c r="MAZ168" s="500"/>
      <c r="MBA168" s="500"/>
      <c r="MBB168" s="500"/>
      <c r="MBC168" s="500"/>
      <c r="MBD168" s="500"/>
      <c r="MBE168" s="500"/>
      <c r="MBF168" s="500"/>
      <c r="MBG168" s="500"/>
      <c r="MBH168" s="500"/>
      <c r="MBI168" s="500"/>
      <c r="MBJ168" s="500"/>
      <c r="MBK168" s="500"/>
      <c r="MBL168" s="500"/>
      <c r="MBM168" s="500"/>
      <c r="MBN168" s="500"/>
      <c r="MBO168" s="500"/>
      <c r="MBP168" s="500"/>
      <c r="MBQ168" s="500"/>
      <c r="MBR168" s="500"/>
      <c r="MBS168" s="500"/>
      <c r="MBT168" s="500"/>
      <c r="MBU168" s="500"/>
      <c r="MBV168" s="500"/>
      <c r="MBW168" s="500"/>
      <c r="MBX168" s="500"/>
      <c r="MBY168" s="500"/>
      <c r="MBZ168" s="500"/>
      <c r="MCA168" s="500"/>
      <c r="MCB168" s="500"/>
      <c r="MCC168" s="500"/>
      <c r="MCD168" s="500"/>
      <c r="MCE168" s="500"/>
      <c r="MCF168" s="500"/>
      <c r="MCG168" s="500"/>
      <c r="MCH168" s="500"/>
      <c r="MCI168" s="500"/>
      <c r="MCJ168" s="500"/>
      <c r="MCK168" s="500"/>
      <c r="MCL168" s="500"/>
      <c r="MCM168" s="500"/>
      <c r="MCN168" s="500"/>
      <c r="MCO168" s="500"/>
      <c r="MCP168" s="500"/>
      <c r="MCQ168" s="500"/>
      <c r="MCR168" s="500"/>
      <c r="MCS168" s="500"/>
      <c r="MCT168" s="500"/>
      <c r="MCU168" s="500"/>
      <c r="MCV168" s="500"/>
      <c r="MCW168" s="500"/>
      <c r="MCX168" s="500"/>
      <c r="MCY168" s="500"/>
      <c r="MCZ168" s="500"/>
      <c r="MDA168" s="500"/>
      <c r="MDB168" s="500"/>
      <c r="MDC168" s="500"/>
      <c r="MDD168" s="500"/>
      <c r="MDE168" s="500"/>
      <c r="MDF168" s="500"/>
      <c r="MDG168" s="500"/>
      <c r="MDH168" s="500"/>
      <c r="MDI168" s="500"/>
      <c r="MDJ168" s="500"/>
      <c r="MDK168" s="500"/>
      <c r="MDL168" s="500"/>
      <c r="MDM168" s="500"/>
      <c r="MDN168" s="500"/>
      <c r="MDO168" s="500"/>
      <c r="MDP168" s="500"/>
      <c r="MDQ168" s="500"/>
      <c r="MDR168" s="500"/>
      <c r="MDS168" s="500"/>
      <c r="MDT168" s="500"/>
      <c r="MDU168" s="500"/>
      <c r="MDV168" s="500"/>
      <c r="MDW168" s="500"/>
      <c r="MDX168" s="500"/>
      <c r="MDY168" s="500"/>
      <c r="MDZ168" s="500"/>
      <c r="MEA168" s="500"/>
      <c r="MEB168" s="500"/>
      <c r="MEC168" s="500"/>
      <c r="MED168" s="500"/>
      <c r="MEE168" s="500"/>
      <c r="MEF168" s="500"/>
      <c r="MEG168" s="500"/>
      <c r="MEH168" s="500"/>
      <c r="MEI168" s="500"/>
      <c r="MEJ168" s="500"/>
      <c r="MEK168" s="500"/>
      <c r="MEL168" s="500"/>
      <c r="MEM168" s="500"/>
      <c r="MEN168" s="500"/>
      <c r="MEO168" s="500"/>
      <c r="MEP168" s="500"/>
      <c r="MEQ168" s="500"/>
      <c r="MER168" s="500"/>
      <c r="MES168" s="500"/>
      <c r="MET168" s="500"/>
      <c r="MEU168" s="500"/>
      <c r="MEV168" s="500"/>
      <c r="MEW168" s="500"/>
      <c r="MEX168" s="500"/>
      <c r="MEY168" s="500"/>
      <c r="MEZ168" s="500"/>
      <c r="MFA168" s="500"/>
      <c r="MFB168" s="500"/>
      <c r="MFC168" s="500"/>
      <c r="MFD168" s="500"/>
      <c r="MFE168" s="500"/>
      <c r="MFF168" s="500"/>
      <c r="MFG168" s="500"/>
      <c r="MFH168" s="500"/>
      <c r="MFI168" s="500"/>
      <c r="MFJ168" s="500"/>
      <c r="MFK168" s="500"/>
      <c r="MFL168" s="500"/>
      <c r="MFM168" s="500"/>
      <c r="MFN168" s="500"/>
      <c r="MFO168" s="500"/>
      <c r="MFP168" s="500"/>
      <c r="MFQ168" s="500"/>
      <c r="MFR168" s="500"/>
      <c r="MFS168" s="500"/>
      <c r="MFT168" s="500"/>
      <c r="MFU168" s="500"/>
      <c r="MFV168" s="500"/>
      <c r="MFW168" s="500"/>
      <c r="MFX168" s="500"/>
      <c r="MFY168" s="500"/>
      <c r="MFZ168" s="500"/>
      <c r="MGA168" s="500"/>
      <c r="MGB168" s="500"/>
      <c r="MGC168" s="500"/>
      <c r="MGD168" s="500"/>
      <c r="MGE168" s="500"/>
      <c r="MGF168" s="500"/>
      <c r="MGG168" s="500"/>
      <c r="MGH168" s="500"/>
      <c r="MGI168" s="500"/>
      <c r="MGJ168" s="500"/>
      <c r="MGK168" s="500"/>
      <c r="MGL168" s="500"/>
      <c r="MGM168" s="500"/>
      <c r="MGN168" s="500"/>
      <c r="MGO168" s="500"/>
      <c r="MGP168" s="500"/>
      <c r="MGQ168" s="500"/>
      <c r="MGR168" s="500"/>
      <c r="MGS168" s="500"/>
      <c r="MGT168" s="500"/>
      <c r="MGU168" s="500"/>
      <c r="MGV168" s="500"/>
      <c r="MGW168" s="500"/>
      <c r="MGX168" s="500"/>
      <c r="MGY168" s="500"/>
      <c r="MGZ168" s="500"/>
      <c r="MHA168" s="500"/>
      <c r="MHB168" s="500"/>
      <c r="MHC168" s="500"/>
      <c r="MHD168" s="500"/>
      <c r="MHE168" s="500"/>
      <c r="MHF168" s="500"/>
      <c r="MHG168" s="500"/>
      <c r="MHH168" s="500"/>
      <c r="MHI168" s="500"/>
      <c r="MHJ168" s="500"/>
      <c r="MHK168" s="500"/>
      <c r="MHL168" s="500"/>
      <c r="MHM168" s="500"/>
      <c r="MHN168" s="500"/>
      <c r="MHO168" s="500"/>
      <c r="MHP168" s="500"/>
      <c r="MHQ168" s="500"/>
      <c r="MHR168" s="500"/>
      <c r="MHS168" s="500"/>
      <c r="MHT168" s="500"/>
      <c r="MHU168" s="500"/>
      <c r="MHV168" s="500"/>
      <c r="MHW168" s="500"/>
      <c r="MHX168" s="500"/>
      <c r="MHY168" s="500"/>
      <c r="MHZ168" s="500"/>
      <c r="MIA168" s="500"/>
      <c r="MIB168" s="500"/>
      <c r="MIC168" s="500"/>
      <c r="MID168" s="500"/>
      <c r="MIE168" s="500"/>
      <c r="MIF168" s="500"/>
      <c r="MIG168" s="500"/>
      <c r="MIH168" s="500"/>
      <c r="MII168" s="500"/>
      <c r="MIJ168" s="500"/>
      <c r="MIK168" s="500"/>
      <c r="MIL168" s="500"/>
      <c r="MIM168" s="500"/>
      <c r="MIN168" s="500"/>
      <c r="MIO168" s="500"/>
      <c r="MIP168" s="500"/>
      <c r="MIQ168" s="500"/>
      <c r="MIR168" s="500"/>
      <c r="MIS168" s="500"/>
      <c r="MIT168" s="500"/>
      <c r="MIU168" s="500"/>
      <c r="MIV168" s="500"/>
      <c r="MIW168" s="500"/>
      <c r="MIX168" s="500"/>
      <c r="MIY168" s="500"/>
      <c r="MIZ168" s="500"/>
      <c r="MJA168" s="500"/>
      <c r="MJB168" s="500"/>
      <c r="MJC168" s="500"/>
      <c r="MJD168" s="500"/>
      <c r="MJE168" s="500"/>
      <c r="MJF168" s="500"/>
      <c r="MJG168" s="500"/>
      <c r="MJH168" s="500"/>
      <c r="MJI168" s="500"/>
      <c r="MJJ168" s="500"/>
      <c r="MJK168" s="500"/>
      <c r="MJL168" s="500"/>
      <c r="MJM168" s="500"/>
      <c r="MJN168" s="500"/>
      <c r="MJO168" s="500"/>
      <c r="MJP168" s="500"/>
      <c r="MJQ168" s="500"/>
      <c r="MJR168" s="500"/>
      <c r="MJS168" s="500"/>
      <c r="MJT168" s="500"/>
      <c r="MJU168" s="500"/>
      <c r="MJV168" s="500"/>
      <c r="MJW168" s="500"/>
      <c r="MJX168" s="500"/>
      <c r="MJY168" s="500"/>
      <c r="MJZ168" s="500"/>
      <c r="MKA168" s="500"/>
      <c r="MKB168" s="500"/>
      <c r="MKC168" s="500"/>
      <c r="MKD168" s="500"/>
      <c r="MKE168" s="500"/>
      <c r="MKF168" s="500"/>
      <c r="MKG168" s="500"/>
      <c r="MKH168" s="500"/>
      <c r="MKI168" s="500"/>
      <c r="MKJ168" s="500"/>
      <c r="MKK168" s="500"/>
      <c r="MKL168" s="500"/>
      <c r="MKM168" s="500"/>
      <c r="MKN168" s="500"/>
      <c r="MKO168" s="500"/>
      <c r="MKP168" s="500"/>
      <c r="MKQ168" s="500"/>
      <c r="MKR168" s="500"/>
      <c r="MKS168" s="500"/>
      <c r="MKT168" s="500"/>
      <c r="MKU168" s="500"/>
      <c r="MKV168" s="500"/>
      <c r="MKW168" s="500"/>
      <c r="MKX168" s="500"/>
      <c r="MKY168" s="500"/>
      <c r="MKZ168" s="500"/>
      <c r="MLA168" s="500"/>
      <c r="MLB168" s="500"/>
      <c r="MLC168" s="500"/>
      <c r="MLD168" s="500"/>
      <c r="MLE168" s="500"/>
      <c r="MLF168" s="500"/>
      <c r="MLG168" s="500"/>
      <c r="MLH168" s="500"/>
      <c r="MLI168" s="500"/>
      <c r="MLJ168" s="500"/>
      <c r="MLK168" s="500"/>
      <c r="MLL168" s="500"/>
      <c r="MLM168" s="500"/>
      <c r="MLN168" s="500"/>
      <c r="MLO168" s="500"/>
      <c r="MLP168" s="500"/>
      <c r="MLQ168" s="500"/>
      <c r="MLR168" s="500"/>
      <c r="MLS168" s="500"/>
      <c r="MLT168" s="500"/>
      <c r="MLU168" s="500"/>
      <c r="MLV168" s="500"/>
      <c r="MLW168" s="500"/>
      <c r="MLX168" s="500"/>
      <c r="MLY168" s="500"/>
      <c r="MLZ168" s="500"/>
      <c r="MMA168" s="500"/>
      <c r="MMB168" s="500"/>
      <c r="MMC168" s="500"/>
      <c r="MMD168" s="500"/>
      <c r="MME168" s="500"/>
      <c r="MMF168" s="500"/>
      <c r="MMG168" s="500"/>
      <c r="MMH168" s="500"/>
      <c r="MMI168" s="500"/>
      <c r="MMJ168" s="500"/>
      <c r="MMK168" s="500"/>
      <c r="MML168" s="500"/>
      <c r="MMM168" s="500"/>
      <c r="MMN168" s="500"/>
      <c r="MMO168" s="500"/>
      <c r="MMP168" s="500"/>
      <c r="MMQ168" s="500"/>
      <c r="MMR168" s="500"/>
      <c r="MMS168" s="500"/>
      <c r="MMT168" s="500"/>
      <c r="MMU168" s="500"/>
      <c r="MMV168" s="500"/>
      <c r="MMW168" s="500"/>
      <c r="MMX168" s="500"/>
      <c r="MMY168" s="500"/>
      <c r="MMZ168" s="500"/>
      <c r="MNA168" s="500"/>
      <c r="MNB168" s="500"/>
      <c r="MNC168" s="500"/>
      <c r="MND168" s="500"/>
      <c r="MNE168" s="500"/>
      <c r="MNF168" s="500"/>
      <c r="MNG168" s="500"/>
      <c r="MNH168" s="500"/>
      <c r="MNI168" s="500"/>
      <c r="MNJ168" s="500"/>
      <c r="MNK168" s="500"/>
      <c r="MNL168" s="500"/>
      <c r="MNM168" s="500"/>
      <c r="MNN168" s="500"/>
      <c r="MNO168" s="500"/>
      <c r="MNP168" s="500"/>
      <c r="MNQ168" s="500"/>
      <c r="MNR168" s="500"/>
      <c r="MNS168" s="500"/>
      <c r="MNT168" s="500"/>
      <c r="MNU168" s="500"/>
      <c r="MNV168" s="500"/>
      <c r="MNW168" s="500"/>
      <c r="MNX168" s="500"/>
      <c r="MNY168" s="500"/>
      <c r="MNZ168" s="500"/>
      <c r="MOA168" s="500"/>
      <c r="MOB168" s="500"/>
      <c r="MOC168" s="500"/>
      <c r="MOD168" s="500"/>
      <c r="MOE168" s="500"/>
      <c r="MOF168" s="500"/>
      <c r="MOG168" s="500"/>
      <c r="MOH168" s="500"/>
      <c r="MOI168" s="500"/>
      <c r="MOJ168" s="500"/>
      <c r="MOK168" s="500"/>
      <c r="MOL168" s="500"/>
      <c r="MOM168" s="500"/>
      <c r="MON168" s="500"/>
      <c r="MOO168" s="500"/>
      <c r="MOP168" s="500"/>
      <c r="MOQ168" s="500"/>
      <c r="MOR168" s="500"/>
      <c r="MOS168" s="500"/>
      <c r="MOT168" s="500"/>
      <c r="MOU168" s="500"/>
      <c r="MOV168" s="500"/>
      <c r="MOW168" s="500"/>
      <c r="MOX168" s="500"/>
      <c r="MOY168" s="500"/>
      <c r="MOZ168" s="500"/>
      <c r="MPA168" s="500"/>
      <c r="MPB168" s="500"/>
      <c r="MPC168" s="500"/>
      <c r="MPD168" s="500"/>
      <c r="MPE168" s="500"/>
      <c r="MPF168" s="500"/>
      <c r="MPG168" s="500"/>
      <c r="MPH168" s="500"/>
      <c r="MPI168" s="500"/>
      <c r="MPJ168" s="500"/>
      <c r="MPK168" s="500"/>
      <c r="MPL168" s="500"/>
      <c r="MPM168" s="500"/>
      <c r="MPN168" s="500"/>
      <c r="MPO168" s="500"/>
      <c r="MPP168" s="500"/>
      <c r="MPQ168" s="500"/>
      <c r="MPR168" s="500"/>
      <c r="MPS168" s="500"/>
      <c r="MPT168" s="500"/>
      <c r="MPU168" s="500"/>
      <c r="MPV168" s="500"/>
      <c r="MPW168" s="500"/>
      <c r="MPX168" s="500"/>
      <c r="MPY168" s="500"/>
      <c r="MPZ168" s="500"/>
      <c r="MQA168" s="500"/>
      <c r="MQB168" s="500"/>
      <c r="MQC168" s="500"/>
      <c r="MQD168" s="500"/>
      <c r="MQE168" s="500"/>
      <c r="MQF168" s="500"/>
      <c r="MQG168" s="500"/>
      <c r="MQH168" s="500"/>
      <c r="MQI168" s="500"/>
      <c r="MQJ168" s="500"/>
      <c r="MQK168" s="500"/>
      <c r="MQL168" s="500"/>
      <c r="MQM168" s="500"/>
      <c r="MQN168" s="500"/>
      <c r="MQO168" s="500"/>
      <c r="MQP168" s="500"/>
      <c r="MQQ168" s="500"/>
      <c r="MQR168" s="500"/>
      <c r="MQS168" s="500"/>
      <c r="MQT168" s="500"/>
      <c r="MQU168" s="500"/>
      <c r="MQV168" s="500"/>
      <c r="MQW168" s="500"/>
      <c r="MQX168" s="500"/>
      <c r="MQY168" s="500"/>
      <c r="MQZ168" s="500"/>
      <c r="MRA168" s="500"/>
      <c r="MRB168" s="500"/>
      <c r="MRC168" s="500"/>
      <c r="MRD168" s="500"/>
      <c r="MRE168" s="500"/>
      <c r="MRF168" s="500"/>
      <c r="MRG168" s="500"/>
      <c r="MRH168" s="500"/>
      <c r="MRI168" s="500"/>
      <c r="MRJ168" s="500"/>
      <c r="MRK168" s="500"/>
      <c r="MRL168" s="500"/>
      <c r="MRM168" s="500"/>
      <c r="MRN168" s="500"/>
      <c r="MRO168" s="500"/>
      <c r="MRP168" s="500"/>
      <c r="MRQ168" s="500"/>
      <c r="MRR168" s="500"/>
      <c r="MRS168" s="500"/>
      <c r="MRT168" s="500"/>
      <c r="MRU168" s="500"/>
      <c r="MRV168" s="500"/>
      <c r="MRW168" s="500"/>
      <c r="MRX168" s="500"/>
      <c r="MRY168" s="500"/>
      <c r="MRZ168" s="500"/>
      <c r="MSA168" s="500"/>
      <c r="MSB168" s="500"/>
      <c r="MSC168" s="500"/>
      <c r="MSD168" s="500"/>
      <c r="MSE168" s="500"/>
      <c r="MSF168" s="500"/>
      <c r="MSG168" s="500"/>
      <c r="MSH168" s="500"/>
      <c r="MSI168" s="500"/>
      <c r="MSJ168" s="500"/>
      <c r="MSK168" s="500"/>
      <c r="MSL168" s="500"/>
      <c r="MSM168" s="500"/>
      <c r="MSN168" s="500"/>
      <c r="MSO168" s="500"/>
      <c r="MSP168" s="500"/>
      <c r="MSQ168" s="500"/>
      <c r="MSR168" s="500"/>
      <c r="MSS168" s="500"/>
      <c r="MST168" s="500"/>
      <c r="MSU168" s="500"/>
      <c r="MSV168" s="500"/>
      <c r="MSW168" s="500"/>
      <c r="MSX168" s="500"/>
      <c r="MSY168" s="500"/>
      <c r="MSZ168" s="500"/>
      <c r="MTA168" s="500"/>
      <c r="MTB168" s="500"/>
      <c r="MTC168" s="500"/>
      <c r="MTD168" s="500"/>
      <c r="MTE168" s="500"/>
      <c r="MTF168" s="500"/>
      <c r="MTG168" s="500"/>
      <c r="MTH168" s="500"/>
      <c r="MTI168" s="500"/>
      <c r="MTJ168" s="500"/>
      <c r="MTK168" s="500"/>
      <c r="MTL168" s="500"/>
      <c r="MTM168" s="500"/>
      <c r="MTN168" s="500"/>
      <c r="MTO168" s="500"/>
      <c r="MTP168" s="500"/>
      <c r="MTQ168" s="500"/>
      <c r="MTR168" s="500"/>
      <c r="MTS168" s="500"/>
      <c r="MTT168" s="500"/>
      <c r="MTU168" s="500"/>
      <c r="MTV168" s="500"/>
      <c r="MTW168" s="500"/>
      <c r="MTX168" s="500"/>
      <c r="MTY168" s="500"/>
      <c r="MTZ168" s="500"/>
      <c r="MUA168" s="500"/>
      <c r="MUB168" s="500"/>
      <c r="MUC168" s="500"/>
      <c r="MUD168" s="500"/>
      <c r="MUE168" s="500"/>
      <c r="MUF168" s="500"/>
      <c r="MUG168" s="500"/>
      <c r="MUH168" s="500"/>
      <c r="MUI168" s="500"/>
      <c r="MUJ168" s="500"/>
      <c r="MUK168" s="500"/>
      <c r="MUL168" s="500"/>
      <c r="MUM168" s="500"/>
      <c r="MUN168" s="500"/>
      <c r="MUO168" s="500"/>
      <c r="MUP168" s="500"/>
      <c r="MUQ168" s="500"/>
      <c r="MUR168" s="500"/>
      <c r="MUS168" s="500"/>
      <c r="MUT168" s="500"/>
      <c r="MUU168" s="500"/>
      <c r="MUV168" s="500"/>
      <c r="MUW168" s="500"/>
      <c r="MUX168" s="500"/>
      <c r="MUY168" s="500"/>
      <c r="MUZ168" s="500"/>
      <c r="MVA168" s="500"/>
      <c r="MVB168" s="500"/>
      <c r="MVC168" s="500"/>
      <c r="MVD168" s="500"/>
      <c r="MVE168" s="500"/>
      <c r="MVF168" s="500"/>
      <c r="MVG168" s="500"/>
      <c r="MVH168" s="500"/>
      <c r="MVI168" s="500"/>
      <c r="MVJ168" s="500"/>
      <c r="MVK168" s="500"/>
      <c r="MVL168" s="500"/>
      <c r="MVM168" s="500"/>
      <c r="MVN168" s="500"/>
      <c r="MVO168" s="500"/>
      <c r="MVP168" s="500"/>
      <c r="MVQ168" s="500"/>
      <c r="MVR168" s="500"/>
      <c r="MVS168" s="500"/>
      <c r="MVT168" s="500"/>
      <c r="MVU168" s="500"/>
      <c r="MVV168" s="500"/>
      <c r="MVW168" s="500"/>
      <c r="MVX168" s="500"/>
      <c r="MVY168" s="500"/>
      <c r="MVZ168" s="500"/>
      <c r="MWA168" s="500"/>
      <c r="MWB168" s="500"/>
      <c r="MWC168" s="500"/>
      <c r="MWD168" s="500"/>
      <c r="MWE168" s="500"/>
      <c r="MWF168" s="500"/>
      <c r="MWG168" s="500"/>
      <c r="MWH168" s="500"/>
      <c r="MWI168" s="500"/>
      <c r="MWJ168" s="500"/>
      <c r="MWK168" s="500"/>
      <c r="MWL168" s="500"/>
      <c r="MWM168" s="500"/>
      <c r="MWN168" s="500"/>
      <c r="MWO168" s="500"/>
      <c r="MWP168" s="500"/>
      <c r="MWQ168" s="500"/>
      <c r="MWR168" s="500"/>
      <c r="MWS168" s="500"/>
      <c r="MWT168" s="500"/>
      <c r="MWU168" s="500"/>
      <c r="MWV168" s="500"/>
      <c r="MWW168" s="500"/>
      <c r="MWX168" s="500"/>
      <c r="MWY168" s="500"/>
      <c r="MWZ168" s="500"/>
      <c r="MXA168" s="500"/>
      <c r="MXB168" s="500"/>
      <c r="MXC168" s="500"/>
      <c r="MXD168" s="500"/>
      <c r="MXE168" s="500"/>
      <c r="MXF168" s="500"/>
      <c r="MXG168" s="500"/>
      <c r="MXH168" s="500"/>
      <c r="MXI168" s="500"/>
      <c r="MXJ168" s="500"/>
      <c r="MXK168" s="500"/>
      <c r="MXL168" s="500"/>
      <c r="MXM168" s="500"/>
      <c r="MXN168" s="500"/>
      <c r="MXO168" s="500"/>
      <c r="MXP168" s="500"/>
      <c r="MXQ168" s="500"/>
      <c r="MXR168" s="500"/>
      <c r="MXS168" s="500"/>
      <c r="MXT168" s="500"/>
      <c r="MXU168" s="500"/>
      <c r="MXV168" s="500"/>
      <c r="MXW168" s="500"/>
      <c r="MXX168" s="500"/>
      <c r="MXY168" s="500"/>
      <c r="MXZ168" s="500"/>
      <c r="MYA168" s="500"/>
      <c r="MYB168" s="500"/>
      <c r="MYC168" s="500"/>
      <c r="MYD168" s="500"/>
      <c r="MYE168" s="500"/>
      <c r="MYF168" s="500"/>
      <c r="MYG168" s="500"/>
      <c r="MYH168" s="500"/>
      <c r="MYI168" s="500"/>
      <c r="MYJ168" s="500"/>
      <c r="MYK168" s="500"/>
      <c r="MYL168" s="500"/>
      <c r="MYM168" s="500"/>
      <c r="MYN168" s="500"/>
      <c r="MYO168" s="500"/>
      <c r="MYP168" s="500"/>
      <c r="MYQ168" s="500"/>
      <c r="MYR168" s="500"/>
      <c r="MYS168" s="500"/>
      <c r="MYT168" s="500"/>
      <c r="MYU168" s="500"/>
      <c r="MYV168" s="500"/>
      <c r="MYW168" s="500"/>
      <c r="MYX168" s="500"/>
      <c r="MYY168" s="500"/>
      <c r="MYZ168" s="500"/>
      <c r="MZA168" s="500"/>
      <c r="MZB168" s="500"/>
      <c r="MZC168" s="500"/>
      <c r="MZD168" s="500"/>
      <c r="MZE168" s="500"/>
      <c r="MZF168" s="500"/>
      <c r="MZG168" s="500"/>
      <c r="MZH168" s="500"/>
      <c r="MZI168" s="500"/>
      <c r="MZJ168" s="500"/>
      <c r="MZK168" s="500"/>
      <c r="MZL168" s="500"/>
      <c r="MZM168" s="500"/>
      <c r="MZN168" s="500"/>
      <c r="MZO168" s="500"/>
      <c r="MZP168" s="500"/>
      <c r="MZQ168" s="500"/>
      <c r="MZR168" s="500"/>
      <c r="MZS168" s="500"/>
      <c r="MZT168" s="500"/>
      <c r="MZU168" s="500"/>
      <c r="MZV168" s="500"/>
      <c r="MZW168" s="500"/>
      <c r="MZX168" s="500"/>
      <c r="MZY168" s="500"/>
      <c r="MZZ168" s="500"/>
      <c r="NAA168" s="500"/>
      <c r="NAB168" s="500"/>
      <c r="NAC168" s="500"/>
      <c r="NAD168" s="500"/>
      <c r="NAE168" s="500"/>
      <c r="NAF168" s="500"/>
      <c r="NAG168" s="500"/>
      <c r="NAH168" s="500"/>
      <c r="NAI168" s="500"/>
      <c r="NAJ168" s="500"/>
      <c r="NAK168" s="500"/>
      <c r="NAL168" s="500"/>
      <c r="NAM168" s="500"/>
      <c r="NAN168" s="500"/>
      <c r="NAO168" s="500"/>
      <c r="NAP168" s="500"/>
      <c r="NAQ168" s="500"/>
      <c r="NAR168" s="500"/>
      <c r="NAS168" s="500"/>
      <c r="NAT168" s="500"/>
      <c r="NAU168" s="500"/>
      <c r="NAV168" s="500"/>
      <c r="NAW168" s="500"/>
      <c r="NAX168" s="500"/>
      <c r="NAY168" s="500"/>
      <c r="NAZ168" s="500"/>
      <c r="NBA168" s="500"/>
      <c r="NBB168" s="500"/>
      <c r="NBC168" s="500"/>
      <c r="NBD168" s="500"/>
      <c r="NBE168" s="500"/>
      <c r="NBF168" s="500"/>
      <c r="NBG168" s="500"/>
      <c r="NBH168" s="500"/>
      <c r="NBI168" s="500"/>
      <c r="NBJ168" s="500"/>
      <c r="NBK168" s="500"/>
      <c r="NBL168" s="500"/>
      <c r="NBM168" s="500"/>
      <c r="NBN168" s="500"/>
      <c r="NBO168" s="500"/>
      <c r="NBP168" s="500"/>
      <c r="NBQ168" s="500"/>
      <c r="NBR168" s="500"/>
      <c r="NBS168" s="500"/>
      <c r="NBT168" s="500"/>
      <c r="NBU168" s="500"/>
      <c r="NBV168" s="500"/>
      <c r="NBW168" s="500"/>
      <c r="NBX168" s="500"/>
      <c r="NBY168" s="500"/>
      <c r="NBZ168" s="500"/>
      <c r="NCA168" s="500"/>
      <c r="NCB168" s="500"/>
      <c r="NCC168" s="500"/>
      <c r="NCD168" s="500"/>
      <c r="NCE168" s="500"/>
      <c r="NCF168" s="500"/>
      <c r="NCG168" s="500"/>
      <c r="NCH168" s="500"/>
      <c r="NCI168" s="500"/>
      <c r="NCJ168" s="500"/>
      <c r="NCK168" s="500"/>
      <c r="NCL168" s="500"/>
      <c r="NCM168" s="500"/>
      <c r="NCN168" s="500"/>
      <c r="NCO168" s="500"/>
      <c r="NCP168" s="500"/>
      <c r="NCQ168" s="500"/>
      <c r="NCR168" s="500"/>
      <c r="NCS168" s="500"/>
      <c r="NCT168" s="500"/>
      <c r="NCU168" s="500"/>
      <c r="NCV168" s="500"/>
      <c r="NCW168" s="500"/>
      <c r="NCX168" s="500"/>
      <c r="NCY168" s="500"/>
      <c r="NCZ168" s="500"/>
      <c r="NDA168" s="500"/>
      <c r="NDB168" s="500"/>
      <c r="NDC168" s="500"/>
      <c r="NDD168" s="500"/>
      <c r="NDE168" s="500"/>
      <c r="NDF168" s="500"/>
      <c r="NDG168" s="500"/>
      <c r="NDH168" s="500"/>
      <c r="NDI168" s="500"/>
      <c r="NDJ168" s="500"/>
      <c r="NDK168" s="500"/>
      <c r="NDL168" s="500"/>
      <c r="NDM168" s="500"/>
      <c r="NDN168" s="500"/>
      <c r="NDO168" s="500"/>
      <c r="NDP168" s="500"/>
      <c r="NDQ168" s="500"/>
      <c r="NDR168" s="500"/>
      <c r="NDS168" s="500"/>
      <c r="NDT168" s="500"/>
      <c r="NDU168" s="500"/>
      <c r="NDV168" s="500"/>
      <c r="NDW168" s="500"/>
      <c r="NDX168" s="500"/>
      <c r="NDY168" s="500"/>
      <c r="NDZ168" s="500"/>
      <c r="NEA168" s="500"/>
      <c r="NEB168" s="500"/>
      <c r="NEC168" s="500"/>
      <c r="NED168" s="500"/>
      <c r="NEE168" s="500"/>
      <c r="NEF168" s="500"/>
      <c r="NEG168" s="500"/>
      <c r="NEH168" s="500"/>
      <c r="NEI168" s="500"/>
      <c r="NEJ168" s="500"/>
      <c r="NEK168" s="500"/>
      <c r="NEL168" s="500"/>
      <c r="NEM168" s="500"/>
      <c r="NEN168" s="500"/>
      <c r="NEO168" s="500"/>
      <c r="NEP168" s="500"/>
      <c r="NEQ168" s="500"/>
      <c r="NER168" s="500"/>
      <c r="NES168" s="500"/>
      <c r="NET168" s="500"/>
      <c r="NEU168" s="500"/>
      <c r="NEV168" s="500"/>
      <c r="NEW168" s="500"/>
      <c r="NEX168" s="500"/>
      <c r="NEY168" s="500"/>
      <c r="NEZ168" s="500"/>
      <c r="NFA168" s="500"/>
      <c r="NFB168" s="500"/>
      <c r="NFC168" s="500"/>
      <c r="NFD168" s="500"/>
      <c r="NFE168" s="500"/>
      <c r="NFF168" s="500"/>
      <c r="NFG168" s="500"/>
      <c r="NFH168" s="500"/>
      <c r="NFI168" s="500"/>
      <c r="NFJ168" s="500"/>
      <c r="NFK168" s="500"/>
      <c r="NFL168" s="500"/>
      <c r="NFM168" s="500"/>
      <c r="NFN168" s="500"/>
      <c r="NFO168" s="500"/>
      <c r="NFP168" s="500"/>
      <c r="NFQ168" s="500"/>
      <c r="NFR168" s="500"/>
      <c r="NFS168" s="500"/>
      <c r="NFT168" s="500"/>
      <c r="NFU168" s="500"/>
      <c r="NFV168" s="500"/>
      <c r="NFW168" s="500"/>
      <c r="NFX168" s="500"/>
      <c r="NFY168" s="500"/>
      <c r="NFZ168" s="500"/>
      <c r="NGA168" s="500"/>
      <c r="NGB168" s="500"/>
      <c r="NGC168" s="500"/>
      <c r="NGD168" s="500"/>
      <c r="NGE168" s="500"/>
      <c r="NGF168" s="500"/>
      <c r="NGG168" s="500"/>
      <c r="NGH168" s="500"/>
      <c r="NGI168" s="500"/>
      <c r="NGJ168" s="500"/>
      <c r="NGK168" s="500"/>
      <c r="NGL168" s="500"/>
      <c r="NGM168" s="500"/>
      <c r="NGN168" s="500"/>
      <c r="NGO168" s="500"/>
      <c r="NGP168" s="500"/>
      <c r="NGQ168" s="500"/>
      <c r="NGR168" s="500"/>
      <c r="NGS168" s="500"/>
      <c r="NGT168" s="500"/>
      <c r="NGU168" s="500"/>
      <c r="NGV168" s="500"/>
      <c r="NGW168" s="500"/>
      <c r="NGX168" s="500"/>
      <c r="NGY168" s="500"/>
      <c r="NGZ168" s="500"/>
      <c r="NHA168" s="500"/>
      <c r="NHB168" s="500"/>
      <c r="NHC168" s="500"/>
      <c r="NHD168" s="500"/>
      <c r="NHE168" s="500"/>
      <c r="NHF168" s="500"/>
      <c r="NHG168" s="500"/>
      <c r="NHH168" s="500"/>
      <c r="NHI168" s="500"/>
      <c r="NHJ168" s="500"/>
      <c r="NHK168" s="500"/>
      <c r="NHL168" s="500"/>
      <c r="NHM168" s="500"/>
      <c r="NHN168" s="500"/>
      <c r="NHO168" s="500"/>
      <c r="NHP168" s="500"/>
      <c r="NHQ168" s="500"/>
      <c r="NHR168" s="500"/>
      <c r="NHS168" s="500"/>
      <c r="NHT168" s="500"/>
      <c r="NHU168" s="500"/>
      <c r="NHV168" s="500"/>
      <c r="NHW168" s="500"/>
      <c r="NHX168" s="500"/>
      <c r="NHY168" s="500"/>
      <c r="NHZ168" s="500"/>
      <c r="NIA168" s="500"/>
      <c r="NIB168" s="500"/>
      <c r="NIC168" s="500"/>
      <c r="NID168" s="500"/>
      <c r="NIE168" s="500"/>
      <c r="NIF168" s="500"/>
      <c r="NIG168" s="500"/>
      <c r="NIH168" s="500"/>
      <c r="NII168" s="500"/>
      <c r="NIJ168" s="500"/>
      <c r="NIK168" s="500"/>
      <c r="NIL168" s="500"/>
      <c r="NIM168" s="500"/>
      <c r="NIN168" s="500"/>
      <c r="NIO168" s="500"/>
      <c r="NIP168" s="500"/>
      <c r="NIQ168" s="500"/>
      <c r="NIR168" s="500"/>
      <c r="NIS168" s="500"/>
      <c r="NIT168" s="500"/>
      <c r="NIU168" s="500"/>
      <c r="NIV168" s="500"/>
      <c r="NIW168" s="500"/>
      <c r="NIX168" s="500"/>
      <c r="NIY168" s="500"/>
      <c r="NIZ168" s="500"/>
      <c r="NJA168" s="500"/>
      <c r="NJB168" s="500"/>
      <c r="NJC168" s="500"/>
      <c r="NJD168" s="500"/>
      <c r="NJE168" s="500"/>
      <c r="NJF168" s="500"/>
      <c r="NJG168" s="500"/>
      <c r="NJH168" s="500"/>
      <c r="NJI168" s="500"/>
      <c r="NJJ168" s="500"/>
      <c r="NJK168" s="500"/>
      <c r="NJL168" s="500"/>
      <c r="NJM168" s="500"/>
      <c r="NJN168" s="500"/>
      <c r="NJO168" s="500"/>
      <c r="NJP168" s="500"/>
      <c r="NJQ168" s="500"/>
      <c r="NJR168" s="500"/>
      <c r="NJS168" s="500"/>
      <c r="NJT168" s="500"/>
      <c r="NJU168" s="500"/>
      <c r="NJV168" s="500"/>
      <c r="NJW168" s="500"/>
      <c r="NJX168" s="500"/>
      <c r="NJY168" s="500"/>
      <c r="NJZ168" s="500"/>
      <c r="NKA168" s="500"/>
      <c r="NKB168" s="500"/>
      <c r="NKC168" s="500"/>
      <c r="NKD168" s="500"/>
      <c r="NKE168" s="500"/>
      <c r="NKF168" s="500"/>
      <c r="NKG168" s="500"/>
      <c r="NKH168" s="500"/>
      <c r="NKI168" s="500"/>
      <c r="NKJ168" s="500"/>
      <c r="NKK168" s="500"/>
      <c r="NKL168" s="500"/>
      <c r="NKM168" s="500"/>
      <c r="NKN168" s="500"/>
      <c r="NKO168" s="500"/>
      <c r="NKP168" s="500"/>
      <c r="NKQ168" s="500"/>
      <c r="NKR168" s="500"/>
      <c r="NKS168" s="500"/>
      <c r="NKT168" s="500"/>
      <c r="NKU168" s="500"/>
      <c r="NKV168" s="500"/>
      <c r="NKW168" s="500"/>
      <c r="NKX168" s="500"/>
      <c r="NKY168" s="500"/>
      <c r="NKZ168" s="500"/>
      <c r="NLA168" s="500"/>
      <c r="NLB168" s="500"/>
      <c r="NLC168" s="500"/>
      <c r="NLD168" s="500"/>
      <c r="NLE168" s="500"/>
      <c r="NLF168" s="500"/>
      <c r="NLG168" s="500"/>
      <c r="NLH168" s="500"/>
      <c r="NLI168" s="500"/>
      <c r="NLJ168" s="500"/>
      <c r="NLK168" s="500"/>
      <c r="NLL168" s="500"/>
      <c r="NLM168" s="500"/>
      <c r="NLN168" s="500"/>
      <c r="NLO168" s="500"/>
      <c r="NLP168" s="500"/>
      <c r="NLQ168" s="500"/>
      <c r="NLR168" s="500"/>
      <c r="NLS168" s="500"/>
      <c r="NLT168" s="500"/>
      <c r="NLU168" s="500"/>
      <c r="NLV168" s="500"/>
      <c r="NLW168" s="500"/>
      <c r="NLX168" s="500"/>
      <c r="NLY168" s="500"/>
      <c r="NLZ168" s="500"/>
      <c r="NMA168" s="500"/>
      <c r="NMB168" s="500"/>
      <c r="NMC168" s="500"/>
      <c r="NMD168" s="500"/>
      <c r="NME168" s="500"/>
      <c r="NMF168" s="500"/>
      <c r="NMG168" s="500"/>
      <c r="NMH168" s="500"/>
      <c r="NMI168" s="500"/>
      <c r="NMJ168" s="500"/>
      <c r="NMK168" s="500"/>
      <c r="NML168" s="500"/>
      <c r="NMM168" s="500"/>
      <c r="NMN168" s="500"/>
      <c r="NMO168" s="500"/>
      <c r="NMP168" s="500"/>
      <c r="NMQ168" s="500"/>
      <c r="NMR168" s="500"/>
      <c r="NMS168" s="500"/>
      <c r="NMT168" s="500"/>
      <c r="NMU168" s="500"/>
      <c r="NMV168" s="500"/>
      <c r="NMW168" s="500"/>
      <c r="NMX168" s="500"/>
      <c r="NMY168" s="500"/>
      <c r="NMZ168" s="500"/>
      <c r="NNA168" s="500"/>
      <c r="NNB168" s="500"/>
      <c r="NNC168" s="500"/>
      <c r="NND168" s="500"/>
      <c r="NNE168" s="500"/>
      <c r="NNF168" s="500"/>
      <c r="NNG168" s="500"/>
      <c r="NNH168" s="500"/>
      <c r="NNI168" s="500"/>
      <c r="NNJ168" s="500"/>
      <c r="NNK168" s="500"/>
      <c r="NNL168" s="500"/>
      <c r="NNM168" s="500"/>
      <c r="NNN168" s="500"/>
      <c r="NNO168" s="500"/>
      <c r="NNP168" s="500"/>
      <c r="NNQ168" s="500"/>
      <c r="NNR168" s="500"/>
      <c r="NNS168" s="500"/>
      <c r="NNT168" s="500"/>
      <c r="NNU168" s="500"/>
      <c r="NNV168" s="500"/>
      <c r="NNW168" s="500"/>
      <c r="NNX168" s="500"/>
      <c r="NNY168" s="500"/>
      <c r="NNZ168" s="500"/>
      <c r="NOA168" s="500"/>
      <c r="NOB168" s="500"/>
      <c r="NOC168" s="500"/>
      <c r="NOD168" s="500"/>
      <c r="NOE168" s="500"/>
      <c r="NOF168" s="500"/>
      <c r="NOG168" s="500"/>
      <c r="NOH168" s="500"/>
      <c r="NOI168" s="500"/>
      <c r="NOJ168" s="500"/>
      <c r="NOK168" s="500"/>
      <c r="NOL168" s="500"/>
      <c r="NOM168" s="500"/>
      <c r="NON168" s="500"/>
      <c r="NOO168" s="500"/>
      <c r="NOP168" s="500"/>
      <c r="NOQ168" s="500"/>
      <c r="NOR168" s="500"/>
      <c r="NOS168" s="500"/>
      <c r="NOT168" s="500"/>
      <c r="NOU168" s="500"/>
      <c r="NOV168" s="500"/>
      <c r="NOW168" s="500"/>
      <c r="NOX168" s="500"/>
      <c r="NOY168" s="500"/>
      <c r="NOZ168" s="500"/>
      <c r="NPA168" s="500"/>
      <c r="NPB168" s="500"/>
      <c r="NPC168" s="500"/>
      <c r="NPD168" s="500"/>
      <c r="NPE168" s="500"/>
      <c r="NPF168" s="500"/>
      <c r="NPG168" s="500"/>
      <c r="NPH168" s="500"/>
      <c r="NPI168" s="500"/>
      <c r="NPJ168" s="500"/>
      <c r="NPK168" s="500"/>
      <c r="NPL168" s="500"/>
      <c r="NPM168" s="500"/>
      <c r="NPN168" s="500"/>
      <c r="NPO168" s="500"/>
      <c r="NPP168" s="500"/>
      <c r="NPQ168" s="500"/>
      <c r="NPR168" s="500"/>
      <c r="NPS168" s="500"/>
      <c r="NPT168" s="500"/>
      <c r="NPU168" s="500"/>
      <c r="NPV168" s="500"/>
      <c r="NPW168" s="500"/>
      <c r="NPX168" s="500"/>
      <c r="NPY168" s="500"/>
      <c r="NPZ168" s="500"/>
      <c r="NQA168" s="500"/>
      <c r="NQB168" s="500"/>
      <c r="NQC168" s="500"/>
      <c r="NQD168" s="500"/>
      <c r="NQE168" s="500"/>
      <c r="NQF168" s="500"/>
      <c r="NQG168" s="500"/>
      <c r="NQH168" s="500"/>
      <c r="NQI168" s="500"/>
      <c r="NQJ168" s="500"/>
      <c r="NQK168" s="500"/>
      <c r="NQL168" s="500"/>
      <c r="NQM168" s="500"/>
      <c r="NQN168" s="500"/>
      <c r="NQO168" s="500"/>
      <c r="NQP168" s="500"/>
      <c r="NQQ168" s="500"/>
      <c r="NQR168" s="500"/>
      <c r="NQS168" s="500"/>
      <c r="NQT168" s="500"/>
      <c r="NQU168" s="500"/>
      <c r="NQV168" s="500"/>
      <c r="NQW168" s="500"/>
      <c r="NQX168" s="500"/>
      <c r="NQY168" s="500"/>
      <c r="NQZ168" s="500"/>
      <c r="NRA168" s="500"/>
      <c r="NRB168" s="500"/>
      <c r="NRC168" s="500"/>
      <c r="NRD168" s="500"/>
      <c r="NRE168" s="500"/>
      <c r="NRF168" s="500"/>
      <c r="NRG168" s="500"/>
      <c r="NRH168" s="500"/>
      <c r="NRI168" s="500"/>
      <c r="NRJ168" s="500"/>
      <c r="NRK168" s="500"/>
      <c r="NRL168" s="500"/>
      <c r="NRM168" s="500"/>
      <c r="NRN168" s="500"/>
      <c r="NRO168" s="500"/>
      <c r="NRP168" s="500"/>
      <c r="NRQ168" s="500"/>
      <c r="NRR168" s="500"/>
      <c r="NRS168" s="500"/>
      <c r="NRT168" s="500"/>
      <c r="NRU168" s="500"/>
      <c r="NRV168" s="500"/>
      <c r="NRW168" s="500"/>
      <c r="NRX168" s="500"/>
      <c r="NRY168" s="500"/>
      <c r="NRZ168" s="500"/>
      <c r="NSA168" s="500"/>
      <c r="NSB168" s="500"/>
      <c r="NSC168" s="500"/>
      <c r="NSD168" s="500"/>
      <c r="NSE168" s="500"/>
      <c r="NSF168" s="500"/>
      <c r="NSG168" s="500"/>
      <c r="NSH168" s="500"/>
      <c r="NSI168" s="500"/>
      <c r="NSJ168" s="500"/>
      <c r="NSK168" s="500"/>
      <c r="NSL168" s="500"/>
      <c r="NSM168" s="500"/>
      <c r="NSN168" s="500"/>
      <c r="NSO168" s="500"/>
      <c r="NSP168" s="500"/>
      <c r="NSQ168" s="500"/>
      <c r="NSR168" s="500"/>
      <c r="NSS168" s="500"/>
      <c r="NST168" s="500"/>
      <c r="NSU168" s="500"/>
      <c r="NSV168" s="500"/>
      <c r="NSW168" s="500"/>
      <c r="NSX168" s="500"/>
      <c r="NSY168" s="500"/>
      <c r="NSZ168" s="500"/>
      <c r="NTA168" s="500"/>
      <c r="NTB168" s="500"/>
      <c r="NTC168" s="500"/>
      <c r="NTD168" s="500"/>
      <c r="NTE168" s="500"/>
      <c r="NTF168" s="500"/>
      <c r="NTG168" s="500"/>
      <c r="NTH168" s="500"/>
      <c r="NTI168" s="500"/>
      <c r="NTJ168" s="500"/>
      <c r="NTK168" s="500"/>
      <c r="NTL168" s="500"/>
      <c r="NTM168" s="500"/>
      <c r="NTN168" s="500"/>
      <c r="NTO168" s="500"/>
      <c r="NTP168" s="500"/>
      <c r="NTQ168" s="500"/>
      <c r="NTR168" s="500"/>
      <c r="NTS168" s="500"/>
      <c r="NTT168" s="500"/>
      <c r="NTU168" s="500"/>
      <c r="NTV168" s="500"/>
      <c r="NTW168" s="500"/>
      <c r="NTX168" s="500"/>
      <c r="NTY168" s="500"/>
      <c r="NTZ168" s="500"/>
      <c r="NUA168" s="500"/>
      <c r="NUB168" s="500"/>
      <c r="NUC168" s="500"/>
      <c r="NUD168" s="500"/>
      <c r="NUE168" s="500"/>
      <c r="NUF168" s="500"/>
      <c r="NUG168" s="500"/>
      <c r="NUH168" s="500"/>
      <c r="NUI168" s="500"/>
      <c r="NUJ168" s="500"/>
      <c r="NUK168" s="500"/>
      <c r="NUL168" s="500"/>
      <c r="NUM168" s="500"/>
      <c r="NUN168" s="500"/>
      <c r="NUO168" s="500"/>
      <c r="NUP168" s="500"/>
      <c r="NUQ168" s="500"/>
      <c r="NUR168" s="500"/>
      <c r="NUS168" s="500"/>
      <c r="NUT168" s="500"/>
      <c r="NUU168" s="500"/>
      <c r="NUV168" s="500"/>
      <c r="NUW168" s="500"/>
      <c r="NUX168" s="500"/>
      <c r="NUY168" s="500"/>
      <c r="NUZ168" s="500"/>
      <c r="NVA168" s="500"/>
      <c r="NVB168" s="500"/>
      <c r="NVC168" s="500"/>
      <c r="NVD168" s="500"/>
      <c r="NVE168" s="500"/>
      <c r="NVF168" s="500"/>
      <c r="NVG168" s="500"/>
      <c r="NVH168" s="500"/>
      <c r="NVI168" s="500"/>
      <c r="NVJ168" s="500"/>
      <c r="NVK168" s="500"/>
      <c r="NVL168" s="500"/>
      <c r="NVM168" s="500"/>
      <c r="NVN168" s="500"/>
      <c r="NVO168" s="500"/>
      <c r="NVP168" s="500"/>
      <c r="NVQ168" s="500"/>
      <c r="NVR168" s="500"/>
      <c r="NVS168" s="500"/>
      <c r="NVT168" s="500"/>
      <c r="NVU168" s="500"/>
      <c r="NVV168" s="500"/>
      <c r="NVW168" s="500"/>
      <c r="NVX168" s="500"/>
      <c r="NVY168" s="500"/>
      <c r="NVZ168" s="500"/>
      <c r="NWA168" s="500"/>
      <c r="NWB168" s="500"/>
      <c r="NWC168" s="500"/>
      <c r="NWD168" s="500"/>
      <c r="NWE168" s="500"/>
      <c r="NWF168" s="500"/>
      <c r="NWG168" s="500"/>
      <c r="NWH168" s="500"/>
      <c r="NWI168" s="500"/>
      <c r="NWJ168" s="500"/>
      <c r="NWK168" s="500"/>
      <c r="NWL168" s="500"/>
      <c r="NWM168" s="500"/>
      <c r="NWN168" s="500"/>
      <c r="NWO168" s="500"/>
      <c r="NWP168" s="500"/>
      <c r="NWQ168" s="500"/>
      <c r="NWR168" s="500"/>
      <c r="NWS168" s="500"/>
      <c r="NWT168" s="500"/>
      <c r="NWU168" s="500"/>
      <c r="NWV168" s="500"/>
      <c r="NWW168" s="500"/>
      <c r="NWX168" s="500"/>
      <c r="NWY168" s="500"/>
      <c r="NWZ168" s="500"/>
      <c r="NXA168" s="500"/>
      <c r="NXB168" s="500"/>
      <c r="NXC168" s="500"/>
      <c r="NXD168" s="500"/>
      <c r="NXE168" s="500"/>
      <c r="NXF168" s="500"/>
      <c r="NXG168" s="500"/>
      <c r="NXH168" s="500"/>
      <c r="NXI168" s="500"/>
      <c r="NXJ168" s="500"/>
      <c r="NXK168" s="500"/>
      <c r="NXL168" s="500"/>
      <c r="NXM168" s="500"/>
      <c r="NXN168" s="500"/>
      <c r="NXO168" s="500"/>
      <c r="NXP168" s="500"/>
      <c r="NXQ168" s="500"/>
      <c r="NXR168" s="500"/>
      <c r="NXS168" s="500"/>
      <c r="NXT168" s="500"/>
      <c r="NXU168" s="500"/>
      <c r="NXV168" s="500"/>
      <c r="NXW168" s="500"/>
      <c r="NXX168" s="500"/>
      <c r="NXY168" s="500"/>
      <c r="NXZ168" s="500"/>
      <c r="NYA168" s="500"/>
      <c r="NYB168" s="500"/>
      <c r="NYC168" s="500"/>
      <c r="NYD168" s="500"/>
      <c r="NYE168" s="500"/>
      <c r="NYF168" s="500"/>
      <c r="NYG168" s="500"/>
      <c r="NYH168" s="500"/>
      <c r="NYI168" s="500"/>
      <c r="NYJ168" s="500"/>
      <c r="NYK168" s="500"/>
      <c r="NYL168" s="500"/>
      <c r="NYM168" s="500"/>
      <c r="NYN168" s="500"/>
      <c r="NYO168" s="500"/>
      <c r="NYP168" s="500"/>
      <c r="NYQ168" s="500"/>
      <c r="NYR168" s="500"/>
      <c r="NYS168" s="500"/>
      <c r="NYT168" s="500"/>
      <c r="NYU168" s="500"/>
      <c r="NYV168" s="500"/>
      <c r="NYW168" s="500"/>
      <c r="NYX168" s="500"/>
      <c r="NYY168" s="500"/>
      <c r="NYZ168" s="500"/>
      <c r="NZA168" s="500"/>
      <c r="NZB168" s="500"/>
      <c r="NZC168" s="500"/>
      <c r="NZD168" s="500"/>
      <c r="NZE168" s="500"/>
      <c r="NZF168" s="500"/>
      <c r="NZG168" s="500"/>
      <c r="NZH168" s="500"/>
      <c r="NZI168" s="500"/>
      <c r="NZJ168" s="500"/>
      <c r="NZK168" s="500"/>
      <c r="NZL168" s="500"/>
      <c r="NZM168" s="500"/>
      <c r="NZN168" s="500"/>
      <c r="NZO168" s="500"/>
      <c r="NZP168" s="500"/>
      <c r="NZQ168" s="500"/>
      <c r="NZR168" s="500"/>
      <c r="NZS168" s="500"/>
      <c r="NZT168" s="500"/>
      <c r="NZU168" s="500"/>
      <c r="NZV168" s="500"/>
      <c r="NZW168" s="500"/>
      <c r="NZX168" s="500"/>
      <c r="NZY168" s="500"/>
      <c r="NZZ168" s="500"/>
      <c r="OAA168" s="500"/>
      <c r="OAB168" s="500"/>
      <c r="OAC168" s="500"/>
      <c r="OAD168" s="500"/>
      <c r="OAE168" s="500"/>
      <c r="OAF168" s="500"/>
      <c r="OAG168" s="500"/>
      <c r="OAH168" s="500"/>
      <c r="OAI168" s="500"/>
      <c r="OAJ168" s="500"/>
      <c r="OAK168" s="500"/>
      <c r="OAL168" s="500"/>
      <c r="OAM168" s="500"/>
      <c r="OAN168" s="500"/>
      <c r="OAO168" s="500"/>
      <c r="OAP168" s="500"/>
      <c r="OAQ168" s="500"/>
      <c r="OAR168" s="500"/>
      <c r="OAS168" s="500"/>
      <c r="OAT168" s="500"/>
      <c r="OAU168" s="500"/>
      <c r="OAV168" s="500"/>
      <c r="OAW168" s="500"/>
      <c r="OAX168" s="500"/>
      <c r="OAY168" s="500"/>
      <c r="OAZ168" s="500"/>
      <c r="OBA168" s="500"/>
      <c r="OBB168" s="500"/>
      <c r="OBC168" s="500"/>
      <c r="OBD168" s="500"/>
      <c r="OBE168" s="500"/>
      <c r="OBF168" s="500"/>
      <c r="OBG168" s="500"/>
      <c r="OBH168" s="500"/>
      <c r="OBI168" s="500"/>
      <c r="OBJ168" s="500"/>
      <c r="OBK168" s="500"/>
      <c r="OBL168" s="500"/>
      <c r="OBM168" s="500"/>
      <c r="OBN168" s="500"/>
      <c r="OBO168" s="500"/>
      <c r="OBP168" s="500"/>
      <c r="OBQ168" s="500"/>
      <c r="OBR168" s="500"/>
      <c r="OBS168" s="500"/>
      <c r="OBT168" s="500"/>
      <c r="OBU168" s="500"/>
      <c r="OBV168" s="500"/>
      <c r="OBW168" s="500"/>
      <c r="OBX168" s="500"/>
      <c r="OBY168" s="500"/>
      <c r="OBZ168" s="500"/>
      <c r="OCA168" s="500"/>
      <c r="OCB168" s="500"/>
      <c r="OCC168" s="500"/>
      <c r="OCD168" s="500"/>
      <c r="OCE168" s="500"/>
      <c r="OCF168" s="500"/>
      <c r="OCG168" s="500"/>
      <c r="OCH168" s="500"/>
      <c r="OCI168" s="500"/>
      <c r="OCJ168" s="500"/>
      <c r="OCK168" s="500"/>
      <c r="OCL168" s="500"/>
      <c r="OCM168" s="500"/>
      <c r="OCN168" s="500"/>
      <c r="OCO168" s="500"/>
      <c r="OCP168" s="500"/>
      <c r="OCQ168" s="500"/>
      <c r="OCR168" s="500"/>
      <c r="OCS168" s="500"/>
      <c r="OCT168" s="500"/>
      <c r="OCU168" s="500"/>
      <c r="OCV168" s="500"/>
      <c r="OCW168" s="500"/>
      <c r="OCX168" s="500"/>
      <c r="OCY168" s="500"/>
      <c r="OCZ168" s="500"/>
      <c r="ODA168" s="500"/>
      <c r="ODB168" s="500"/>
      <c r="ODC168" s="500"/>
      <c r="ODD168" s="500"/>
      <c r="ODE168" s="500"/>
      <c r="ODF168" s="500"/>
      <c r="ODG168" s="500"/>
      <c r="ODH168" s="500"/>
      <c r="ODI168" s="500"/>
      <c r="ODJ168" s="500"/>
      <c r="ODK168" s="500"/>
      <c r="ODL168" s="500"/>
      <c r="ODM168" s="500"/>
      <c r="ODN168" s="500"/>
      <c r="ODO168" s="500"/>
      <c r="ODP168" s="500"/>
      <c r="ODQ168" s="500"/>
      <c r="ODR168" s="500"/>
      <c r="ODS168" s="500"/>
      <c r="ODT168" s="500"/>
      <c r="ODU168" s="500"/>
      <c r="ODV168" s="500"/>
      <c r="ODW168" s="500"/>
      <c r="ODX168" s="500"/>
      <c r="ODY168" s="500"/>
      <c r="ODZ168" s="500"/>
      <c r="OEA168" s="500"/>
      <c r="OEB168" s="500"/>
      <c r="OEC168" s="500"/>
      <c r="OED168" s="500"/>
      <c r="OEE168" s="500"/>
      <c r="OEF168" s="500"/>
      <c r="OEG168" s="500"/>
      <c r="OEH168" s="500"/>
      <c r="OEI168" s="500"/>
      <c r="OEJ168" s="500"/>
      <c r="OEK168" s="500"/>
      <c r="OEL168" s="500"/>
      <c r="OEM168" s="500"/>
      <c r="OEN168" s="500"/>
      <c r="OEO168" s="500"/>
      <c r="OEP168" s="500"/>
      <c r="OEQ168" s="500"/>
      <c r="OER168" s="500"/>
      <c r="OES168" s="500"/>
      <c r="OET168" s="500"/>
      <c r="OEU168" s="500"/>
      <c r="OEV168" s="500"/>
      <c r="OEW168" s="500"/>
      <c r="OEX168" s="500"/>
      <c r="OEY168" s="500"/>
      <c r="OEZ168" s="500"/>
      <c r="OFA168" s="500"/>
      <c r="OFB168" s="500"/>
      <c r="OFC168" s="500"/>
      <c r="OFD168" s="500"/>
      <c r="OFE168" s="500"/>
      <c r="OFF168" s="500"/>
      <c r="OFG168" s="500"/>
      <c r="OFH168" s="500"/>
      <c r="OFI168" s="500"/>
      <c r="OFJ168" s="500"/>
      <c r="OFK168" s="500"/>
      <c r="OFL168" s="500"/>
      <c r="OFM168" s="500"/>
      <c r="OFN168" s="500"/>
      <c r="OFO168" s="500"/>
      <c r="OFP168" s="500"/>
      <c r="OFQ168" s="500"/>
      <c r="OFR168" s="500"/>
      <c r="OFS168" s="500"/>
      <c r="OFT168" s="500"/>
      <c r="OFU168" s="500"/>
      <c r="OFV168" s="500"/>
      <c r="OFW168" s="500"/>
      <c r="OFX168" s="500"/>
      <c r="OFY168" s="500"/>
      <c r="OFZ168" s="500"/>
      <c r="OGA168" s="500"/>
      <c r="OGB168" s="500"/>
      <c r="OGC168" s="500"/>
      <c r="OGD168" s="500"/>
      <c r="OGE168" s="500"/>
      <c r="OGF168" s="500"/>
      <c r="OGG168" s="500"/>
      <c r="OGH168" s="500"/>
      <c r="OGI168" s="500"/>
      <c r="OGJ168" s="500"/>
      <c r="OGK168" s="500"/>
      <c r="OGL168" s="500"/>
      <c r="OGM168" s="500"/>
      <c r="OGN168" s="500"/>
      <c r="OGO168" s="500"/>
      <c r="OGP168" s="500"/>
      <c r="OGQ168" s="500"/>
      <c r="OGR168" s="500"/>
      <c r="OGS168" s="500"/>
      <c r="OGT168" s="500"/>
      <c r="OGU168" s="500"/>
      <c r="OGV168" s="500"/>
      <c r="OGW168" s="500"/>
      <c r="OGX168" s="500"/>
      <c r="OGY168" s="500"/>
      <c r="OGZ168" s="500"/>
      <c r="OHA168" s="500"/>
      <c r="OHB168" s="500"/>
      <c r="OHC168" s="500"/>
      <c r="OHD168" s="500"/>
      <c r="OHE168" s="500"/>
      <c r="OHF168" s="500"/>
      <c r="OHG168" s="500"/>
      <c r="OHH168" s="500"/>
      <c r="OHI168" s="500"/>
      <c r="OHJ168" s="500"/>
      <c r="OHK168" s="500"/>
      <c r="OHL168" s="500"/>
      <c r="OHM168" s="500"/>
      <c r="OHN168" s="500"/>
      <c r="OHO168" s="500"/>
      <c r="OHP168" s="500"/>
      <c r="OHQ168" s="500"/>
      <c r="OHR168" s="500"/>
      <c r="OHS168" s="500"/>
      <c r="OHT168" s="500"/>
      <c r="OHU168" s="500"/>
      <c r="OHV168" s="500"/>
      <c r="OHW168" s="500"/>
      <c r="OHX168" s="500"/>
      <c r="OHY168" s="500"/>
      <c r="OHZ168" s="500"/>
      <c r="OIA168" s="500"/>
      <c r="OIB168" s="500"/>
      <c r="OIC168" s="500"/>
      <c r="OID168" s="500"/>
      <c r="OIE168" s="500"/>
      <c r="OIF168" s="500"/>
      <c r="OIG168" s="500"/>
      <c r="OIH168" s="500"/>
      <c r="OII168" s="500"/>
      <c r="OIJ168" s="500"/>
      <c r="OIK168" s="500"/>
      <c r="OIL168" s="500"/>
      <c r="OIM168" s="500"/>
      <c r="OIN168" s="500"/>
      <c r="OIO168" s="500"/>
      <c r="OIP168" s="500"/>
      <c r="OIQ168" s="500"/>
      <c r="OIR168" s="500"/>
      <c r="OIS168" s="500"/>
      <c r="OIT168" s="500"/>
      <c r="OIU168" s="500"/>
      <c r="OIV168" s="500"/>
      <c r="OIW168" s="500"/>
      <c r="OIX168" s="500"/>
      <c r="OIY168" s="500"/>
      <c r="OIZ168" s="500"/>
      <c r="OJA168" s="500"/>
      <c r="OJB168" s="500"/>
      <c r="OJC168" s="500"/>
      <c r="OJD168" s="500"/>
      <c r="OJE168" s="500"/>
      <c r="OJF168" s="500"/>
      <c r="OJG168" s="500"/>
      <c r="OJH168" s="500"/>
      <c r="OJI168" s="500"/>
      <c r="OJJ168" s="500"/>
      <c r="OJK168" s="500"/>
      <c r="OJL168" s="500"/>
      <c r="OJM168" s="500"/>
      <c r="OJN168" s="500"/>
      <c r="OJO168" s="500"/>
      <c r="OJP168" s="500"/>
      <c r="OJQ168" s="500"/>
      <c r="OJR168" s="500"/>
      <c r="OJS168" s="500"/>
      <c r="OJT168" s="500"/>
      <c r="OJU168" s="500"/>
      <c r="OJV168" s="500"/>
      <c r="OJW168" s="500"/>
      <c r="OJX168" s="500"/>
      <c r="OJY168" s="500"/>
      <c r="OJZ168" s="500"/>
      <c r="OKA168" s="500"/>
      <c r="OKB168" s="500"/>
      <c r="OKC168" s="500"/>
      <c r="OKD168" s="500"/>
      <c r="OKE168" s="500"/>
      <c r="OKF168" s="500"/>
      <c r="OKG168" s="500"/>
      <c r="OKH168" s="500"/>
      <c r="OKI168" s="500"/>
      <c r="OKJ168" s="500"/>
      <c r="OKK168" s="500"/>
      <c r="OKL168" s="500"/>
      <c r="OKM168" s="500"/>
      <c r="OKN168" s="500"/>
      <c r="OKO168" s="500"/>
      <c r="OKP168" s="500"/>
      <c r="OKQ168" s="500"/>
      <c r="OKR168" s="500"/>
      <c r="OKS168" s="500"/>
      <c r="OKT168" s="500"/>
      <c r="OKU168" s="500"/>
      <c r="OKV168" s="500"/>
      <c r="OKW168" s="500"/>
      <c r="OKX168" s="500"/>
      <c r="OKY168" s="500"/>
      <c r="OKZ168" s="500"/>
      <c r="OLA168" s="500"/>
      <c r="OLB168" s="500"/>
      <c r="OLC168" s="500"/>
      <c r="OLD168" s="500"/>
      <c r="OLE168" s="500"/>
      <c r="OLF168" s="500"/>
      <c r="OLG168" s="500"/>
      <c r="OLH168" s="500"/>
      <c r="OLI168" s="500"/>
      <c r="OLJ168" s="500"/>
      <c r="OLK168" s="500"/>
      <c r="OLL168" s="500"/>
      <c r="OLM168" s="500"/>
      <c r="OLN168" s="500"/>
      <c r="OLO168" s="500"/>
      <c r="OLP168" s="500"/>
      <c r="OLQ168" s="500"/>
      <c r="OLR168" s="500"/>
      <c r="OLS168" s="500"/>
      <c r="OLT168" s="500"/>
      <c r="OLU168" s="500"/>
      <c r="OLV168" s="500"/>
      <c r="OLW168" s="500"/>
      <c r="OLX168" s="500"/>
      <c r="OLY168" s="500"/>
      <c r="OLZ168" s="500"/>
      <c r="OMA168" s="500"/>
      <c r="OMB168" s="500"/>
      <c r="OMC168" s="500"/>
      <c r="OMD168" s="500"/>
      <c r="OME168" s="500"/>
      <c r="OMF168" s="500"/>
      <c r="OMG168" s="500"/>
      <c r="OMH168" s="500"/>
      <c r="OMI168" s="500"/>
      <c r="OMJ168" s="500"/>
      <c r="OMK168" s="500"/>
      <c r="OML168" s="500"/>
      <c r="OMM168" s="500"/>
      <c r="OMN168" s="500"/>
      <c r="OMO168" s="500"/>
      <c r="OMP168" s="500"/>
      <c r="OMQ168" s="500"/>
      <c r="OMR168" s="500"/>
      <c r="OMS168" s="500"/>
      <c r="OMT168" s="500"/>
      <c r="OMU168" s="500"/>
      <c r="OMV168" s="500"/>
      <c r="OMW168" s="500"/>
      <c r="OMX168" s="500"/>
      <c r="OMY168" s="500"/>
      <c r="OMZ168" s="500"/>
      <c r="ONA168" s="500"/>
      <c r="ONB168" s="500"/>
      <c r="ONC168" s="500"/>
      <c r="OND168" s="500"/>
      <c r="ONE168" s="500"/>
      <c r="ONF168" s="500"/>
      <c r="ONG168" s="500"/>
      <c r="ONH168" s="500"/>
      <c r="ONI168" s="500"/>
      <c r="ONJ168" s="500"/>
      <c r="ONK168" s="500"/>
      <c r="ONL168" s="500"/>
      <c r="ONM168" s="500"/>
      <c r="ONN168" s="500"/>
      <c r="ONO168" s="500"/>
      <c r="ONP168" s="500"/>
      <c r="ONQ168" s="500"/>
      <c r="ONR168" s="500"/>
      <c r="ONS168" s="500"/>
      <c r="ONT168" s="500"/>
      <c r="ONU168" s="500"/>
      <c r="ONV168" s="500"/>
      <c r="ONW168" s="500"/>
      <c r="ONX168" s="500"/>
      <c r="ONY168" s="500"/>
      <c r="ONZ168" s="500"/>
      <c r="OOA168" s="500"/>
      <c r="OOB168" s="500"/>
      <c r="OOC168" s="500"/>
      <c r="OOD168" s="500"/>
      <c r="OOE168" s="500"/>
      <c r="OOF168" s="500"/>
      <c r="OOG168" s="500"/>
      <c r="OOH168" s="500"/>
      <c r="OOI168" s="500"/>
      <c r="OOJ168" s="500"/>
      <c r="OOK168" s="500"/>
      <c r="OOL168" s="500"/>
      <c r="OOM168" s="500"/>
      <c r="OON168" s="500"/>
      <c r="OOO168" s="500"/>
      <c r="OOP168" s="500"/>
      <c r="OOQ168" s="500"/>
      <c r="OOR168" s="500"/>
      <c r="OOS168" s="500"/>
      <c r="OOT168" s="500"/>
      <c r="OOU168" s="500"/>
      <c r="OOV168" s="500"/>
      <c r="OOW168" s="500"/>
      <c r="OOX168" s="500"/>
      <c r="OOY168" s="500"/>
      <c r="OOZ168" s="500"/>
      <c r="OPA168" s="500"/>
      <c r="OPB168" s="500"/>
      <c r="OPC168" s="500"/>
      <c r="OPD168" s="500"/>
      <c r="OPE168" s="500"/>
      <c r="OPF168" s="500"/>
      <c r="OPG168" s="500"/>
      <c r="OPH168" s="500"/>
      <c r="OPI168" s="500"/>
      <c r="OPJ168" s="500"/>
      <c r="OPK168" s="500"/>
      <c r="OPL168" s="500"/>
      <c r="OPM168" s="500"/>
      <c r="OPN168" s="500"/>
      <c r="OPO168" s="500"/>
      <c r="OPP168" s="500"/>
      <c r="OPQ168" s="500"/>
      <c r="OPR168" s="500"/>
      <c r="OPS168" s="500"/>
      <c r="OPT168" s="500"/>
      <c r="OPU168" s="500"/>
      <c r="OPV168" s="500"/>
      <c r="OPW168" s="500"/>
      <c r="OPX168" s="500"/>
      <c r="OPY168" s="500"/>
      <c r="OPZ168" s="500"/>
      <c r="OQA168" s="500"/>
      <c r="OQB168" s="500"/>
      <c r="OQC168" s="500"/>
      <c r="OQD168" s="500"/>
      <c r="OQE168" s="500"/>
      <c r="OQF168" s="500"/>
      <c r="OQG168" s="500"/>
      <c r="OQH168" s="500"/>
      <c r="OQI168" s="500"/>
      <c r="OQJ168" s="500"/>
      <c r="OQK168" s="500"/>
      <c r="OQL168" s="500"/>
      <c r="OQM168" s="500"/>
      <c r="OQN168" s="500"/>
      <c r="OQO168" s="500"/>
      <c r="OQP168" s="500"/>
      <c r="OQQ168" s="500"/>
      <c r="OQR168" s="500"/>
      <c r="OQS168" s="500"/>
      <c r="OQT168" s="500"/>
      <c r="OQU168" s="500"/>
      <c r="OQV168" s="500"/>
      <c r="OQW168" s="500"/>
      <c r="OQX168" s="500"/>
      <c r="OQY168" s="500"/>
      <c r="OQZ168" s="500"/>
      <c r="ORA168" s="500"/>
      <c r="ORB168" s="500"/>
      <c r="ORC168" s="500"/>
      <c r="ORD168" s="500"/>
      <c r="ORE168" s="500"/>
      <c r="ORF168" s="500"/>
      <c r="ORG168" s="500"/>
      <c r="ORH168" s="500"/>
      <c r="ORI168" s="500"/>
      <c r="ORJ168" s="500"/>
      <c r="ORK168" s="500"/>
      <c r="ORL168" s="500"/>
      <c r="ORM168" s="500"/>
      <c r="ORN168" s="500"/>
      <c r="ORO168" s="500"/>
      <c r="ORP168" s="500"/>
      <c r="ORQ168" s="500"/>
      <c r="ORR168" s="500"/>
      <c r="ORS168" s="500"/>
      <c r="ORT168" s="500"/>
      <c r="ORU168" s="500"/>
      <c r="ORV168" s="500"/>
      <c r="ORW168" s="500"/>
      <c r="ORX168" s="500"/>
      <c r="ORY168" s="500"/>
      <c r="ORZ168" s="500"/>
      <c r="OSA168" s="500"/>
      <c r="OSB168" s="500"/>
      <c r="OSC168" s="500"/>
      <c r="OSD168" s="500"/>
      <c r="OSE168" s="500"/>
      <c r="OSF168" s="500"/>
      <c r="OSG168" s="500"/>
      <c r="OSH168" s="500"/>
      <c r="OSI168" s="500"/>
      <c r="OSJ168" s="500"/>
      <c r="OSK168" s="500"/>
      <c r="OSL168" s="500"/>
      <c r="OSM168" s="500"/>
      <c r="OSN168" s="500"/>
      <c r="OSO168" s="500"/>
      <c r="OSP168" s="500"/>
      <c r="OSQ168" s="500"/>
      <c r="OSR168" s="500"/>
      <c r="OSS168" s="500"/>
      <c r="OST168" s="500"/>
      <c r="OSU168" s="500"/>
      <c r="OSV168" s="500"/>
      <c r="OSW168" s="500"/>
      <c r="OSX168" s="500"/>
      <c r="OSY168" s="500"/>
      <c r="OSZ168" s="500"/>
      <c r="OTA168" s="500"/>
      <c r="OTB168" s="500"/>
      <c r="OTC168" s="500"/>
      <c r="OTD168" s="500"/>
      <c r="OTE168" s="500"/>
      <c r="OTF168" s="500"/>
      <c r="OTG168" s="500"/>
      <c r="OTH168" s="500"/>
      <c r="OTI168" s="500"/>
      <c r="OTJ168" s="500"/>
      <c r="OTK168" s="500"/>
      <c r="OTL168" s="500"/>
      <c r="OTM168" s="500"/>
      <c r="OTN168" s="500"/>
      <c r="OTO168" s="500"/>
      <c r="OTP168" s="500"/>
      <c r="OTQ168" s="500"/>
      <c r="OTR168" s="500"/>
      <c r="OTS168" s="500"/>
      <c r="OTT168" s="500"/>
      <c r="OTU168" s="500"/>
      <c r="OTV168" s="500"/>
      <c r="OTW168" s="500"/>
      <c r="OTX168" s="500"/>
      <c r="OTY168" s="500"/>
      <c r="OTZ168" s="500"/>
      <c r="OUA168" s="500"/>
      <c r="OUB168" s="500"/>
      <c r="OUC168" s="500"/>
      <c r="OUD168" s="500"/>
      <c r="OUE168" s="500"/>
      <c r="OUF168" s="500"/>
      <c r="OUG168" s="500"/>
      <c r="OUH168" s="500"/>
      <c r="OUI168" s="500"/>
      <c r="OUJ168" s="500"/>
      <c r="OUK168" s="500"/>
      <c r="OUL168" s="500"/>
      <c r="OUM168" s="500"/>
      <c r="OUN168" s="500"/>
      <c r="OUO168" s="500"/>
      <c r="OUP168" s="500"/>
      <c r="OUQ168" s="500"/>
      <c r="OUR168" s="500"/>
      <c r="OUS168" s="500"/>
      <c r="OUT168" s="500"/>
      <c r="OUU168" s="500"/>
      <c r="OUV168" s="500"/>
      <c r="OUW168" s="500"/>
      <c r="OUX168" s="500"/>
      <c r="OUY168" s="500"/>
      <c r="OUZ168" s="500"/>
      <c r="OVA168" s="500"/>
      <c r="OVB168" s="500"/>
      <c r="OVC168" s="500"/>
      <c r="OVD168" s="500"/>
      <c r="OVE168" s="500"/>
      <c r="OVF168" s="500"/>
      <c r="OVG168" s="500"/>
      <c r="OVH168" s="500"/>
      <c r="OVI168" s="500"/>
      <c r="OVJ168" s="500"/>
      <c r="OVK168" s="500"/>
      <c r="OVL168" s="500"/>
      <c r="OVM168" s="500"/>
      <c r="OVN168" s="500"/>
      <c r="OVO168" s="500"/>
      <c r="OVP168" s="500"/>
      <c r="OVQ168" s="500"/>
      <c r="OVR168" s="500"/>
      <c r="OVS168" s="500"/>
      <c r="OVT168" s="500"/>
      <c r="OVU168" s="500"/>
      <c r="OVV168" s="500"/>
      <c r="OVW168" s="500"/>
      <c r="OVX168" s="500"/>
      <c r="OVY168" s="500"/>
      <c r="OVZ168" s="500"/>
      <c r="OWA168" s="500"/>
      <c r="OWB168" s="500"/>
      <c r="OWC168" s="500"/>
      <c r="OWD168" s="500"/>
      <c r="OWE168" s="500"/>
      <c r="OWF168" s="500"/>
      <c r="OWG168" s="500"/>
      <c r="OWH168" s="500"/>
      <c r="OWI168" s="500"/>
      <c r="OWJ168" s="500"/>
      <c r="OWK168" s="500"/>
      <c r="OWL168" s="500"/>
      <c r="OWM168" s="500"/>
      <c r="OWN168" s="500"/>
      <c r="OWO168" s="500"/>
      <c r="OWP168" s="500"/>
      <c r="OWQ168" s="500"/>
      <c r="OWR168" s="500"/>
      <c r="OWS168" s="500"/>
      <c r="OWT168" s="500"/>
      <c r="OWU168" s="500"/>
      <c r="OWV168" s="500"/>
      <c r="OWW168" s="500"/>
      <c r="OWX168" s="500"/>
      <c r="OWY168" s="500"/>
      <c r="OWZ168" s="500"/>
      <c r="OXA168" s="500"/>
      <c r="OXB168" s="500"/>
      <c r="OXC168" s="500"/>
      <c r="OXD168" s="500"/>
      <c r="OXE168" s="500"/>
      <c r="OXF168" s="500"/>
      <c r="OXG168" s="500"/>
      <c r="OXH168" s="500"/>
      <c r="OXI168" s="500"/>
      <c r="OXJ168" s="500"/>
      <c r="OXK168" s="500"/>
      <c r="OXL168" s="500"/>
      <c r="OXM168" s="500"/>
      <c r="OXN168" s="500"/>
      <c r="OXO168" s="500"/>
      <c r="OXP168" s="500"/>
      <c r="OXQ168" s="500"/>
      <c r="OXR168" s="500"/>
      <c r="OXS168" s="500"/>
      <c r="OXT168" s="500"/>
      <c r="OXU168" s="500"/>
      <c r="OXV168" s="500"/>
      <c r="OXW168" s="500"/>
      <c r="OXX168" s="500"/>
      <c r="OXY168" s="500"/>
      <c r="OXZ168" s="500"/>
      <c r="OYA168" s="500"/>
      <c r="OYB168" s="500"/>
      <c r="OYC168" s="500"/>
      <c r="OYD168" s="500"/>
      <c r="OYE168" s="500"/>
      <c r="OYF168" s="500"/>
      <c r="OYG168" s="500"/>
      <c r="OYH168" s="500"/>
      <c r="OYI168" s="500"/>
      <c r="OYJ168" s="500"/>
      <c r="OYK168" s="500"/>
      <c r="OYL168" s="500"/>
      <c r="OYM168" s="500"/>
      <c r="OYN168" s="500"/>
      <c r="OYO168" s="500"/>
      <c r="OYP168" s="500"/>
      <c r="OYQ168" s="500"/>
      <c r="OYR168" s="500"/>
      <c r="OYS168" s="500"/>
      <c r="OYT168" s="500"/>
      <c r="OYU168" s="500"/>
      <c r="OYV168" s="500"/>
      <c r="OYW168" s="500"/>
      <c r="OYX168" s="500"/>
      <c r="OYY168" s="500"/>
      <c r="OYZ168" s="500"/>
      <c r="OZA168" s="500"/>
      <c r="OZB168" s="500"/>
      <c r="OZC168" s="500"/>
      <c r="OZD168" s="500"/>
      <c r="OZE168" s="500"/>
      <c r="OZF168" s="500"/>
      <c r="OZG168" s="500"/>
      <c r="OZH168" s="500"/>
      <c r="OZI168" s="500"/>
      <c r="OZJ168" s="500"/>
      <c r="OZK168" s="500"/>
      <c r="OZL168" s="500"/>
      <c r="OZM168" s="500"/>
      <c r="OZN168" s="500"/>
      <c r="OZO168" s="500"/>
      <c r="OZP168" s="500"/>
      <c r="OZQ168" s="500"/>
      <c r="OZR168" s="500"/>
      <c r="OZS168" s="500"/>
      <c r="OZT168" s="500"/>
      <c r="OZU168" s="500"/>
      <c r="OZV168" s="500"/>
      <c r="OZW168" s="500"/>
      <c r="OZX168" s="500"/>
      <c r="OZY168" s="500"/>
      <c r="OZZ168" s="500"/>
      <c r="PAA168" s="500"/>
      <c r="PAB168" s="500"/>
      <c r="PAC168" s="500"/>
      <c r="PAD168" s="500"/>
      <c r="PAE168" s="500"/>
      <c r="PAF168" s="500"/>
      <c r="PAG168" s="500"/>
      <c r="PAH168" s="500"/>
      <c r="PAI168" s="500"/>
      <c r="PAJ168" s="500"/>
      <c r="PAK168" s="500"/>
      <c r="PAL168" s="500"/>
      <c r="PAM168" s="500"/>
      <c r="PAN168" s="500"/>
      <c r="PAO168" s="500"/>
      <c r="PAP168" s="500"/>
      <c r="PAQ168" s="500"/>
      <c r="PAR168" s="500"/>
      <c r="PAS168" s="500"/>
      <c r="PAT168" s="500"/>
      <c r="PAU168" s="500"/>
      <c r="PAV168" s="500"/>
      <c r="PAW168" s="500"/>
      <c r="PAX168" s="500"/>
      <c r="PAY168" s="500"/>
      <c r="PAZ168" s="500"/>
      <c r="PBA168" s="500"/>
      <c r="PBB168" s="500"/>
      <c r="PBC168" s="500"/>
      <c r="PBD168" s="500"/>
      <c r="PBE168" s="500"/>
      <c r="PBF168" s="500"/>
      <c r="PBG168" s="500"/>
      <c r="PBH168" s="500"/>
      <c r="PBI168" s="500"/>
      <c r="PBJ168" s="500"/>
      <c r="PBK168" s="500"/>
      <c r="PBL168" s="500"/>
      <c r="PBM168" s="500"/>
      <c r="PBN168" s="500"/>
      <c r="PBO168" s="500"/>
      <c r="PBP168" s="500"/>
      <c r="PBQ168" s="500"/>
      <c r="PBR168" s="500"/>
      <c r="PBS168" s="500"/>
      <c r="PBT168" s="500"/>
      <c r="PBU168" s="500"/>
      <c r="PBV168" s="500"/>
      <c r="PBW168" s="500"/>
      <c r="PBX168" s="500"/>
      <c r="PBY168" s="500"/>
      <c r="PBZ168" s="500"/>
      <c r="PCA168" s="500"/>
      <c r="PCB168" s="500"/>
      <c r="PCC168" s="500"/>
      <c r="PCD168" s="500"/>
      <c r="PCE168" s="500"/>
      <c r="PCF168" s="500"/>
      <c r="PCG168" s="500"/>
      <c r="PCH168" s="500"/>
      <c r="PCI168" s="500"/>
      <c r="PCJ168" s="500"/>
      <c r="PCK168" s="500"/>
      <c r="PCL168" s="500"/>
      <c r="PCM168" s="500"/>
      <c r="PCN168" s="500"/>
      <c r="PCO168" s="500"/>
      <c r="PCP168" s="500"/>
      <c r="PCQ168" s="500"/>
      <c r="PCR168" s="500"/>
      <c r="PCS168" s="500"/>
      <c r="PCT168" s="500"/>
      <c r="PCU168" s="500"/>
      <c r="PCV168" s="500"/>
      <c r="PCW168" s="500"/>
      <c r="PCX168" s="500"/>
      <c r="PCY168" s="500"/>
      <c r="PCZ168" s="500"/>
      <c r="PDA168" s="500"/>
      <c r="PDB168" s="500"/>
      <c r="PDC168" s="500"/>
      <c r="PDD168" s="500"/>
      <c r="PDE168" s="500"/>
      <c r="PDF168" s="500"/>
      <c r="PDG168" s="500"/>
      <c r="PDH168" s="500"/>
      <c r="PDI168" s="500"/>
      <c r="PDJ168" s="500"/>
      <c r="PDK168" s="500"/>
      <c r="PDL168" s="500"/>
      <c r="PDM168" s="500"/>
      <c r="PDN168" s="500"/>
      <c r="PDO168" s="500"/>
      <c r="PDP168" s="500"/>
      <c r="PDQ168" s="500"/>
      <c r="PDR168" s="500"/>
      <c r="PDS168" s="500"/>
      <c r="PDT168" s="500"/>
      <c r="PDU168" s="500"/>
      <c r="PDV168" s="500"/>
      <c r="PDW168" s="500"/>
      <c r="PDX168" s="500"/>
      <c r="PDY168" s="500"/>
      <c r="PDZ168" s="500"/>
      <c r="PEA168" s="500"/>
      <c r="PEB168" s="500"/>
      <c r="PEC168" s="500"/>
      <c r="PED168" s="500"/>
      <c r="PEE168" s="500"/>
      <c r="PEF168" s="500"/>
      <c r="PEG168" s="500"/>
      <c r="PEH168" s="500"/>
      <c r="PEI168" s="500"/>
      <c r="PEJ168" s="500"/>
      <c r="PEK168" s="500"/>
      <c r="PEL168" s="500"/>
      <c r="PEM168" s="500"/>
      <c r="PEN168" s="500"/>
      <c r="PEO168" s="500"/>
      <c r="PEP168" s="500"/>
      <c r="PEQ168" s="500"/>
      <c r="PER168" s="500"/>
      <c r="PES168" s="500"/>
      <c r="PET168" s="500"/>
      <c r="PEU168" s="500"/>
      <c r="PEV168" s="500"/>
      <c r="PEW168" s="500"/>
      <c r="PEX168" s="500"/>
      <c r="PEY168" s="500"/>
      <c r="PEZ168" s="500"/>
      <c r="PFA168" s="500"/>
      <c r="PFB168" s="500"/>
      <c r="PFC168" s="500"/>
      <c r="PFD168" s="500"/>
      <c r="PFE168" s="500"/>
      <c r="PFF168" s="500"/>
      <c r="PFG168" s="500"/>
      <c r="PFH168" s="500"/>
      <c r="PFI168" s="500"/>
      <c r="PFJ168" s="500"/>
      <c r="PFK168" s="500"/>
      <c r="PFL168" s="500"/>
      <c r="PFM168" s="500"/>
      <c r="PFN168" s="500"/>
      <c r="PFO168" s="500"/>
      <c r="PFP168" s="500"/>
      <c r="PFQ168" s="500"/>
      <c r="PFR168" s="500"/>
      <c r="PFS168" s="500"/>
      <c r="PFT168" s="500"/>
      <c r="PFU168" s="500"/>
      <c r="PFV168" s="500"/>
      <c r="PFW168" s="500"/>
      <c r="PFX168" s="500"/>
      <c r="PFY168" s="500"/>
      <c r="PFZ168" s="500"/>
      <c r="PGA168" s="500"/>
      <c r="PGB168" s="500"/>
      <c r="PGC168" s="500"/>
      <c r="PGD168" s="500"/>
      <c r="PGE168" s="500"/>
      <c r="PGF168" s="500"/>
      <c r="PGG168" s="500"/>
      <c r="PGH168" s="500"/>
      <c r="PGI168" s="500"/>
      <c r="PGJ168" s="500"/>
      <c r="PGK168" s="500"/>
      <c r="PGL168" s="500"/>
      <c r="PGM168" s="500"/>
      <c r="PGN168" s="500"/>
      <c r="PGO168" s="500"/>
      <c r="PGP168" s="500"/>
      <c r="PGQ168" s="500"/>
      <c r="PGR168" s="500"/>
      <c r="PGS168" s="500"/>
      <c r="PGT168" s="500"/>
      <c r="PGU168" s="500"/>
      <c r="PGV168" s="500"/>
      <c r="PGW168" s="500"/>
      <c r="PGX168" s="500"/>
      <c r="PGY168" s="500"/>
      <c r="PGZ168" s="500"/>
      <c r="PHA168" s="500"/>
      <c r="PHB168" s="500"/>
      <c r="PHC168" s="500"/>
      <c r="PHD168" s="500"/>
      <c r="PHE168" s="500"/>
      <c r="PHF168" s="500"/>
      <c r="PHG168" s="500"/>
      <c r="PHH168" s="500"/>
      <c r="PHI168" s="500"/>
      <c r="PHJ168" s="500"/>
      <c r="PHK168" s="500"/>
      <c r="PHL168" s="500"/>
      <c r="PHM168" s="500"/>
      <c r="PHN168" s="500"/>
      <c r="PHO168" s="500"/>
      <c r="PHP168" s="500"/>
      <c r="PHQ168" s="500"/>
      <c r="PHR168" s="500"/>
      <c r="PHS168" s="500"/>
      <c r="PHT168" s="500"/>
      <c r="PHU168" s="500"/>
      <c r="PHV168" s="500"/>
      <c r="PHW168" s="500"/>
      <c r="PHX168" s="500"/>
      <c r="PHY168" s="500"/>
      <c r="PHZ168" s="500"/>
      <c r="PIA168" s="500"/>
      <c r="PIB168" s="500"/>
      <c r="PIC168" s="500"/>
      <c r="PID168" s="500"/>
      <c r="PIE168" s="500"/>
      <c r="PIF168" s="500"/>
      <c r="PIG168" s="500"/>
      <c r="PIH168" s="500"/>
      <c r="PII168" s="500"/>
      <c r="PIJ168" s="500"/>
      <c r="PIK168" s="500"/>
      <c r="PIL168" s="500"/>
      <c r="PIM168" s="500"/>
      <c r="PIN168" s="500"/>
      <c r="PIO168" s="500"/>
      <c r="PIP168" s="500"/>
      <c r="PIQ168" s="500"/>
      <c r="PIR168" s="500"/>
      <c r="PIS168" s="500"/>
      <c r="PIT168" s="500"/>
      <c r="PIU168" s="500"/>
      <c r="PIV168" s="500"/>
      <c r="PIW168" s="500"/>
      <c r="PIX168" s="500"/>
      <c r="PIY168" s="500"/>
      <c r="PIZ168" s="500"/>
      <c r="PJA168" s="500"/>
      <c r="PJB168" s="500"/>
      <c r="PJC168" s="500"/>
      <c r="PJD168" s="500"/>
      <c r="PJE168" s="500"/>
      <c r="PJF168" s="500"/>
      <c r="PJG168" s="500"/>
      <c r="PJH168" s="500"/>
      <c r="PJI168" s="500"/>
      <c r="PJJ168" s="500"/>
      <c r="PJK168" s="500"/>
      <c r="PJL168" s="500"/>
      <c r="PJM168" s="500"/>
      <c r="PJN168" s="500"/>
      <c r="PJO168" s="500"/>
      <c r="PJP168" s="500"/>
      <c r="PJQ168" s="500"/>
      <c r="PJR168" s="500"/>
      <c r="PJS168" s="500"/>
      <c r="PJT168" s="500"/>
      <c r="PJU168" s="500"/>
      <c r="PJV168" s="500"/>
      <c r="PJW168" s="500"/>
      <c r="PJX168" s="500"/>
      <c r="PJY168" s="500"/>
      <c r="PJZ168" s="500"/>
      <c r="PKA168" s="500"/>
      <c r="PKB168" s="500"/>
      <c r="PKC168" s="500"/>
      <c r="PKD168" s="500"/>
      <c r="PKE168" s="500"/>
      <c r="PKF168" s="500"/>
      <c r="PKG168" s="500"/>
      <c r="PKH168" s="500"/>
      <c r="PKI168" s="500"/>
      <c r="PKJ168" s="500"/>
      <c r="PKK168" s="500"/>
      <c r="PKL168" s="500"/>
      <c r="PKM168" s="500"/>
      <c r="PKN168" s="500"/>
      <c r="PKO168" s="500"/>
      <c r="PKP168" s="500"/>
      <c r="PKQ168" s="500"/>
      <c r="PKR168" s="500"/>
      <c r="PKS168" s="500"/>
      <c r="PKT168" s="500"/>
      <c r="PKU168" s="500"/>
      <c r="PKV168" s="500"/>
      <c r="PKW168" s="500"/>
      <c r="PKX168" s="500"/>
      <c r="PKY168" s="500"/>
      <c r="PKZ168" s="500"/>
      <c r="PLA168" s="500"/>
      <c r="PLB168" s="500"/>
      <c r="PLC168" s="500"/>
      <c r="PLD168" s="500"/>
      <c r="PLE168" s="500"/>
      <c r="PLF168" s="500"/>
      <c r="PLG168" s="500"/>
      <c r="PLH168" s="500"/>
      <c r="PLI168" s="500"/>
      <c r="PLJ168" s="500"/>
      <c r="PLK168" s="500"/>
      <c r="PLL168" s="500"/>
      <c r="PLM168" s="500"/>
      <c r="PLN168" s="500"/>
      <c r="PLO168" s="500"/>
      <c r="PLP168" s="500"/>
      <c r="PLQ168" s="500"/>
      <c r="PLR168" s="500"/>
      <c r="PLS168" s="500"/>
      <c r="PLT168" s="500"/>
      <c r="PLU168" s="500"/>
      <c r="PLV168" s="500"/>
      <c r="PLW168" s="500"/>
      <c r="PLX168" s="500"/>
      <c r="PLY168" s="500"/>
      <c r="PLZ168" s="500"/>
      <c r="PMA168" s="500"/>
      <c r="PMB168" s="500"/>
      <c r="PMC168" s="500"/>
      <c r="PMD168" s="500"/>
      <c r="PME168" s="500"/>
      <c r="PMF168" s="500"/>
      <c r="PMG168" s="500"/>
      <c r="PMH168" s="500"/>
      <c r="PMI168" s="500"/>
      <c r="PMJ168" s="500"/>
      <c r="PMK168" s="500"/>
      <c r="PML168" s="500"/>
      <c r="PMM168" s="500"/>
      <c r="PMN168" s="500"/>
      <c r="PMO168" s="500"/>
      <c r="PMP168" s="500"/>
      <c r="PMQ168" s="500"/>
      <c r="PMR168" s="500"/>
      <c r="PMS168" s="500"/>
      <c r="PMT168" s="500"/>
      <c r="PMU168" s="500"/>
      <c r="PMV168" s="500"/>
      <c r="PMW168" s="500"/>
      <c r="PMX168" s="500"/>
      <c r="PMY168" s="500"/>
      <c r="PMZ168" s="500"/>
      <c r="PNA168" s="500"/>
      <c r="PNB168" s="500"/>
      <c r="PNC168" s="500"/>
      <c r="PND168" s="500"/>
      <c r="PNE168" s="500"/>
      <c r="PNF168" s="500"/>
      <c r="PNG168" s="500"/>
      <c r="PNH168" s="500"/>
      <c r="PNI168" s="500"/>
      <c r="PNJ168" s="500"/>
      <c r="PNK168" s="500"/>
      <c r="PNL168" s="500"/>
      <c r="PNM168" s="500"/>
      <c r="PNN168" s="500"/>
      <c r="PNO168" s="500"/>
      <c r="PNP168" s="500"/>
      <c r="PNQ168" s="500"/>
      <c r="PNR168" s="500"/>
      <c r="PNS168" s="500"/>
      <c r="PNT168" s="500"/>
      <c r="PNU168" s="500"/>
      <c r="PNV168" s="500"/>
      <c r="PNW168" s="500"/>
      <c r="PNX168" s="500"/>
      <c r="PNY168" s="500"/>
      <c r="PNZ168" s="500"/>
      <c r="POA168" s="500"/>
      <c r="POB168" s="500"/>
      <c r="POC168" s="500"/>
      <c r="POD168" s="500"/>
      <c r="POE168" s="500"/>
      <c r="POF168" s="500"/>
      <c r="POG168" s="500"/>
      <c r="POH168" s="500"/>
      <c r="POI168" s="500"/>
      <c r="POJ168" s="500"/>
      <c r="POK168" s="500"/>
      <c r="POL168" s="500"/>
      <c r="POM168" s="500"/>
      <c r="PON168" s="500"/>
      <c r="POO168" s="500"/>
      <c r="POP168" s="500"/>
      <c r="POQ168" s="500"/>
      <c r="POR168" s="500"/>
      <c r="POS168" s="500"/>
      <c r="POT168" s="500"/>
      <c r="POU168" s="500"/>
      <c r="POV168" s="500"/>
      <c r="POW168" s="500"/>
      <c r="POX168" s="500"/>
      <c r="POY168" s="500"/>
      <c r="POZ168" s="500"/>
      <c r="PPA168" s="500"/>
      <c r="PPB168" s="500"/>
      <c r="PPC168" s="500"/>
      <c r="PPD168" s="500"/>
      <c r="PPE168" s="500"/>
      <c r="PPF168" s="500"/>
      <c r="PPG168" s="500"/>
      <c r="PPH168" s="500"/>
      <c r="PPI168" s="500"/>
      <c r="PPJ168" s="500"/>
      <c r="PPK168" s="500"/>
      <c r="PPL168" s="500"/>
      <c r="PPM168" s="500"/>
      <c r="PPN168" s="500"/>
      <c r="PPO168" s="500"/>
      <c r="PPP168" s="500"/>
      <c r="PPQ168" s="500"/>
      <c r="PPR168" s="500"/>
      <c r="PPS168" s="500"/>
      <c r="PPT168" s="500"/>
      <c r="PPU168" s="500"/>
      <c r="PPV168" s="500"/>
      <c r="PPW168" s="500"/>
      <c r="PPX168" s="500"/>
      <c r="PPY168" s="500"/>
      <c r="PPZ168" s="500"/>
      <c r="PQA168" s="500"/>
      <c r="PQB168" s="500"/>
      <c r="PQC168" s="500"/>
      <c r="PQD168" s="500"/>
      <c r="PQE168" s="500"/>
      <c r="PQF168" s="500"/>
      <c r="PQG168" s="500"/>
      <c r="PQH168" s="500"/>
      <c r="PQI168" s="500"/>
      <c r="PQJ168" s="500"/>
      <c r="PQK168" s="500"/>
      <c r="PQL168" s="500"/>
      <c r="PQM168" s="500"/>
      <c r="PQN168" s="500"/>
      <c r="PQO168" s="500"/>
      <c r="PQP168" s="500"/>
      <c r="PQQ168" s="500"/>
      <c r="PQR168" s="500"/>
      <c r="PQS168" s="500"/>
      <c r="PQT168" s="500"/>
      <c r="PQU168" s="500"/>
      <c r="PQV168" s="500"/>
      <c r="PQW168" s="500"/>
      <c r="PQX168" s="500"/>
      <c r="PQY168" s="500"/>
      <c r="PQZ168" s="500"/>
      <c r="PRA168" s="500"/>
      <c r="PRB168" s="500"/>
      <c r="PRC168" s="500"/>
      <c r="PRD168" s="500"/>
      <c r="PRE168" s="500"/>
      <c r="PRF168" s="500"/>
      <c r="PRG168" s="500"/>
      <c r="PRH168" s="500"/>
      <c r="PRI168" s="500"/>
      <c r="PRJ168" s="500"/>
      <c r="PRK168" s="500"/>
      <c r="PRL168" s="500"/>
      <c r="PRM168" s="500"/>
      <c r="PRN168" s="500"/>
      <c r="PRO168" s="500"/>
      <c r="PRP168" s="500"/>
      <c r="PRQ168" s="500"/>
      <c r="PRR168" s="500"/>
      <c r="PRS168" s="500"/>
      <c r="PRT168" s="500"/>
      <c r="PRU168" s="500"/>
      <c r="PRV168" s="500"/>
      <c r="PRW168" s="500"/>
      <c r="PRX168" s="500"/>
      <c r="PRY168" s="500"/>
      <c r="PRZ168" s="500"/>
      <c r="PSA168" s="500"/>
      <c r="PSB168" s="500"/>
      <c r="PSC168" s="500"/>
      <c r="PSD168" s="500"/>
      <c r="PSE168" s="500"/>
      <c r="PSF168" s="500"/>
      <c r="PSG168" s="500"/>
      <c r="PSH168" s="500"/>
      <c r="PSI168" s="500"/>
      <c r="PSJ168" s="500"/>
      <c r="PSK168" s="500"/>
      <c r="PSL168" s="500"/>
      <c r="PSM168" s="500"/>
      <c r="PSN168" s="500"/>
      <c r="PSO168" s="500"/>
      <c r="PSP168" s="500"/>
      <c r="PSQ168" s="500"/>
      <c r="PSR168" s="500"/>
      <c r="PSS168" s="500"/>
      <c r="PST168" s="500"/>
      <c r="PSU168" s="500"/>
      <c r="PSV168" s="500"/>
      <c r="PSW168" s="500"/>
      <c r="PSX168" s="500"/>
      <c r="PSY168" s="500"/>
      <c r="PSZ168" s="500"/>
      <c r="PTA168" s="500"/>
      <c r="PTB168" s="500"/>
      <c r="PTC168" s="500"/>
      <c r="PTD168" s="500"/>
      <c r="PTE168" s="500"/>
      <c r="PTF168" s="500"/>
      <c r="PTG168" s="500"/>
      <c r="PTH168" s="500"/>
      <c r="PTI168" s="500"/>
      <c r="PTJ168" s="500"/>
      <c r="PTK168" s="500"/>
      <c r="PTL168" s="500"/>
      <c r="PTM168" s="500"/>
      <c r="PTN168" s="500"/>
      <c r="PTO168" s="500"/>
      <c r="PTP168" s="500"/>
      <c r="PTQ168" s="500"/>
      <c r="PTR168" s="500"/>
      <c r="PTS168" s="500"/>
      <c r="PTT168" s="500"/>
      <c r="PTU168" s="500"/>
      <c r="PTV168" s="500"/>
      <c r="PTW168" s="500"/>
      <c r="PTX168" s="500"/>
      <c r="PTY168" s="500"/>
      <c r="PTZ168" s="500"/>
      <c r="PUA168" s="500"/>
      <c r="PUB168" s="500"/>
      <c r="PUC168" s="500"/>
      <c r="PUD168" s="500"/>
      <c r="PUE168" s="500"/>
      <c r="PUF168" s="500"/>
      <c r="PUG168" s="500"/>
      <c r="PUH168" s="500"/>
      <c r="PUI168" s="500"/>
      <c r="PUJ168" s="500"/>
      <c r="PUK168" s="500"/>
      <c r="PUL168" s="500"/>
      <c r="PUM168" s="500"/>
      <c r="PUN168" s="500"/>
      <c r="PUO168" s="500"/>
      <c r="PUP168" s="500"/>
      <c r="PUQ168" s="500"/>
      <c r="PUR168" s="500"/>
      <c r="PUS168" s="500"/>
      <c r="PUT168" s="500"/>
      <c r="PUU168" s="500"/>
      <c r="PUV168" s="500"/>
      <c r="PUW168" s="500"/>
      <c r="PUX168" s="500"/>
      <c r="PUY168" s="500"/>
      <c r="PUZ168" s="500"/>
      <c r="PVA168" s="500"/>
      <c r="PVB168" s="500"/>
      <c r="PVC168" s="500"/>
      <c r="PVD168" s="500"/>
      <c r="PVE168" s="500"/>
      <c r="PVF168" s="500"/>
      <c r="PVG168" s="500"/>
      <c r="PVH168" s="500"/>
      <c r="PVI168" s="500"/>
      <c r="PVJ168" s="500"/>
      <c r="PVK168" s="500"/>
      <c r="PVL168" s="500"/>
      <c r="PVM168" s="500"/>
      <c r="PVN168" s="500"/>
      <c r="PVO168" s="500"/>
      <c r="PVP168" s="500"/>
      <c r="PVQ168" s="500"/>
      <c r="PVR168" s="500"/>
      <c r="PVS168" s="500"/>
      <c r="PVT168" s="500"/>
      <c r="PVU168" s="500"/>
      <c r="PVV168" s="500"/>
      <c r="PVW168" s="500"/>
      <c r="PVX168" s="500"/>
      <c r="PVY168" s="500"/>
      <c r="PVZ168" s="500"/>
      <c r="PWA168" s="500"/>
      <c r="PWB168" s="500"/>
      <c r="PWC168" s="500"/>
      <c r="PWD168" s="500"/>
      <c r="PWE168" s="500"/>
      <c r="PWF168" s="500"/>
      <c r="PWG168" s="500"/>
      <c r="PWH168" s="500"/>
      <c r="PWI168" s="500"/>
      <c r="PWJ168" s="500"/>
      <c r="PWK168" s="500"/>
      <c r="PWL168" s="500"/>
      <c r="PWM168" s="500"/>
      <c r="PWN168" s="500"/>
      <c r="PWO168" s="500"/>
      <c r="PWP168" s="500"/>
      <c r="PWQ168" s="500"/>
      <c r="PWR168" s="500"/>
      <c r="PWS168" s="500"/>
      <c r="PWT168" s="500"/>
      <c r="PWU168" s="500"/>
      <c r="PWV168" s="500"/>
      <c r="PWW168" s="500"/>
      <c r="PWX168" s="500"/>
      <c r="PWY168" s="500"/>
      <c r="PWZ168" s="500"/>
      <c r="PXA168" s="500"/>
      <c r="PXB168" s="500"/>
      <c r="PXC168" s="500"/>
      <c r="PXD168" s="500"/>
      <c r="PXE168" s="500"/>
      <c r="PXF168" s="500"/>
      <c r="PXG168" s="500"/>
      <c r="PXH168" s="500"/>
      <c r="PXI168" s="500"/>
      <c r="PXJ168" s="500"/>
      <c r="PXK168" s="500"/>
      <c r="PXL168" s="500"/>
      <c r="PXM168" s="500"/>
      <c r="PXN168" s="500"/>
      <c r="PXO168" s="500"/>
      <c r="PXP168" s="500"/>
      <c r="PXQ168" s="500"/>
      <c r="PXR168" s="500"/>
      <c r="PXS168" s="500"/>
      <c r="PXT168" s="500"/>
      <c r="PXU168" s="500"/>
      <c r="PXV168" s="500"/>
      <c r="PXW168" s="500"/>
      <c r="PXX168" s="500"/>
      <c r="PXY168" s="500"/>
      <c r="PXZ168" s="500"/>
      <c r="PYA168" s="500"/>
      <c r="PYB168" s="500"/>
      <c r="PYC168" s="500"/>
      <c r="PYD168" s="500"/>
      <c r="PYE168" s="500"/>
      <c r="PYF168" s="500"/>
      <c r="PYG168" s="500"/>
      <c r="PYH168" s="500"/>
      <c r="PYI168" s="500"/>
      <c r="PYJ168" s="500"/>
      <c r="PYK168" s="500"/>
      <c r="PYL168" s="500"/>
      <c r="PYM168" s="500"/>
      <c r="PYN168" s="500"/>
      <c r="PYO168" s="500"/>
      <c r="PYP168" s="500"/>
      <c r="PYQ168" s="500"/>
      <c r="PYR168" s="500"/>
      <c r="PYS168" s="500"/>
      <c r="PYT168" s="500"/>
      <c r="PYU168" s="500"/>
      <c r="PYV168" s="500"/>
      <c r="PYW168" s="500"/>
      <c r="PYX168" s="500"/>
      <c r="PYY168" s="500"/>
      <c r="PYZ168" s="500"/>
      <c r="PZA168" s="500"/>
      <c r="PZB168" s="500"/>
      <c r="PZC168" s="500"/>
      <c r="PZD168" s="500"/>
      <c r="PZE168" s="500"/>
      <c r="PZF168" s="500"/>
      <c r="PZG168" s="500"/>
      <c r="PZH168" s="500"/>
      <c r="PZI168" s="500"/>
      <c r="PZJ168" s="500"/>
      <c r="PZK168" s="500"/>
      <c r="PZL168" s="500"/>
      <c r="PZM168" s="500"/>
      <c r="PZN168" s="500"/>
      <c r="PZO168" s="500"/>
      <c r="PZP168" s="500"/>
      <c r="PZQ168" s="500"/>
      <c r="PZR168" s="500"/>
      <c r="PZS168" s="500"/>
      <c r="PZT168" s="500"/>
      <c r="PZU168" s="500"/>
      <c r="PZV168" s="500"/>
      <c r="PZW168" s="500"/>
      <c r="PZX168" s="500"/>
      <c r="PZY168" s="500"/>
      <c r="PZZ168" s="500"/>
      <c r="QAA168" s="500"/>
      <c r="QAB168" s="500"/>
      <c r="QAC168" s="500"/>
      <c r="QAD168" s="500"/>
      <c r="QAE168" s="500"/>
      <c r="QAF168" s="500"/>
      <c r="QAG168" s="500"/>
      <c r="QAH168" s="500"/>
      <c r="QAI168" s="500"/>
      <c r="QAJ168" s="500"/>
      <c r="QAK168" s="500"/>
      <c r="QAL168" s="500"/>
      <c r="QAM168" s="500"/>
      <c r="QAN168" s="500"/>
      <c r="QAO168" s="500"/>
      <c r="QAP168" s="500"/>
      <c r="QAQ168" s="500"/>
      <c r="QAR168" s="500"/>
      <c r="QAS168" s="500"/>
      <c r="QAT168" s="500"/>
      <c r="QAU168" s="500"/>
      <c r="QAV168" s="500"/>
      <c r="QAW168" s="500"/>
      <c r="QAX168" s="500"/>
      <c r="QAY168" s="500"/>
      <c r="QAZ168" s="500"/>
      <c r="QBA168" s="500"/>
      <c r="QBB168" s="500"/>
      <c r="QBC168" s="500"/>
      <c r="QBD168" s="500"/>
      <c r="QBE168" s="500"/>
      <c r="QBF168" s="500"/>
      <c r="QBG168" s="500"/>
      <c r="QBH168" s="500"/>
      <c r="QBI168" s="500"/>
      <c r="QBJ168" s="500"/>
      <c r="QBK168" s="500"/>
      <c r="QBL168" s="500"/>
      <c r="QBM168" s="500"/>
      <c r="QBN168" s="500"/>
      <c r="QBO168" s="500"/>
      <c r="QBP168" s="500"/>
      <c r="QBQ168" s="500"/>
      <c r="QBR168" s="500"/>
      <c r="QBS168" s="500"/>
      <c r="QBT168" s="500"/>
      <c r="QBU168" s="500"/>
      <c r="QBV168" s="500"/>
      <c r="QBW168" s="500"/>
      <c r="QBX168" s="500"/>
      <c r="QBY168" s="500"/>
      <c r="QBZ168" s="500"/>
      <c r="QCA168" s="500"/>
      <c r="QCB168" s="500"/>
      <c r="QCC168" s="500"/>
      <c r="QCD168" s="500"/>
      <c r="QCE168" s="500"/>
      <c r="QCF168" s="500"/>
      <c r="QCG168" s="500"/>
      <c r="QCH168" s="500"/>
      <c r="QCI168" s="500"/>
      <c r="QCJ168" s="500"/>
      <c r="QCK168" s="500"/>
      <c r="QCL168" s="500"/>
      <c r="QCM168" s="500"/>
      <c r="QCN168" s="500"/>
      <c r="QCO168" s="500"/>
      <c r="QCP168" s="500"/>
      <c r="QCQ168" s="500"/>
      <c r="QCR168" s="500"/>
      <c r="QCS168" s="500"/>
      <c r="QCT168" s="500"/>
      <c r="QCU168" s="500"/>
      <c r="QCV168" s="500"/>
      <c r="QCW168" s="500"/>
      <c r="QCX168" s="500"/>
      <c r="QCY168" s="500"/>
      <c r="QCZ168" s="500"/>
      <c r="QDA168" s="500"/>
      <c r="QDB168" s="500"/>
      <c r="QDC168" s="500"/>
      <c r="QDD168" s="500"/>
      <c r="QDE168" s="500"/>
      <c r="QDF168" s="500"/>
      <c r="QDG168" s="500"/>
      <c r="QDH168" s="500"/>
      <c r="QDI168" s="500"/>
      <c r="QDJ168" s="500"/>
      <c r="QDK168" s="500"/>
      <c r="QDL168" s="500"/>
      <c r="QDM168" s="500"/>
      <c r="QDN168" s="500"/>
      <c r="QDO168" s="500"/>
      <c r="QDP168" s="500"/>
      <c r="QDQ168" s="500"/>
      <c r="QDR168" s="500"/>
      <c r="QDS168" s="500"/>
      <c r="QDT168" s="500"/>
      <c r="QDU168" s="500"/>
      <c r="QDV168" s="500"/>
      <c r="QDW168" s="500"/>
      <c r="QDX168" s="500"/>
      <c r="QDY168" s="500"/>
      <c r="QDZ168" s="500"/>
      <c r="QEA168" s="500"/>
      <c r="QEB168" s="500"/>
      <c r="QEC168" s="500"/>
      <c r="QED168" s="500"/>
      <c r="QEE168" s="500"/>
      <c r="QEF168" s="500"/>
      <c r="QEG168" s="500"/>
      <c r="QEH168" s="500"/>
      <c r="QEI168" s="500"/>
      <c r="QEJ168" s="500"/>
      <c r="QEK168" s="500"/>
      <c r="QEL168" s="500"/>
      <c r="QEM168" s="500"/>
      <c r="QEN168" s="500"/>
      <c r="QEO168" s="500"/>
      <c r="QEP168" s="500"/>
      <c r="QEQ168" s="500"/>
      <c r="QER168" s="500"/>
      <c r="QES168" s="500"/>
      <c r="QET168" s="500"/>
      <c r="QEU168" s="500"/>
      <c r="QEV168" s="500"/>
      <c r="QEW168" s="500"/>
      <c r="QEX168" s="500"/>
      <c r="QEY168" s="500"/>
      <c r="QEZ168" s="500"/>
      <c r="QFA168" s="500"/>
      <c r="QFB168" s="500"/>
      <c r="QFC168" s="500"/>
      <c r="QFD168" s="500"/>
      <c r="QFE168" s="500"/>
      <c r="QFF168" s="500"/>
      <c r="QFG168" s="500"/>
      <c r="QFH168" s="500"/>
      <c r="QFI168" s="500"/>
      <c r="QFJ168" s="500"/>
      <c r="QFK168" s="500"/>
      <c r="QFL168" s="500"/>
      <c r="QFM168" s="500"/>
      <c r="QFN168" s="500"/>
      <c r="QFO168" s="500"/>
      <c r="QFP168" s="500"/>
      <c r="QFQ168" s="500"/>
      <c r="QFR168" s="500"/>
      <c r="QFS168" s="500"/>
      <c r="QFT168" s="500"/>
      <c r="QFU168" s="500"/>
      <c r="QFV168" s="500"/>
      <c r="QFW168" s="500"/>
      <c r="QFX168" s="500"/>
      <c r="QFY168" s="500"/>
      <c r="QFZ168" s="500"/>
      <c r="QGA168" s="500"/>
      <c r="QGB168" s="500"/>
      <c r="QGC168" s="500"/>
      <c r="QGD168" s="500"/>
      <c r="QGE168" s="500"/>
      <c r="QGF168" s="500"/>
      <c r="QGG168" s="500"/>
      <c r="QGH168" s="500"/>
      <c r="QGI168" s="500"/>
      <c r="QGJ168" s="500"/>
      <c r="QGK168" s="500"/>
      <c r="QGL168" s="500"/>
      <c r="QGM168" s="500"/>
      <c r="QGN168" s="500"/>
      <c r="QGO168" s="500"/>
      <c r="QGP168" s="500"/>
      <c r="QGQ168" s="500"/>
      <c r="QGR168" s="500"/>
      <c r="QGS168" s="500"/>
      <c r="QGT168" s="500"/>
      <c r="QGU168" s="500"/>
      <c r="QGV168" s="500"/>
      <c r="QGW168" s="500"/>
      <c r="QGX168" s="500"/>
      <c r="QGY168" s="500"/>
      <c r="QGZ168" s="500"/>
      <c r="QHA168" s="500"/>
      <c r="QHB168" s="500"/>
      <c r="QHC168" s="500"/>
      <c r="QHD168" s="500"/>
      <c r="QHE168" s="500"/>
      <c r="QHF168" s="500"/>
      <c r="QHG168" s="500"/>
      <c r="QHH168" s="500"/>
      <c r="QHI168" s="500"/>
      <c r="QHJ168" s="500"/>
      <c r="QHK168" s="500"/>
      <c r="QHL168" s="500"/>
      <c r="QHM168" s="500"/>
      <c r="QHN168" s="500"/>
      <c r="QHO168" s="500"/>
      <c r="QHP168" s="500"/>
      <c r="QHQ168" s="500"/>
      <c r="QHR168" s="500"/>
      <c r="QHS168" s="500"/>
      <c r="QHT168" s="500"/>
      <c r="QHU168" s="500"/>
      <c r="QHV168" s="500"/>
      <c r="QHW168" s="500"/>
      <c r="QHX168" s="500"/>
      <c r="QHY168" s="500"/>
      <c r="QHZ168" s="500"/>
      <c r="QIA168" s="500"/>
      <c r="QIB168" s="500"/>
      <c r="QIC168" s="500"/>
      <c r="QID168" s="500"/>
      <c r="QIE168" s="500"/>
      <c r="QIF168" s="500"/>
      <c r="QIG168" s="500"/>
      <c r="QIH168" s="500"/>
      <c r="QII168" s="500"/>
      <c r="QIJ168" s="500"/>
      <c r="QIK168" s="500"/>
      <c r="QIL168" s="500"/>
      <c r="QIM168" s="500"/>
      <c r="QIN168" s="500"/>
      <c r="QIO168" s="500"/>
      <c r="QIP168" s="500"/>
      <c r="QIQ168" s="500"/>
      <c r="QIR168" s="500"/>
      <c r="QIS168" s="500"/>
      <c r="QIT168" s="500"/>
      <c r="QIU168" s="500"/>
      <c r="QIV168" s="500"/>
      <c r="QIW168" s="500"/>
      <c r="QIX168" s="500"/>
      <c r="QIY168" s="500"/>
      <c r="QIZ168" s="500"/>
      <c r="QJA168" s="500"/>
      <c r="QJB168" s="500"/>
      <c r="QJC168" s="500"/>
      <c r="QJD168" s="500"/>
      <c r="QJE168" s="500"/>
      <c r="QJF168" s="500"/>
      <c r="QJG168" s="500"/>
      <c r="QJH168" s="500"/>
      <c r="QJI168" s="500"/>
      <c r="QJJ168" s="500"/>
      <c r="QJK168" s="500"/>
      <c r="QJL168" s="500"/>
      <c r="QJM168" s="500"/>
      <c r="QJN168" s="500"/>
      <c r="QJO168" s="500"/>
      <c r="QJP168" s="500"/>
      <c r="QJQ168" s="500"/>
      <c r="QJR168" s="500"/>
      <c r="QJS168" s="500"/>
      <c r="QJT168" s="500"/>
      <c r="QJU168" s="500"/>
      <c r="QJV168" s="500"/>
      <c r="QJW168" s="500"/>
      <c r="QJX168" s="500"/>
      <c r="QJY168" s="500"/>
      <c r="QJZ168" s="500"/>
      <c r="QKA168" s="500"/>
      <c r="QKB168" s="500"/>
      <c r="QKC168" s="500"/>
      <c r="QKD168" s="500"/>
      <c r="QKE168" s="500"/>
      <c r="QKF168" s="500"/>
      <c r="QKG168" s="500"/>
      <c r="QKH168" s="500"/>
      <c r="QKI168" s="500"/>
      <c r="QKJ168" s="500"/>
      <c r="QKK168" s="500"/>
      <c r="QKL168" s="500"/>
      <c r="QKM168" s="500"/>
      <c r="QKN168" s="500"/>
      <c r="QKO168" s="500"/>
      <c r="QKP168" s="500"/>
      <c r="QKQ168" s="500"/>
      <c r="QKR168" s="500"/>
      <c r="QKS168" s="500"/>
      <c r="QKT168" s="500"/>
      <c r="QKU168" s="500"/>
      <c r="QKV168" s="500"/>
      <c r="QKW168" s="500"/>
      <c r="QKX168" s="500"/>
      <c r="QKY168" s="500"/>
      <c r="QKZ168" s="500"/>
      <c r="QLA168" s="500"/>
      <c r="QLB168" s="500"/>
      <c r="QLC168" s="500"/>
      <c r="QLD168" s="500"/>
      <c r="QLE168" s="500"/>
      <c r="QLF168" s="500"/>
      <c r="QLG168" s="500"/>
      <c r="QLH168" s="500"/>
      <c r="QLI168" s="500"/>
      <c r="QLJ168" s="500"/>
      <c r="QLK168" s="500"/>
      <c r="QLL168" s="500"/>
      <c r="QLM168" s="500"/>
      <c r="QLN168" s="500"/>
      <c r="QLO168" s="500"/>
      <c r="QLP168" s="500"/>
      <c r="QLQ168" s="500"/>
      <c r="QLR168" s="500"/>
      <c r="QLS168" s="500"/>
      <c r="QLT168" s="500"/>
      <c r="QLU168" s="500"/>
      <c r="QLV168" s="500"/>
      <c r="QLW168" s="500"/>
      <c r="QLX168" s="500"/>
      <c r="QLY168" s="500"/>
      <c r="QLZ168" s="500"/>
      <c r="QMA168" s="500"/>
      <c r="QMB168" s="500"/>
      <c r="QMC168" s="500"/>
      <c r="QMD168" s="500"/>
      <c r="QME168" s="500"/>
      <c r="QMF168" s="500"/>
      <c r="QMG168" s="500"/>
      <c r="QMH168" s="500"/>
      <c r="QMI168" s="500"/>
      <c r="QMJ168" s="500"/>
      <c r="QMK168" s="500"/>
      <c r="QML168" s="500"/>
      <c r="QMM168" s="500"/>
      <c r="QMN168" s="500"/>
      <c r="QMO168" s="500"/>
      <c r="QMP168" s="500"/>
      <c r="QMQ168" s="500"/>
      <c r="QMR168" s="500"/>
      <c r="QMS168" s="500"/>
      <c r="QMT168" s="500"/>
      <c r="QMU168" s="500"/>
      <c r="QMV168" s="500"/>
      <c r="QMW168" s="500"/>
      <c r="QMX168" s="500"/>
      <c r="QMY168" s="500"/>
      <c r="QMZ168" s="500"/>
      <c r="QNA168" s="500"/>
      <c r="QNB168" s="500"/>
      <c r="QNC168" s="500"/>
      <c r="QND168" s="500"/>
      <c r="QNE168" s="500"/>
      <c r="QNF168" s="500"/>
      <c r="QNG168" s="500"/>
      <c r="QNH168" s="500"/>
      <c r="QNI168" s="500"/>
      <c r="QNJ168" s="500"/>
      <c r="QNK168" s="500"/>
      <c r="QNL168" s="500"/>
      <c r="QNM168" s="500"/>
      <c r="QNN168" s="500"/>
      <c r="QNO168" s="500"/>
      <c r="QNP168" s="500"/>
      <c r="QNQ168" s="500"/>
      <c r="QNR168" s="500"/>
      <c r="QNS168" s="500"/>
      <c r="QNT168" s="500"/>
      <c r="QNU168" s="500"/>
      <c r="QNV168" s="500"/>
      <c r="QNW168" s="500"/>
      <c r="QNX168" s="500"/>
      <c r="QNY168" s="500"/>
      <c r="QNZ168" s="500"/>
      <c r="QOA168" s="500"/>
      <c r="QOB168" s="500"/>
      <c r="QOC168" s="500"/>
      <c r="QOD168" s="500"/>
      <c r="QOE168" s="500"/>
      <c r="QOF168" s="500"/>
      <c r="QOG168" s="500"/>
      <c r="QOH168" s="500"/>
      <c r="QOI168" s="500"/>
      <c r="QOJ168" s="500"/>
      <c r="QOK168" s="500"/>
      <c r="QOL168" s="500"/>
      <c r="QOM168" s="500"/>
      <c r="QON168" s="500"/>
      <c r="QOO168" s="500"/>
      <c r="QOP168" s="500"/>
      <c r="QOQ168" s="500"/>
      <c r="QOR168" s="500"/>
      <c r="QOS168" s="500"/>
      <c r="QOT168" s="500"/>
      <c r="QOU168" s="500"/>
      <c r="QOV168" s="500"/>
      <c r="QOW168" s="500"/>
      <c r="QOX168" s="500"/>
      <c r="QOY168" s="500"/>
      <c r="QOZ168" s="500"/>
      <c r="QPA168" s="500"/>
      <c r="QPB168" s="500"/>
      <c r="QPC168" s="500"/>
      <c r="QPD168" s="500"/>
      <c r="QPE168" s="500"/>
      <c r="QPF168" s="500"/>
      <c r="QPG168" s="500"/>
      <c r="QPH168" s="500"/>
      <c r="QPI168" s="500"/>
      <c r="QPJ168" s="500"/>
      <c r="QPK168" s="500"/>
      <c r="QPL168" s="500"/>
      <c r="QPM168" s="500"/>
      <c r="QPN168" s="500"/>
      <c r="QPO168" s="500"/>
      <c r="QPP168" s="500"/>
      <c r="QPQ168" s="500"/>
      <c r="QPR168" s="500"/>
      <c r="QPS168" s="500"/>
      <c r="QPT168" s="500"/>
      <c r="QPU168" s="500"/>
      <c r="QPV168" s="500"/>
      <c r="QPW168" s="500"/>
      <c r="QPX168" s="500"/>
      <c r="QPY168" s="500"/>
      <c r="QPZ168" s="500"/>
      <c r="QQA168" s="500"/>
      <c r="QQB168" s="500"/>
      <c r="QQC168" s="500"/>
      <c r="QQD168" s="500"/>
      <c r="QQE168" s="500"/>
      <c r="QQF168" s="500"/>
      <c r="QQG168" s="500"/>
      <c r="QQH168" s="500"/>
      <c r="QQI168" s="500"/>
      <c r="QQJ168" s="500"/>
      <c r="QQK168" s="500"/>
      <c r="QQL168" s="500"/>
      <c r="QQM168" s="500"/>
      <c r="QQN168" s="500"/>
      <c r="QQO168" s="500"/>
      <c r="QQP168" s="500"/>
      <c r="QQQ168" s="500"/>
      <c r="QQR168" s="500"/>
      <c r="QQS168" s="500"/>
      <c r="QQT168" s="500"/>
      <c r="QQU168" s="500"/>
      <c r="QQV168" s="500"/>
      <c r="QQW168" s="500"/>
      <c r="QQX168" s="500"/>
      <c r="QQY168" s="500"/>
      <c r="QQZ168" s="500"/>
      <c r="QRA168" s="500"/>
      <c r="QRB168" s="500"/>
      <c r="QRC168" s="500"/>
      <c r="QRD168" s="500"/>
      <c r="QRE168" s="500"/>
      <c r="QRF168" s="500"/>
      <c r="QRG168" s="500"/>
      <c r="QRH168" s="500"/>
      <c r="QRI168" s="500"/>
      <c r="QRJ168" s="500"/>
      <c r="QRK168" s="500"/>
      <c r="QRL168" s="500"/>
      <c r="QRM168" s="500"/>
      <c r="QRN168" s="500"/>
      <c r="QRO168" s="500"/>
      <c r="QRP168" s="500"/>
      <c r="QRQ168" s="500"/>
      <c r="QRR168" s="500"/>
      <c r="QRS168" s="500"/>
      <c r="QRT168" s="500"/>
      <c r="QRU168" s="500"/>
      <c r="QRV168" s="500"/>
      <c r="QRW168" s="500"/>
      <c r="QRX168" s="500"/>
      <c r="QRY168" s="500"/>
      <c r="QRZ168" s="500"/>
      <c r="QSA168" s="500"/>
      <c r="QSB168" s="500"/>
      <c r="QSC168" s="500"/>
      <c r="QSD168" s="500"/>
      <c r="QSE168" s="500"/>
      <c r="QSF168" s="500"/>
      <c r="QSG168" s="500"/>
      <c r="QSH168" s="500"/>
      <c r="QSI168" s="500"/>
      <c r="QSJ168" s="500"/>
      <c r="QSK168" s="500"/>
      <c r="QSL168" s="500"/>
      <c r="QSM168" s="500"/>
      <c r="QSN168" s="500"/>
      <c r="QSO168" s="500"/>
      <c r="QSP168" s="500"/>
      <c r="QSQ168" s="500"/>
      <c r="QSR168" s="500"/>
      <c r="QSS168" s="500"/>
      <c r="QST168" s="500"/>
      <c r="QSU168" s="500"/>
      <c r="QSV168" s="500"/>
      <c r="QSW168" s="500"/>
      <c r="QSX168" s="500"/>
      <c r="QSY168" s="500"/>
      <c r="QSZ168" s="500"/>
      <c r="QTA168" s="500"/>
      <c r="QTB168" s="500"/>
      <c r="QTC168" s="500"/>
      <c r="QTD168" s="500"/>
      <c r="QTE168" s="500"/>
      <c r="QTF168" s="500"/>
      <c r="QTG168" s="500"/>
      <c r="QTH168" s="500"/>
      <c r="QTI168" s="500"/>
      <c r="QTJ168" s="500"/>
      <c r="QTK168" s="500"/>
      <c r="QTL168" s="500"/>
      <c r="QTM168" s="500"/>
      <c r="QTN168" s="500"/>
      <c r="QTO168" s="500"/>
      <c r="QTP168" s="500"/>
      <c r="QTQ168" s="500"/>
      <c r="QTR168" s="500"/>
      <c r="QTS168" s="500"/>
      <c r="QTT168" s="500"/>
      <c r="QTU168" s="500"/>
      <c r="QTV168" s="500"/>
      <c r="QTW168" s="500"/>
      <c r="QTX168" s="500"/>
      <c r="QTY168" s="500"/>
      <c r="QTZ168" s="500"/>
      <c r="QUA168" s="500"/>
      <c r="QUB168" s="500"/>
      <c r="QUC168" s="500"/>
      <c r="QUD168" s="500"/>
      <c r="QUE168" s="500"/>
      <c r="QUF168" s="500"/>
      <c r="QUG168" s="500"/>
      <c r="QUH168" s="500"/>
      <c r="QUI168" s="500"/>
      <c r="QUJ168" s="500"/>
      <c r="QUK168" s="500"/>
      <c r="QUL168" s="500"/>
      <c r="QUM168" s="500"/>
      <c r="QUN168" s="500"/>
      <c r="QUO168" s="500"/>
      <c r="QUP168" s="500"/>
      <c r="QUQ168" s="500"/>
      <c r="QUR168" s="500"/>
      <c r="QUS168" s="500"/>
      <c r="QUT168" s="500"/>
      <c r="QUU168" s="500"/>
      <c r="QUV168" s="500"/>
      <c r="QUW168" s="500"/>
      <c r="QUX168" s="500"/>
      <c r="QUY168" s="500"/>
      <c r="QUZ168" s="500"/>
      <c r="QVA168" s="500"/>
      <c r="QVB168" s="500"/>
      <c r="QVC168" s="500"/>
      <c r="QVD168" s="500"/>
      <c r="QVE168" s="500"/>
      <c r="QVF168" s="500"/>
      <c r="QVG168" s="500"/>
      <c r="QVH168" s="500"/>
      <c r="QVI168" s="500"/>
      <c r="QVJ168" s="500"/>
      <c r="QVK168" s="500"/>
      <c r="QVL168" s="500"/>
      <c r="QVM168" s="500"/>
      <c r="QVN168" s="500"/>
      <c r="QVO168" s="500"/>
      <c r="QVP168" s="500"/>
      <c r="QVQ168" s="500"/>
      <c r="QVR168" s="500"/>
      <c r="QVS168" s="500"/>
      <c r="QVT168" s="500"/>
      <c r="QVU168" s="500"/>
      <c r="QVV168" s="500"/>
      <c r="QVW168" s="500"/>
      <c r="QVX168" s="500"/>
      <c r="QVY168" s="500"/>
      <c r="QVZ168" s="500"/>
      <c r="QWA168" s="500"/>
      <c r="QWB168" s="500"/>
      <c r="QWC168" s="500"/>
      <c r="QWD168" s="500"/>
      <c r="QWE168" s="500"/>
      <c r="QWF168" s="500"/>
      <c r="QWG168" s="500"/>
      <c r="QWH168" s="500"/>
      <c r="QWI168" s="500"/>
      <c r="QWJ168" s="500"/>
      <c r="QWK168" s="500"/>
      <c r="QWL168" s="500"/>
      <c r="QWM168" s="500"/>
      <c r="QWN168" s="500"/>
      <c r="QWO168" s="500"/>
      <c r="QWP168" s="500"/>
      <c r="QWQ168" s="500"/>
      <c r="QWR168" s="500"/>
      <c r="QWS168" s="500"/>
      <c r="QWT168" s="500"/>
      <c r="QWU168" s="500"/>
      <c r="QWV168" s="500"/>
      <c r="QWW168" s="500"/>
      <c r="QWX168" s="500"/>
      <c r="QWY168" s="500"/>
      <c r="QWZ168" s="500"/>
      <c r="QXA168" s="500"/>
      <c r="QXB168" s="500"/>
      <c r="QXC168" s="500"/>
      <c r="QXD168" s="500"/>
      <c r="QXE168" s="500"/>
      <c r="QXF168" s="500"/>
      <c r="QXG168" s="500"/>
      <c r="QXH168" s="500"/>
      <c r="QXI168" s="500"/>
      <c r="QXJ168" s="500"/>
      <c r="QXK168" s="500"/>
      <c r="QXL168" s="500"/>
      <c r="QXM168" s="500"/>
      <c r="QXN168" s="500"/>
      <c r="QXO168" s="500"/>
      <c r="QXP168" s="500"/>
      <c r="QXQ168" s="500"/>
      <c r="QXR168" s="500"/>
      <c r="QXS168" s="500"/>
      <c r="QXT168" s="500"/>
      <c r="QXU168" s="500"/>
      <c r="QXV168" s="500"/>
      <c r="QXW168" s="500"/>
      <c r="QXX168" s="500"/>
      <c r="QXY168" s="500"/>
      <c r="QXZ168" s="500"/>
      <c r="QYA168" s="500"/>
      <c r="QYB168" s="500"/>
      <c r="QYC168" s="500"/>
      <c r="QYD168" s="500"/>
      <c r="QYE168" s="500"/>
      <c r="QYF168" s="500"/>
      <c r="QYG168" s="500"/>
      <c r="QYH168" s="500"/>
      <c r="QYI168" s="500"/>
      <c r="QYJ168" s="500"/>
      <c r="QYK168" s="500"/>
      <c r="QYL168" s="500"/>
      <c r="QYM168" s="500"/>
      <c r="QYN168" s="500"/>
      <c r="QYO168" s="500"/>
      <c r="QYP168" s="500"/>
      <c r="QYQ168" s="500"/>
      <c r="QYR168" s="500"/>
      <c r="QYS168" s="500"/>
      <c r="QYT168" s="500"/>
      <c r="QYU168" s="500"/>
      <c r="QYV168" s="500"/>
      <c r="QYW168" s="500"/>
      <c r="QYX168" s="500"/>
      <c r="QYY168" s="500"/>
      <c r="QYZ168" s="500"/>
      <c r="QZA168" s="500"/>
      <c r="QZB168" s="500"/>
      <c r="QZC168" s="500"/>
      <c r="QZD168" s="500"/>
      <c r="QZE168" s="500"/>
      <c r="QZF168" s="500"/>
      <c r="QZG168" s="500"/>
      <c r="QZH168" s="500"/>
      <c r="QZI168" s="500"/>
      <c r="QZJ168" s="500"/>
      <c r="QZK168" s="500"/>
      <c r="QZL168" s="500"/>
      <c r="QZM168" s="500"/>
      <c r="QZN168" s="500"/>
      <c r="QZO168" s="500"/>
      <c r="QZP168" s="500"/>
      <c r="QZQ168" s="500"/>
      <c r="QZR168" s="500"/>
      <c r="QZS168" s="500"/>
      <c r="QZT168" s="500"/>
      <c r="QZU168" s="500"/>
      <c r="QZV168" s="500"/>
      <c r="QZW168" s="500"/>
      <c r="QZX168" s="500"/>
      <c r="QZY168" s="500"/>
      <c r="QZZ168" s="500"/>
      <c r="RAA168" s="500"/>
      <c r="RAB168" s="500"/>
      <c r="RAC168" s="500"/>
      <c r="RAD168" s="500"/>
      <c r="RAE168" s="500"/>
      <c r="RAF168" s="500"/>
      <c r="RAG168" s="500"/>
      <c r="RAH168" s="500"/>
      <c r="RAI168" s="500"/>
      <c r="RAJ168" s="500"/>
      <c r="RAK168" s="500"/>
      <c r="RAL168" s="500"/>
      <c r="RAM168" s="500"/>
      <c r="RAN168" s="500"/>
      <c r="RAO168" s="500"/>
      <c r="RAP168" s="500"/>
      <c r="RAQ168" s="500"/>
      <c r="RAR168" s="500"/>
      <c r="RAS168" s="500"/>
      <c r="RAT168" s="500"/>
      <c r="RAU168" s="500"/>
      <c r="RAV168" s="500"/>
      <c r="RAW168" s="500"/>
      <c r="RAX168" s="500"/>
      <c r="RAY168" s="500"/>
      <c r="RAZ168" s="500"/>
      <c r="RBA168" s="500"/>
      <c r="RBB168" s="500"/>
      <c r="RBC168" s="500"/>
      <c r="RBD168" s="500"/>
      <c r="RBE168" s="500"/>
      <c r="RBF168" s="500"/>
      <c r="RBG168" s="500"/>
      <c r="RBH168" s="500"/>
      <c r="RBI168" s="500"/>
      <c r="RBJ168" s="500"/>
      <c r="RBK168" s="500"/>
      <c r="RBL168" s="500"/>
      <c r="RBM168" s="500"/>
      <c r="RBN168" s="500"/>
      <c r="RBO168" s="500"/>
      <c r="RBP168" s="500"/>
      <c r="RBQ168" s="500"/>
      <c r="RBR168" s="500"/>
      <c r="RBS168" s="500"/>
      <c r="RBT168" s="500"/>
      <c r="RBU168" s="500"/>
      <c r="RBV168" s="500"/>
      <c r="RBW168" s="500"/>
      <c r="RBX168" s="500"/>
      <c r="RBY168" s="500"/>
      <c r="RBZ168" s="500"/>
      <c r="RCA168" s="500"/>
      <c r="RCB168" s="500"/>
      <c r="RCC168" s="500"/>
      <c r="RCD168" s="500"/>
      <c r="RCE168" s="500"/>
      <c r="RCF168" s="500"/>
      <c r="RCG168" s="500"/>
      <c r="RCH168" s="500"/>
      <c r="RCI168" s="500"/>
      <c r="RCJ168" s="500"/>
      <c r="RCK168" s="500"/>
      <c r="RCL168" s="500"/>
      <c r="RCM168" s="500"/>
      <c r="RCN168" s="500"/>
      <c r="RCO168" s="500"/>
      <c r="RCP168" s="500"/>
      <c r="RCQ168" s="500"/>
      <c r="RCR168" s="500"/>
      <c r="RCS168" s="500"/>
      <c r="RCT168" s="500"/>
      <c r="RCU168" s="500"/>
      <c r="RCV168" s="500"/>
      <c r="RCW168" s="500"/>
      <c r="RCX168" s="500"/>
      <c r="RCY168" s="500"/>
      <c r="RCZ168" s="500"/>
      <c r="RDA168" s="500"/>
      <c r="RDB168" s="500"/>
      <c r="RDC168" s="500"/>
      <c r="RDD168" s="500"/>
      <c r="RDE168" s="500"/>
      <c r="RDF168" s="500"/>
      <c r="RDG168" s="500"/>
      <c r="RDH168" s="500"/>
      <c r="RDI168" s="500"/>
      <c r="RDJ168" s="500"/>
      <c r="RDK168" s="500"/>
      <c r="RDL168" s="500"/>
      <c r="RDM168" s="500"/>
      <c r="RDN168" s="500"/>
      <c r="RDO168" s="500"/>
      <c r="RDP168" s="500"/>
      <c r="RDQ168" s="500"/>
      <c r="RDR168" s="500"/>
      <c r="RDS168" s="500"/>
      <c r="RDT168" s="500"/>
      <c r="RDU168" s="500"/>
      <c r="RDV168" s="500"/>
      <c r="RDW168" s="500"/>
      <c r="RDX168" s="500"/>
      <c r="RDY168" s="500"/>
      <c r="RDZ168" s="500"/>
      <c r="REA168" s="500"/>
      <c r="REB168" s="500"/>
      <c r="REC168" s="500"/>
      <c r="RED168" s="500"/>
      <c r="REE168" s="500"/>
      <c r="REF168" s="500"/>
      <c r="REG168" s="500"/>
      <c r="REH168" s="500"/>
      <c r="REI168" s="500"/>
      <c r="REJ168" s="500"/>
      <c r="REK168" s="500"/>
      <c r="REL168" s="500"/>
      <c r="REM168" s="500"/>
      <c r="REN168" s="500"/>
      <c r="REO168" s="500"/>
      <c r="REP168" s="500"/>
      <c r="REQ168" s="500"/>
      <c r="RER168" s="500"/>
      <c r="RES168" s="500"/>
      <c r="RET168" s="500"/>
      <c r="REU168" s="500"/>
      <c r="REV168" s="500"/>
      <c r="REW168" s="500"/>
      <c r="REX168" s="500"/>
      <c r="REY168" s="500"/>
      <c r="REZ168" s="500"/>
      <c r="RFA168" s="500"/>
      <c r="RFB168" s="500"/>
      <c r="RFC168" s="500"/>
      <c r="RFD168" s="500"/>
      <c r="RFE168" s="500"/>
      <c r="RFF168" s="500"/>
      <c r="RFG168" s="500"/>
      <c r="RFH168" s="500"/>
      <c r="RFI168" s="500"/>
      <c r="RFJ168" s="500"/>
      <c r="RFK168" s="500"/>
      <c r="RFL168" s="500"/>
      <c r="RFM168" s="500"/>
      <c r="RFN168" s="500"/>
      <c r="RFO168" s="500"/>
      <c r="RFP168" s="500"/>
      <c r="RFQ168" s="500"/>
      <c r="RFR168" s="500"/>
      <c r="RFS168" s="500"/>
      <c r="RFT168" s="500"/>
      <c r="RFU168" s="500"/>
      <c r="RFV168" s="500"/>
      <c r="RFW168" s="500"/>
      <c r="RFX168" s="500"/>
      <c r="RFY168" s="500"/>
      <c r="RFZ168" s="500"/>
      <c r="RGA168" s="500"/>
      <c r="RGB168" s="500"/>
      <c r="RGC168" s="500"/>
      <c r="RGD168" s="500"/>
      <c r="RGE168" s="500"/>
      <c r="RGF168" s="500"/>
      <c r="RGG168" s="500"/>
      <c r="RGH168" s="500"/>
      <c r="RGI168" s="500"/>
      <c r="RGJ168" s="500"/>
      <c r="RGK168" s="500"/>
      <c r="RGL168" s="500"/>
      <c r="RGM168" s="500"/>
      <c r="RGN168" s="500"/>
      <c r="RGO168" s="500"/>
      <c r="RGP168" s="500"/>
      <c r="RGQ168" s="500"/>
      <c r="RGR168" s="500"/>
      <c r="RGS168" s="500"/>
      <c r="RGT168" s="500"/>
      <c r="RGU168" s="500"/>
      <c r="RGV168" s="500"/>
      <c r="RGW168" s="500"/>
      <c r="RGX168" s="500"/>
      <c r="RGY168" s="500"/>
      <c r="RGZ168" s="500"/>
      <c r="RHA168" s="500"/>
      <c r="RHB168" s="500"/>
      <c r="RHC168" s="500"/>
      <c r="RHD168" s="500"/>
      <c r="RHE168" s="500"/>
      <c r="RHF168" s="500"/>
      <c r="RHG168" s="500"/>
      <c r="RHH168" s="500"/>
      <c r="RHI168" s="500"/>
      <c r="RHJ168" s="500"/>
      <c r="RHK168" s="500"/>
      <c r="RHL168" s="500"/>
      <c r="RHM168" s="500"/>
      <c r="RHN168" s="500"/>
      <c r="RHO168" s="500"/>
      <c r="RHP168" s="500"/>
      <c r="RHQ168" s="500"/>
      <c r="RHR168" s="500"/>
      <c r="RHS168" s="500"/>
      <c r="RHT168" s="500"/>
      <c r="RHU168" s="500"/>
      <c r="RHV168" s="500"/>
      <c r="RHW168" s="500"/>
      <c r="RHX168" s="500"/>
      <c r="RHY168" s="500"/>
      <c r="RHZ168" s="500"/>
      <c r="RIA168" s="500"/>
      <c r="RIB168" s="500"/>
      <c r="RIC168" s="500"/>
      <c r="RID168" s="500"/>
      <c r="RIE168" s="500"/>
      <c r="RIF168" s="500"/>
      <c r="RIG168" s="500"/>
      <c r="RIH168" s="500"/>
      <c r="RII168" s="500"/>
      <c r="RIJ168" s="500"/>
      <c r="RIK168" s="500"/>
      <c r="RIL168" s="500"/>
      <c r="RIM168" s="500"/>
      <c r="RIN168" s="500"/>
      <c r="RIO168" s="500"/>
      <c r="RIP168" s="500"/>
      <c r="RIQ168" s="500"/>
      <c r="RIR168" s="500"/>
      <c r="RIS168" s="500"/>
      <c r="RIT168" s="500"/>
      <c r="RIU168" s="500"/>
      <c r="RIV168" s="500"/>
      <c r="RIW168" s="500"/>
      <c r="RIX168" s="500"/>
      <c r="RIY168" s="500"/>
      <c r="RIZ168" s="500"/>
      <c r="RJA168" s="500"/>
      <c r="RJB168" s="500"/>
      <c r="RJC168" s="500"/>
      <c r="RJD168" s="500"/>
      <c r="RJE168" s="500"/>
      <c r="RJF168" s="500"/>
      <c r="RJG168" s="500"/>
      <c r="RJH168" s="500"/>
      <c r="RJI168" s="500"/>
      <c r="RJJ168" s="500"/>
      <c r="RJK168" s="500"/>
      <c r="RJL168" s="500"/>
      <c r="RJM168" s="500"/>
      <c r="RJN168" s="500"/>
      <c r="RJO168" s="500"/>
      <c r="RJP168" s="500"/>
      <c r="RJQ168" s="500"/>
      <c r="RJR168" s="500"/>
      <c r="RJS168" s="500"/>
      <c r="RJT168" s="500"/>
      <c r="RJU168" s="500"/>
      <c r="RJV168" s="500"/>
      <c r="RJW168" s="500"/>
      <c r="RJX168" s="500"/>
      <c r="RJY168" s="500"/>
      <c r="RJZ168" s="500"/>
      <c r="RKA168" s="500"/>
      <c r="RKB168" s="500"/>
      <c r="RKC168" s="500"/>
      <c r="RKD168" s="500"/>
      <c r="RKE168" s="500"/>
      <c r="RKF168" s="500"/>
      <c r="RKG168" s="500"/>
      <c r="RKH168" s="500"/>
      <c r="RKI168" s="500"/>
      <c r="RKJ168" s="500"/>
      <c r="RKK168" s="500"/>
      <c r="RKL168" s="500"/>
      <c r="RKM168" s="500"/>
      <c r="RKN168" s="500"/>
      <c r="RKO168" s="500"/>
      <c r="RKP168" s="500"/>
      <c r="RKQ168" s="500"/>
      <c r="RKR168" s="500"/>
      <c r="RKS168" s="500"/>
      <c r="RKT168" s="500"/>
      <c r="RKU168" s="500"/>
      <c r="RKV168" s="500"/>
      <c r="RKW168" s="500"/>
      <c r="RKX168" s="500"/>
      <c r="RKY168" s="500"/>
      <c r="RKZ168" s="500"/>
      <c r="RLA168" s="500"/>
      <c r="RLB168" s="500"/>
      <c r="RLC168" s="500"/>
      <c r="RLD168" s="500"/>
      <c r="RLE168" s="500"/>
      <c r="RLF168" s="500"/>
      <c r="RLG168" s="500"/>
      <c r="RLH168" s="500"/>
      <c r="RLI168" s="500"/>
      <c r="RLJ168" s="500"/>
      <c r="RLK168" s="500"/>
      <c r="RLL168" s="500"/>
      <c r="RLM168" s="500"/>
      <c r="RLN168" s="500"/>
      <c r="RLO168" s="500"/>
      <c r="RLP168" s="500"/>
      <c r="RLQ168" s="500"/>
      <c r="RLR168" s="500"/>
      <c r="RLS168" s="500"/>
      <c r="RLT168" s="500"/>
      <c r="RLU168" s="500"/>
      <c r="RLV168" s="500"/>
      <c r="RLW168" s="500"/>
      <c r="RLX168" s="500"/>
      <c r="RLY168" s="500"/>
      <c r="RLZ168" s="500"/>
      <c r="RMA168" s="500"/>
      <c r="RMB168" s="500"/>
      <c r="RMC168" s="500"/>
      <c r="RMD168" s="500"/>
      <c r="RME168" s="500"/>
      <c r="RMF168" s="500"/>
      <c r="RMG168" s="500"/>
      <c r="RMH168" s="500"/>
      <c r="RMI168" s="500"/>
      <c r="RMJ168" s="500"/>
      <c r="RMK168" s="500"/>
      <c r="RML168" s="500"/>
      <c r="RMM168" s="500"/>
      <c r="RMN168" s="500"/>
      <c r="RMO168" s="500"/>
      <c r="RMP168" s="500"/>
      <c r="RMQ168" s="500"/>
      <c r="RMR168" s="500"/>
      <c r="RMS168" s="500"/>
      <c r="RMT168" s="500"/>
      <c r="RMU168" s="500"/>
      <c r="RMV168" s="500"/>
      <c r="RMW168" s="500"/>
      <c r="RMX168" s="500"/>
      <c r="RMY168" s="500"/>
      <c r="RMZ168" s="500"/>
      <c r="RNA168" s="500"/>
      <c r="RNB168" s="500"/>
      <c r="RNC168" s="500"/>
      <c r="RND168" s="500"/>
      <c r="RNE168" s="500"/>
      <c r="RNF168" s="500"/>
      <c r="RNG168" s="500"/>
      <c r="RNH168" s="500"/>
      <c r="RNI168" s="500"/>
      <c r="RNJ168" s="500"/>
      <c r="RNK168" s="500"/>
      <c r="RNL168" s="500"/>
      <c r="RNM168" s="500"/>
      <c r="RNN168" s="500"/>
      <c r="RNO168" s="500"/>
      <c r="RNP168" s="500"/>
      <c r="RNQ168" s="500"/>
      <c r="RNR168" s="500"/>
      <c r="RNS168" s="500"/>
      <c r="RNT168" s="500"/>
      <c r="RNU168" s="500"/>
      <c r="RNV168" s="500"/>
      <c r="RNW168" s="500"/>
      <c r="RNX168" s="500"/>
      <c r="RNY168" s="500"/>
      <c r="RNZ168" s="500"/>
      <c r="ROA168" s="500"/>
      <c r="ROB168" s="500"/>
      <c r="ROC168" s="500"/>
      <c r="ROD168" s="500"/>
      <c r="ROE168" s="500"/>
      <c r="ROF168" s="500"/>
      <c r="ROG168" s="500"/>
      <c r="ROH168" s="500"/>
      <c r="ROI168" s="500"/>
      <c r="ROJ168" s="500"/>
      <c r="ROK168" s="500"/>
      <c r="ROL168" s="500"/>
      <c r="ROM168" s="500"/>
      <c r="RON168" s="500"/>
      <c r="ROO168" s="500"/>
      <c r="ROP168" s="500"/>
      <c r="ROQ168" s="500"/>
      <c r="ROR168" s="500"/>
      <c r="ROS168" s="500"/>
      <c r="ROT168" s="500"/>
      <c r="ROU168" s="500"/>
      <c r="ROV168" s="500"/>
      <c r="ROW168" s="500"/>
      <c r="ROX168" s="500"/>
      <c r="ROY168" s="500"/>
      <c r="ROZ168" s="500"/>
      <c r="RPA168" s="500"/>
      <c r="RPB168" s="500"/>
      <c r="RPC168" s="500"/>
      <c r="RPD168" s="500"/>
      <c r="RPE168" s="500"/>
      <c r="RPF168" s="500"/>
      <c r="RPG168" s="500"/>
      <c r="RPH168" s="500"/>
      <c r="RPI168" s="500"/>
      <c r="RPJ168" s="500"/>
      <c r="RPK168" s="500"/>
      <c r="RPL168" s="500"/>
      <c r="RPM168" s="500"/>
      <c r="RPN168" s="500"/>
      <c r="RPO168" s="500"/>
      <c r="RPP168" s="500"/>
      <c r="RPQ168" s="500"/>
      <c r="RPR168" s="500"/>
      <c r="RPS168" s="500"/>
      <c r="RPT168" s="500"/>
      <c r="RPU168" s="500"/>
      <c r="RPV168" s="500"/>
      <c r="RPW168" s="500"/>
      <c r="RPX168" s="500"/>
      <c r="RPY168" s="500"/>
      <c r="RPZ168" s="500"/>
      <c r="RQA168" s="500"/>
      <c r="RQB168" s="500"/>
      <c r="RQC168" s="500"/>
      <c r="RQD168" s="500"/>
      <c r="RQE168" s="500"/>
      <c r="RQF168" s="500"/>
      <c r="RQG168" s="500"/>
      <c r="RQH168" s="500"/>
      <c r="RQI168" s="500"/>
      <c r="RQJ168" s="500"/>
      <c r="RQK168" s="500"/>
      <c r="RQL168" s="500"/>
      <c r="RQM168" s="500"/>
      <c r="RQN168" s="500"/>
      <c r="RQO168" s="500"/>
      <c r="RQP168" s="500"/>
      <c r="RQQ168" s="500"/>
      <c r="RQR168" s="500"/>
      <c r="RQS168" s="500"/>
      <c r="RQT168" s="500"/>
      <c r="RQU168" s="500"/>
      <c r="RQV168" s="500"/>
      <c r="RQW168" s="500"/>
      <c r="RQX168" s="500"/>
      <c r="RQY168" s="500"/>
      <c r="RQZ168" s="500"/>
      <c r="RRA168" s="500"/>
      <c r="RRB168" s="500"/>
      <c r="RRC168" s="500"/>
      <c r="RRD168" s="500"/>
      <c r="RRE168" s="500"/>
      <c r="RRF168" s="500"/>
      <c r="RRG168" s="500"/>
      <c r="RRH168" s="500"/>
      <c r="RRI168" s="500"/>
      <c r="RRJ168" s="500"/>
      <c r="RRK168" s="500"/>
      <c r="RRL168" s="500"/>
      <c r="RRM168" s="500"/>
      <c r="RRN168" s="500"/>
      <c r="RRO168" s="500"/>
      <c r="RRP168" s="500"/>
      <c r="RRQ168" s="500"/>
      <c r="RRR168" s="500"/>
      <c r="RRS168" s="500"/>
      <c r="RRT168" s="500"/>
      <c r="RRU168" s="500"/>
      <c r="RRV168" s="500"/>
      <c r="RRW168" s="500"/>
      <c r="RRX168" s="500"/>
      <c r="RRY168" s="500"/>
      <c r="RRZ168" s="500"/>
      <c r="RSA168" s="500"/>
      <c r="RSB168" s="500"/>
      <c r="RSC168" s="500"/>
      <c r="RSD168" s="500"/>
      <c r="RSE168" s="500"/>
      <c r="RSF168" s="500"/>
      <c r="RSG168" s="500"/>
      <c r="RSH168" s="500"/>
      <c r="RSI168" s="500"/>
      <c r="RSJ168" s="500"/>
      <c r="RSK168" s="500"/>
      <c r="RSL168" s="500"/>
      <c r="RSM168" s="500"/>
      <c r="RSN168" s="500"/>
      <c r="RSO168" s="500"/>
      <c r="RSP168" s="500"/>
      <c r="RSQ168" s="500"/>
      <c r="RSR168" s="500"/>
      <c r="RSS168" s="500"/>
      <c r="RST168" s="500"/>
      <c r="RSU168" s="500"/>
      <c r="RSV168" s="500"/>
      <c r="RSW168" s="500"/>
      <c r="RSX168" s="500"/>
      <c r="RSY168" s="500"/>
      <c r="RSZ168" s="500"/>
      <c r="RTA168" s="500"/>
      <c r="RTB168" s="500"/>
      <c r="RTC168" s="500"/>
      <c r="RTD168" s="500"/>
      <c r="RTE168" s="500"/>
      <c r="RTF168" s="500"/>
      <c r="RTG168" s="500"/>
      <c r="RTH168" s="500"/>
      <c r="RTI168" s="500"/>
      <c r="RTJ168" s="500"/>
      <c r="RTK168" s="500"/>
      <c r="RTL168" s="500"/>
      <c r="RTM168" s="500"/>
      <c r="RTN168" s="500"/>
      <c r="RTO168" s="500"/>
      <c r="RTP168" s="500"/>
      <c r="RTQ168" s="500"/>
      <c r="RTR168" s="500"/>
      <c r="RTS168" s="500"/>
      <c r="RTT168" s="500"/>
      <c r="RTU168" s="500"/>
      <c r="RTV168" s="500"/>
      <c r="RTW168" s="500"/>
      <c r="RTX168" s="500"/>
      <c r="RTY168" s="500"/>
      <c r="RTZ168" s="500"/>
      <c r="RUA168" s="500"/>
      <c r="RUB168" s="500"/>
      <c r="RUC168" s="500"/>
      <c r="RUD168" s="500"/>
      <c r="RUE168" s="500"/>
      <c r="RUF168" s="500"/>
      <c r="RUG168" s="500"/>
      <c r="RUH168" s="500"/>
      <c r="RUI168" s="500"/>
      <c r="RUJ168" s="500"/>
      <c r="RUK168" s="500"/>
      <c r="RUL168" s="500"/>
      <c r="RUM168" s="500"/>
      <c r="RUN168" s="500"/>
      <c r="RUO168" s="500"/>
      <c r="RUP168" s="500"/>
      <c r="RUQ168" s="500"/>
      <c r="RUR168" s="500"/>
      <c r="RUS168" s="500"/>
      <c r="RUT168" s="500"/>
      <c r="RUU168" s="500"/>
      <c r="RUV168" s="500"/>
      <c r="RUW168" s="500"/>
      <c r="RUX168" s="500"/>
      <c r="RUY168" s="500"/>
      <c r="RUZ168" s="500"/>
      <c r="RVA168" s="500"/>
      <c r="RVB168" s="500"/>
      <c r="RVC168" s="500"/>
      <c r="RVD168" s="500"/>
      <c r="RVE168" s="500"/>
      <c r="RVF168" s="500"/>
      <c r="RVG168" s="500"/>
      <c r="RVH168" s="500"/>
      <c r="RVI168" s="500"/>
      <c r="RVJ168" s="500"/>
      <c r="RVK168" s="500"/>
      <c r="RVL168" s="500"/>
      <c r="RVM168" s="500"/>
      <c r="RVN168" s="500"/>
      <c r="RVO168" s="500"/>
      <c r="RVP168" s="500"/>
      <c r="RVQ168" s="500"/>
      <c r="RVR168" s="500"/>
      <c r="RVS168" s="500"/>
      <c r="RVT168" s="500"/>
      <c r="RVU168" s="500"/>
      <c r="RVV168" s="500"/>
      <c r="RVW168" s="500"/>
      <c r="RVX168" s="500"/>
      <c r="RVY168" s="500"/>
      <c r="RVZ168" s="500"/>
      <c r="RWA168" s="500"/>
      <c r="RWB168" s="500"/>
      <c r="RWC168" s="500"/>
      <c r="RWD168" s="500"/>
      <c r="RWE168" s="500"/>
      <c r="RWF168" s="500"/>
      <c r="RWG168" s="500"/>
      <c r="RWH168" s="500"/>
      <c r="RWI168" s="500"/>
      <c r="RWJ168" s="500"/>
      <c r="RWK168" s="500"/>
      <c r="RWL168" s="500"/>
      <c r="RWM168" s="500"/>
      <c r="RWN168" s="500"/>
      <c r="RWO168" s="500"/>
      <c r="RWP168" s="500"/>
      <c r="RWQ168" s="500"/>
      <c r="RWR168" s="500"/>
      <c r="RWS168" s="500"/>
      <c r="RWT168" s="500"/>
      <c r="RWU168" s="500"/>
      <c r="RWV168" s="500"/>
      <c r="RWW168" s="500"/>
      <c r="RWX168" s="500"/>
      <c r="RWY168" s="500"/>
      <c r="RWZ168" s="500"/>
      <c r="RXA168" s="500"/>
      <c r="RXB168" s="500"/>
      <c r="RXC168" s="500"/>
      <c r="RXD168" s="500"/>
      <c r="RXE168" s="500"/>
      <c r="RXF168" s="500"/>
      <c r="RXG168" s="500"/>
      <c r="RXH168" s="500"/>
      <c r="RXI168" s="500"/>
      <c r="RXJ168" s="500"/>
      <c r="RXK168" s="500"/>
      <c r="RXL168" s="500"/>
      <c r="RXM168" s="500"/>
      <c r="RXN168" s="500"/>
      <c r="RXO168" s="500"/>
      <c r="RXP168" s="500"/>
      <c r="RXQ168" s="500"/>
      <c r="RXR168" s="500"/>
      <c r="RXS168" s="500"/>
      <c r="RXT168" s="500"/>
      <c r="RXU168" s="500"/>
      <c r="RXV168" s="500"/>
      <c r="RXW168" s="500"/>
      <c r="RXX168" s="500"/>
      <c r="RXY168" s="500"/>
      <c r="RXZ168" s="500"/>
      <c r="RYA168" s="500"/>
      <c r="RYB168" s="500"/>
      <c r="RYC168" s="500"/>
      <c r="RYD168" s="500"/>
      <c r="RYE168" s="500"/>
      <c r="RYF168" s="500"/>
      <c r="RYG168" s="500"/>
      <c r="RYH168" s="500"/>
      <c r="RYI168" s="500"/>
      <c r="RYJ168" s="500"/>
      <c r="RYK168" s="500"/>
      <c r="RYL168" s="500"/>
      <c r="RYM168" s="500"/>
      <c r="RYN168" s="500"/>
      <c r="RYO168" s="500"/>
      <c r="RYP168" s="500"/>
      <c r="RYQ168" s="500"/>
      <c r="RYR168" s="500"/>
      <c r="RYS168" s="500"/>
      <c r="RYT168" s="500"/>
      <c r="RYU168" s="500"/>
      <c r="RYV168" s="500"/>
      <c r="RYW168" s="500"/>
      <c r="RYX168" s="500"/>
      <c r="RYY168" s="500"/>
      <c r="RYZ168" s="500"/>
      <c r="RZA168" s="500"/>
      <c r="RZB168" s="500"/>
      <c r="RZC168" s="500"/>
      <c r="RZD168" s="500"/>
      <c r="RZE168" s="500"/>
      <c r="RZF168" s="500"/>
      <c r="RZG168" s="500"/>
      <c r="RZH168" s="500"/>
      <c r="RZI168" s="500"/>
      <c r="RZJ168" s="500"/>
      <c r="RZK168" s="500"/>
      <c r="RZL168" s="500"/>
      <c r="RZM168" s="500"/>
      <c r="RZN168" s="500"/>
      <c r="RZO168" s="500"/>
      <c r="RZP168" s="500"/>
      <c r="RZQ168" s="500"/>
      <c r="RZR168" s="500"/>
      <c r="RZS168" s="500"/>
      <c r="RZT168" s="500"/>
      <c r="RZU168" s="500"/>
      <c r="RZV168" s="500"/>
      <c r="RZW168" s="500"/>
      <c r="RZX168" s="500"/>
      <c r="RZY168" s="500"/>
      <c r="RZZ168" s="500"/>
      <c r="SAA168" s="500"/>
      <c r="SAB168" s="500"/>
      <c r="SAC168" s="500"/>
      <c r="SAD168" s="500"/>
      <c r="SAE168" s="500"/>
      <c r="SAF168" s="500"/>
      <c r="SAG168" s="500"/>
      <c r="SAH168" s="500"/>
      <c r="SAI168" s="500"/>
      <c r="SAJ168" s="500"/>
      <c r="SAK168" s="500"/>
      <c r="SAL168" s="500"/>
      <c r="SAM168" s="500"/>
      <c r="SAN168" s="500"/>
      <c r="SAO168" s="500"/>
      <c r="SAP168" s="500"/>
      <c r="SAQ168" s="500"/>
      <c r="SAR168" s="500"/>
      <c r="SAS168" s="500"/>
      <c r="SAT168" s="500"/>
      <c r="SAU168" s="500"/>
      <c r="SAV168" s="500"/>
      <c r="SAW168" s="500"/>
      <c r="SAX168" s="500"/>
      <c r="SAY168" s="500"/>
      <c r="SAZ168" s="500"/>
      <c r="SBA168" s="500"/>
      <c r="SBB168" s="500"/>
      <c r="SBC168" s="500"/>
      <c r="SBD168" s="500"/>
      <c r="SBE168" s="500"/>
      <c r="SBF168" s="500"/>
      <c r="SBG168" s="500"/>
      <c r="SBH168" s="500"/>
      <c r="SBI168" s="500"/>
      <c r="SBJ168" s="500"/>
      <c r="SBK168" s="500"/>
      <c r="SBL168" s="500"/>
      <c r="SBM168" s="500"/>
      <c r="SBN168" s="500"/>
      <c r="SBO168" s="500"/>
      <c r="SBP168" s="500"/>
      <c r="SBQ168" s="500"/>
      <c r="SBR168" s="500"/>
      <c r="SBS168" s="500"/>
      <c r="SBT168" s="500"/>
      <c r="SBU168" s="500"/>
      <c r="SBV168" s="500"/>
      <c r="SBW168" s="500"/>
      <c r="SBX168" s="500"/>
      <c r="SBY168" s="500"/>
      <c r="SBZ168" s="500"/>
      <c r="SCA168" s="500"/>
      <c r="SCB168" s="500"/>
      <c r="SCC168" s="500"/>
      <c r="SCD168" s="500"/>
      <c r="SCE168" s="500"/>
      <c r="SCF168" s="500"/>
      <c r="SCG168" s="500"/>
      <c r="SCH168" s="500"/>
      <c r="SCI168" s="500"/>
      <c r="SCJ168" s="500"/>
      <c r="SCK168" s="500"/>
      <c r="SCL168" s="500"/>
      <c r="SCM168" s="500"/>
      <c r="SCN168" s="500"/>
      <c r="SCO168" s="500"/>
      <c r="SCP168" s="500"/>
      <c r="SCQ168" s="500"/>
      <c r="SCR168" s="500"/>
      <c r="SCS168" s="500"/>
      <c r="SCT168" s="500"/>
      <c r="SCU168" s="500"/>
      <c r="SCV168" s="500"/>
      <c r="SCW168" s="500"/>
      <c r="SCX168" s="500"/>
      <c r="SCY168" s="500"/>
      <c r="SCZ168" s="500"/>
      <c r="SDA168" s="500"/>
      <c r="SDB168" s="500"/>
      <c r="SDC168" s="500"/>
      <c r="SDD168" s="500"/>
      <c r="SDE168" s="500"/>
      <c r="SDF168" s="500"/>
      <c r="SDG168" s="500"/>
      <c r="SDH168" s="500"/>
      <c r="SDI168" s="500"/>
      <c r="SDJ168" s="500"/>
      <c r="SDK168" s="500"/>
      <c r="SDL168" s="500"/>
      <c r="SDM168" s="500"/>
      <c r="SDN168" s="500"/>
      <c r="SDO168" s="500"/>
      <c r="SDP168" s="500"/>
      <c r="SDQ168" s="500"/>
      <c r="SDR168" s="500"/>
      <c r="SDS168" s="500"/>
      <c r="SDT168" s="500"/>
      <c r="SDU168" s="500"/>
      <c r="SDV168" s="500"/>
      <c r="SDW168" s="500"/>
      <c r="SDX168" s="500"/>
      <c r="SDY168" s="500"/>
      <c r="SDZ168" s="500"/>
      <c r="SEA168" s="500"/>
      <c r="SEB168" s="500"/>
      <c r="SEC168" s="500"/>
      <c r="SED168" s="500"/>
      <c r="SEE168" s="500"/>
      <c r="SEF168" s="500"/>
      <c r="SEG168" s="500"/>
      <c r="SEH168" s="500"/>
      <c r="SEI168" s="500"/>
      <c r="SEJ168" s="500"/>
      <c r="SEK168" s="500"/>
      <c r="SEL168" s="500"/>
      <c r="SEM168" s="500"/>
      <c r="SEN168" s="500"/>
      <c r="SEO168" s="500"/>
      <c r="SEP168" s="500"/>
      <c r="SEQ168" s="500"/>
      <c r="SER168" s="500"/>
      <c r="SES168" s="500"/>
      <c r="SET168" s="500"/>
      <c r="SEU168" s="500"/>
      <c r="SEV168" s="500"/>
      <c r="SEW168" s="500"/>
      <c r="SEX168" s="500"/>
      <c r="SEY168" s="500"/>
      <c r="SEZ168" s="500"/>
      <c r="SFA168" s="500"/>
      <c r="SFB168" s="500"/>
      <c r="SFC168" s="500"/>
      <c r="SFD168" s="500"/>
      <c r="SFE168" s="500"/>
      <c r="SFF168" s="500"/>
      <c r="SFG168" s="500"/>
      <c r="SFH168" s="500"/>
      <c r="SFI168" s="500"/>
      <c r="SFJ168" s="500"/>
      <c r="SFK168" s="500"/>
      <c r="SFL168" s="500"/>
      <c r="SFM168" s="500"/>
      <c r="SFN168" s="500"/>
      <c r="SFO168" s="500"/>
      <c r="SFP168" s="500"/>
      <c r="SFQ168" s="500"/>
      <c r="SFR168" s="500"/>
      <c r="SFS168" s="500"/>
      <c r="SFT168" s="500"/>
      <c r="SFU168" s="500"/>
      <c r="SFV168" s="500"/>
      <c r="SFW168" s="500"/>
      <c r="SFX168" s="500"/>
      <c r="SFY168" s="500"/>
      <c r="SFZ168" s="500"/>
      <c r="SGA168" s="500"/>
      <c r="SGB168" s="500"/>
      <c r="SGC168" s="500"/>
      <c r="SGD168" s="500"/>
      <c r="SGE168" s="500"/>
      <c r="SGF168" s="500"/>
      <c r="SGG168" s="500"/>
      <c r="SGH168" s="500"/>
      <c r="SGI168" s="500"/>
      <c r="SGJ168" s="500"/>
      <c r="SGK168" s="500"/>
      <c r="SGL168" s="500"/>
      <c r="SGM168" s="500"/>
      <c r="SGN168" s="500"/>
      <c r="SGO168" s="500"/>
      <c r="SGP168" s="500"/>
      <c r="SGQ168" s="500"/>
      <c r="SGR168" s="500"/>
      <c r="SGS168" s="500"/>
      <c r="SGT168" s="500"/>
      <c r="SGU168" s="500"/>
      <c r="SGV168" s="500"/>
      <c r="SGW168" s="500"/>
      <c r="SGX168" s="500"/>
      <c r="SGY168" s="500"/>
      <c r="SGZ168" s="500"/>
      <c r="SHA168" s="500"/>
      <c r="SHB168" s="500"/>
      <c r="SHC168" s="500"/>
      <c r="SHD168" s="500"/>
      <c r="SHE168" s="500"/>
      <c r="SHF168" s="500"/>
      <c r="SHG168" s="500"/>
      <c r="SHH168" s="500"/>
      <c r="SHI168" s="500"/>
      <c r="SHJ168" s="500"/>
      <c r="SHK168" s="500"/>
      <c r="SHL168" s="500"/>
      <c r="SHM168" s="500"/>
      <c r="SHN168" s="500"/>
      <c r="SHO168" s="500"/>
      <c r="SHP168" s="500"/>
      <c r="SHQ168" s="500"/>
      <c r="SHR168" s="500"/>
      <c r="SHS168" s="500"/>
      <c r="SHT168" s="500"/>
      <c r="SHU168" s="500"/>
      <c r="SHV168" s="500"/>
      <c r="SHW168" s="500"/>
      <c r="SHX168" s="500"/>
      <c r="SHY168" s="500"/>
      <c r="SHZ168" s="500"/>
      <c r="SIA168" s="500"/>
      <c r="SIB168" s="500"/>
      <c r="SIC168" s="500"/>
      <c r="SID168" s="500"/>
      <c r="SIE168" s="500"/>
      <c r="SIF168" s="500"/>
      <c r="SIG168" s="500"/>
      <c r="SIH168" s="500"/>
      <c r="SII168" s="500"/>
      <c r="SIJ168" s="500"/>
      <c r="SIK168" s="500"/>
      <c r="SIL168" s="500"/>
      <c r="SIM168" s="500"/>
      <c r="SIN168" s="500"/>
      <c r="SIO168" s="500"/>
      <c r="SIP168" s="500"/>
      <c r="SIQ168" s="500"/>
      <c r="SIR168" s="500"/>
      <c r="SIS168" s="500"/>
      <c r="SIT168" s="500"/>
      <c r="SIU168" s="500"/>
      <c r="SIV168" s="500"/>
      <c r="SIW168" s="500"/>
      <c r="SIX168" s="500"/>
      <c r="SIY168" s="500"/>
      <c r="SIZ168" s="500"/>
      <c r="SJA168" s="500"/>
      <c r="SJB168" s="500"/>
      <c r="SJC168" s="500"/>
      <c r="SJD168" s="500"/>
      <c r="SJE168" s="500"/>
      <c r="SJF168" s="500"/>
      <c r="SJG168" s="500"/>
      <c r="SJH168" s="500"/>
      <c r="SJI168" s="500"/>
      <c r="SJJ168" s="500"/>
      <c r="SJK168" s="500"/>
      <c r="SJL168" s="500"/>
      <c r="SJM168" s="500"/>
      <c r="SJN168" s="500"/>
      <c r="SJO168" s="500"/>
      <c r="SJP168" s="500"/>
      <c r="SJQ168" s="500"/>
      <c r="SJR168" s="500"/>
      <c r="SJS168" s="500"/>
      <c r="SJT168" s="500"/>
      <c r="SJU168" s="500"/>
      <c r="SJV168" s="500"/>
      <c r="SJW168" s="500"/>
      <c r="SJX168" s="500"/>
      <c r="SJY168" s="500"/>
      <c r="SJZ168" s="500"/>
      <c r="SKA168" s="500"/>
      <c r="SKB168" s="500"/>
      <c r="SKC168" s="500"/>
      <c r="SKD168" s="500"/>
      <c r="SKE168" s="500"/>
      <c r="SKF168" s="500"/>
      <c r="SKG168" s="500"/>
      <c r="SKH168" s="500"/>
      <c r="SKI168" s="500"/>
      <c r="SKJ168" s="500"/>
      <c r="SKK168" s="500"/>
      <c r="SKL168" s="500"/>
      <c r="SKM168" s="500"/>
      <c r="SKN168" s="500"/>
      <c r="SKO168" s="500"/>
      <c r="SKP168" s="500"/>
      <c r="SKQ168" s="500"/>
      <c r="SKR168" s="500"/>
      <c r="SKS168" s="500"/>
      <c r="SKT168" s="500"/>
      <c r="SKU168" s="500"/>
      <c r="SKV168" s="500"/>
      <c r="SKW168" s="500"/>
      <c r="SKX168" s="500"/>
      <c r="SKY168" s="500"/>
      <c r="SKZ168" s="500"/>
      <c r="SLA168" s="500"/>
      <c r="SLB168" s="500"/>
      <c r="SLC168" s="500"/>
      <c r="SLD168" s="500"/>
      <c r="SLE168" s="500"/>
      <c r="SLF168" s="500"/>
      <c r="SLG168" s="500"/>
      <c r="SLH168" s="500"/>
      <c r="SLI168" s="500"/>
      <c r="SLJ168" s="500"/>
      <c r="SLK168" s="500"/>
      <c r="SLL168" s="500"/>
      <c r="SLM168" s="500"/>
      <c r="SLN168" s="500"/>
      <c r="SLO168" s="500"/>
      <c r="SLP168" s="500"/>
      <c r="SLQ168" s="500"/>
      <c r="SLR168" s="500"/>
      <c r="SLS168" s="500"/>
      <c r="SLT168" s="500"/>
      <c r="SLU168" s="500"/>
      <c r="SLV168" s="500"/>
      <c r="SLW168" s="500"/>
      <c r="SLX168" s="500"/>
      <c r="SLY168" s="500"/>
      <c r="SLZ168" s="500"/>
      <c r="SMA168" s="500"/>
      <c r="SMB168" s="500"/>
      <c r="SMC168" s="500"/>
      <c r="SMD168" s="500"/>
      <c r="SME168" s="500"/>
      <c r="SMF168" s="500"/>
      <c r="SMG168" s="500"/>
      <c r="SMH168" s="500"/>
      <c r="SMI168" s="500"/>
      <c r="SMJ168" s="500"/>
      <c r="SMK168" s="500"/>
      <c r="SML168" s="500"/>
      <c r="SMM168" s="500"/>
      <c r="SMN168" s="500"/>
      <c r="SMO168" s="500"/>
      <c r="SMP168" s="500"/>
      <c r="SMQ168" s="500"/>
      <c r="SMR168" s="500"/>
      <c r="SMS168" s="500"/>
      <c r="SMT168" s="500"/>
      <c r="SMU168" s="500"/>
      <c r="SMV168" s="500"/>
      <c r="SMW168" s="500"/>
      <c r="SMX168" s="500"/>
      <c r="SMY168" s="500"/>
      <c r="SMZ168" s="500"/>
      <c r="SNA168" s="500"/>
      <c r="SNB168" s="500"/>
      <c r="SNC168" s="500"/>
      <c r="SND168" s="500"/>
      <c r="SNE168" s="500"/>
      <c r="SNF168" s="500"/>
      <c r="SNG168" s="500"/>
      <c r="SNH168" s="500"/>
      <c r="SNI168" s="500"/>
      <c r="SNJ168" s="500"/>
      <c r="SNK168" s="500"/>
      <c r="SNL168" s="500"/>
      <c r="SNM168" s="500"/>
      <c r="SNN168" s="500"/>
      <c r="SNO168" s="500"/>
      <c r="SNP168" s="500"/>
      <c r="SNQ168" s="500"/>
      <c r="SNR168" s="500"/>
      <c r="SNS168" s="500"/>
      <c r="SNT168" s="500"/>
      <c r="SNU168" s="500"/>
      <c r="SNV168" s="500"/>
      <c r="SNW168" s="500"/>
      <c r="SNX168" s="500"/>
      <c r="SNY168" s="500"/>
      <c r="SNZ168" s="500"/>
      <c r="SOA168" s="500"/>
      <c r="SOB168" s="500"/>
      <c r="SOC168" s="500"/>
      <c r="SOD168" s="500"/>
      <c r="SOE168" s="500"/>
      <c r="SOF168" s="500"/>
      <c r="SOG168" s="500"/>
      <c r="SOH168" s="500"/>
      <c r="SOI168" s="500"/>
      <c r="SOJ168" s="500"/>
      <c r="SOK168" s="500"/>
      <c r="SOL168" s="500"/>
      <c r="SOM168" s="500"/>
      <c r="SON168" s="500"/>
      <c r="SOO168" s="500"/>
      <c r="SOP168" s="500"/>
      <c r="SOQ168" s="500"/>
      <c r="SOR168" s="500"/>
      <c r="SOS168" s="500"/>
      <c r="SOT168" s="500"/>
      <c r="SOU168" s="500"/>
      <c r="SOV168" s="500"/>
      <c r="SOW168" s="500"/>
      <c r="SOX168" s="500"/>
      <c r="SOY168" s="500"/>
      <c r="SOZ168" s="500"/>
      <c r="SPA168" s="500"/>
      <c r="SPB168" s="500"/>
      <c r="SPC168" s="500"/>
      <c r="SPD168" s="500"/>
      <c r="SPE168" s="500"/>
      <c r="SPF168" s="500"/>
      <c r="SPG168" s="500"/>
      <c r="SPH168" s="500"/>
      <c r="SPI168" s="500"/>
      <c r="SPJ168" s="500"/>
      <c r="SPK168" s="500"/>
      <c r="SPL168" s="500"/>
      <c r="SPM168" s="500"/>
      <c r="SPN168" s="500"/>
      <c r="SPO168" s="500"/>
      <c r="SPP168" s="500"/>
      <c r="SPQ168" s="500"/>
      <c r="SPR168" s="500"/>
      <c r="SPS168" s="500"/>
      <c r="SPT168" s="500"/>
      <c r="SPU168" s="500"/>
      <c r="SPV168" s="500"/>
      <c r="SPW168" s="500"/>
      <c r="SPX168" s="500"/>
      <c r="SPY168" s="500"/>
      <c r="SPZ168" s="500"/>
      <c r="SQA168" s="500"/>
      <c r="SQB168" s="500"/>
      <c r="SQC168" s="500"/>
      <c r="SQD168" s="500"/>
      <c r="SQE168" s="500"/>
      <c r="SQF168" s="500"/>
      <c r="SQG168" s="500"/>
      <c r="SQH168" s="500"/>
      <c r="SQI168" s="500"/>
      <c r="SQJ168" s="500"/>
      <c r="SQK168" s="500"/>
      <c r="SQL168" s="500"/>
      <c r="SQM168" s="500"/>
      <c r="SQN168" s="500"/>
      <c r="SQO168" s="500"/>
      <c r="SQP168" s="500"/>
      <c r="SQQ168" s="500"/>
      <c r="SQR168" s="500"/>
      <c r="SQS168" s="500"/>
      <c r="SQT168" s="500"/>
      <c r="SQU168" s="500"/>
      <c r="SQV168" s="500"/>
      <c r="SQW168" s="500"/>
      <c r="SQX168" s="500"/>
      <c r="SQY168" s="500"/>
      <c r="SQZ168" s="500"/>
      <c r="SRA168" s="500"/>
      <c r="SRB168" s="500"/>
      <c r="SRC168" s="500"/>
      <c r="SRD168" s="500"/>
      <c r="SRE168" s="500"/>
      <c r="SRF168" s="500"/>
      <c r="SRG168" s="500"/>
      <c r="SRH168" s="500"/>
      <c r="SRI168" s="500"/>
      <c r="SRJ168" s="500"/>
      <c r="SRK168" s="500"/>
      <c r="SRL168" s="500"/>
      <c r="SRM168" s="500"/>
      <c r="SRN168" s="500"/>
      <c r="SRO168" s="500"/>
      <c r="SRP168" s="500"/>
      <c r="SRQ168" s="500"/>
      <c r="SRR168" s="500"/>
      <c r="SRS168" s="500"/>
      <c r="SRT168" s="500"/>
      <c r="SRU168" s="500"/>
      <c r="SRV168" s="500"/>
      <c r="SRW168" s="500"/>
      <c r="SRX168" s="500"/>
      <c r="SRY168" s="500"/>
      <c r="SRZ168" s="500"/>
      <c r="SSA168" s="500"/>
      <c r="SSB168" s="500"/>
      <c r="SSC168" s="500"/>
      <c r="SSD168" s="500"/>
      <c r="SSE168" s="500"/>
      <c r="SSF168" s="500"/>
      <c r="SSG168" s="500"/>
      <c r="SSH168" s="500"/>
      <c r="SSI168" s="500"/>
      <c r="SSJ168" s="500"/>
      <c r="SSK168" s="500"/>
      <c r="SSL168" s="500"/>
      <c r="SSM168" s="500"/>
      <c r="SSN168" s="500"/>
      <c r="SSO168" s="500"/>
      <c r="SSP168" s="500"/>
      <c r="SSQ168" s="500"/>
      <c r="SSR168" s="500"/>
      <c r="SSS168" s="500"/>
      <c r="SST168" s="500"/>
      <c r="SSU168" s="500"/>
      <c r="SSV168" s="500"/>
      <c r="SSW168" s="500"/>
      <c r="SSX168" s="500"/>
      <c r="SSY168" s="500"/>
      <c r="SSZ168" s="500"/>
      <c r="STA168" s="500"/>
      <c r="STB168" s="500"/>
      <c r="STC168" s="500"/>
      <c r="STD168" s="500"/>
      <c r="STE168" s="500"/>
      <c r="STF168" s="500"/>
      <c r="STG168" s="500"/>
      <c r="STH168" s="500"/>
      <c r="STI168" s="500"/>
      <c r="STJ168" s="500"/>
      <c r="STK168" s="500"/>
      <c r="STL168" s="500"/>
      <c r="STM168" s="500"/>
      <c r="STN168" s="500"/>
      <c r="STO168" s="500"/>
      <c r="STP168" s="500"/>
      <c r="STQ168" s="500"/>
      <c r="STR168" s="500"/>
      <c r="STS168" s="500"/>
      <c r="STT168" s="500"/>
      <c r="STU168" s="500"/>
      <c r="STV168" s="500"/>
      <c r="STW168" s="500"/>
      <c r="STX168" s="500"/>
      <c r="STY168" s="500"/>
      <c r="STZ168" s="500"/>
      <c r="SUA168" s="500"/>
      <c r="SUB168" s="500"/>
      <c r="SUC168" s="500"/>
      <c r="SUD168" s="500"/>
      <c r="SUE168" s="500"/>
      <c r="SUF168" s="500"/>
      <c r="SUG168" s="500"/>
      <c r="SUH168" s="500"/>
      <c r="SUI168" s="500"/>
      <c r="SUJ168" s="500"/>
      <c r="SUK168" s="500"/>
      <c r="SUL168" s="500"/>
      <c r="SUM168" s="500"/>
      <c r="SUN168" s="500"/>
      <c r="SUO168" s="500"/>
      <c r="SUP168" s="500"/>
      <c r="SUQ168" s="500"/>
      <c r="SUR168" s="500"/>
      <c r="SUS168" s="500"/>
      <c r="SUT168" s="500"/>
      <c r="SUU168" s="500"/>
      <c r="SUV168" s="500"/>
      <c r="SUW168" s="500"/>
      <c r="SUX168" s="500"/>
      <c r="SUY168" s="500"/>
      <c r="SUZ168" s="500"/>
      <c r="SVA168" s="500"/>
      <c r="SVB168" s="500"/>
      <c r="SVC168" s="500"/>
      <c r="SVD168" s="500"/>
      <c r="SVE168" s="500"/>
      <c r="SVF168" s="500"/>
      <c r="SVG168" s="500"/>
      <c r="SVH168" s="500"/>
      <c r="SVI168" s="500"/>
      <c r="SVJ168" s="500"/>
      <c r="SVK168" s="500"/>
      <c r="SVL168" s="500"/>
      <c r="SVM168" s="500"/>
      <c r="SVN168" s="500"/>
      <c r="SVO168" s="500"/>
      <c r="SVP168" s="500"/>
      <c r="SVQ168" s="500"/>
      <c r="SVR168" s="500"/>
      <c r="SVS168" s="500"/>
      <c r="SVT168" s="500"/>
      <c r="SVU168" s="500"/>
      <c r="SVV168" s="500"/>
      <c r="SVW168" s="500"/>
      <c r="SVX168" s="500"/>
      <c r="SVY168" s="500"/>
      <c r="SVZ168" s="500"/>
      <c r="SWA168" s="500"/>
      <c r="SWB168" s="500"/>
      <c r="SWC168" s="500"/>
      <c r="SWD168" s="500"/>
      <c r="SWE168" s="500"/>
      <c r="SWF168" s="500"/>
      <c r="SWG168" s="500"/>
      <c r="SWH168" s="500"/>
      <c r="SWI168" s="500"/>
      <c r="SWJ168" s="500"/>
      <c r="SWK168" s="500"/>
      <c r="SWL168" s="500"/>
      <c r="SWM168" s="500"/>
      <c r="SWN168" s="500"/>
      <c r="SWO168" s="500"/>
      <c r="SWP168" s="500"/>
      <c r="SWQ168" s="500"/>
      <c r="SWR168" s="500"/>
      <c r="SWS168" s="500"/>
      <c r="SWT168" s="500"/>
      <c r="SWU168" s="500"/>
      <c r="SWV168" s="500"/>
      <c r="SWW168" s="500"/>
      <c r="SWX168" s="500"/>
      <c r="SWY168" s="500"/>
      <c r="SWZ168" s="500"/>
      <c r="SXA168" s="500"/>
      <c r="SXB168" s="500"/>
      <c r="SXC168" s="500"/>
      <c r="SXD168" s="500"/>
      <c r="SXE168" s="500"/>
      <c r="SXF168" s="500"/>
      <c r="SXG168" s="500"/>
      <c r="SXH168" s="500"/>
      <c r="SXI168" s="500"/>
      <c r="SXJ168" s="500"/>
      <c r="SXK168" s="500"/>
      <c r="SXL168" s="500"/>
      <c r="SXM168" s="500"/>
      <c r="SXN168" s="500"/>
      <c r="SXO168" s="500"/>
      <c r="SXP168" s="500"/>
      <c r="SXQ168" s="500"/>
      <c r="SXR168" s="500"/>
      <c r="SXS168" s="500"/>
      <c r="SXT168" s="500"/>
      <c r="SXU168" s="500"/>
      <c r="SXV168" s="500"/>
      <c r="SXW168" s="500"/>
      <c r="SXX168" s="500"/>
      <c r="SXY168" s="500"/>
      <c r="SXZ168" s="500"/>
      <c r="SYA168" s="500"/>
      <c r="SYB168" s="500"/>
      <c r="SYC168" s="500"/>
      <c r="SYD168" s="500"/>
      <c r="SYE168" s="500"/>
      <c r="SYF168" s="500"/>
      <c r="SYG168" s="500"/>
      <c r="SYH168" s="500"/>
      <c r="SYI168" s="500"/>
      <c r="SYJ168" s="500"/>
      <c r="SYK168" s="500"/>
      <c r="SYL168" s="500"/>
      <c r="SYM168" s="500"/>
      <c r="SYN168" s="500"/>
      <c r="SYO168" s="500"/>
      <c r="SYP168" s="500"/>
      <c r="SYQ168" s="500"/>
      <c r="SYR168" s="500"/>
      <c r="SYS168" s="500"/>
      <c r="SYT168" s="500"/>
      <c r="SYU168" s="500"/>
      <c r="SYV168" s="500"/>
      <c r="SYW168" s="500"/>
      <c r="SYX168" s="500"/>
      <c r="SYY168" s="500"/>
      <c r="SYZ168" s="500"/>
      <c r="SZA168" s="500"/>
      <c r="SZB168" s="500"/>
      <c r="SZC168" s="500"/>
      <c r="SZD168" s="500"/>
      <c r="SZE168" s="500"/>
      <c r="SZF168" s="500"/>
      <c r="SZG168" s="500"/>
      <c r="SZH168" s="500"/>
      <c r="SZI168" s="500"/>
      <c r="SZJ168" s="500"/>
      <c r="SZK168" s="500"/>
      <c r="SZL168" s="500"/>
      <c r="SZM168" s="500"/>
      <c r="SZN168" s="500"/>
      <c r="SZO168" s="500"/>
      <c r="SZP168" s="500"/>
      <c r="SZQ168" s="500"/>
      <c r="SZR168" s="500"/>
      <c r="SZS168" s="500"/>
      <c r="SZT168" s="500"/>
      <c r="SZU168" s="500"/>
      <c r="SZV168" s="500"/>
      <c r="SZW168" s="500"/>
      <c r="SZX168" s="500"/>
      <c r="SZY168" s="500"/>
      <c r="SZZ168" s="500"/>
      <c r="TAA168" s="500"/>
      <c r="TAB168" s="500"/>
      <c r="TAC168" s="500"/>
      <c r="TAD168" s="500"/>
      <c r="TAE168" s="500"/>
      <c r="TAF168" s="500"/>
      <c r="TAG168" s="500"/>
      <c r="TAH168" s="500"/>
      <c r="TAI168" s="500"/>
      <c r="TAJ168" s="500"/>
      <c r="TAK168" s="500"/>
      <c r="TAL168" s="500"/>
      <c r="TAM168" s="500"/>
      <c r="TAN168" s="500"/>
      <c r="TAO168" s="500"/>
      <c r="TAP168" s="500"/>
      <c r="TAQ168" s="500"/>
      <c r="TAR168" s="500"/>
      <c r="TAS168" s="500"/>
      <c r="TAT168" s="500"/>
      <c r="TAU168" s="500"/>
      <c r="TAV168" s="500"/>
      <c r="TAW168" s="500"/>
      <c r="TAX168" s="500"/>
      <c r="TAY168" s="500"/>
      <c r="TAZ168" s="500"/>
      <c r="TBA168" s="500"/>
      <c r="TBB168" s="500"/>
      <c r="TBC168" s="500"/>
      <c r="TBD168" s="500"/>
      <c r="TBE168" s="500"/>
      <c r="TBF168" s="500"/>
      <c r="TBG168" s="500"/>
      <c r="TBH168" s="500"/>
      <c r="TBI168" s="500"/>
      <c r="TBJ168" s="500"/>
      <c r="TBK168" s="500"/>
      <c r="TBL168" s="500"/>
      <c r="TBM168" s="500"/>
      <c r="TBN168" s="500"/>
      <c r="TBO168" s="500"/>
      <c r="TBP168" s="500"/>
      <c r="TBQ168" s="500"/>
      <c r="TBR168" s="500"/>
      <c r="TBS168" s="500"/>
      <c r="TBT168" s="500"/>
      <c r="TBU168" s="500"/>
      <c r="TBV168" s="500"/>
      <c r="TBW168" s="500"/>
      <c r="TBX168" s="500"/>
      <c r="TBY168" s="500"/>
      <c r="TBZ168" s="500"/>
      <c r="TCA168" s="500"/>
      <c r="TCB168" s="500"/>
      <c r="TCC168" s="500"/>
      <c r="TCD168" s="500"/>
      <c r="TCE168" s="500"/>
      <c r="TCF168" s="500"/>
      <c r="TCG168" s="500"/>
      <c r="TCH168" s="500"/>
      <c r="TCI168" s="500"/>
      <c r="TCJ168" s="500"/>
      <c r="TCK168" s="500"/>
      <c r="TCL168" s="500"/>
      <c r="TCM168" s="500"/>
      <c r="TCN168" s="500"/>
      <c r="TCO168" s="500"/>
      <c r="TCP168" s="500"/>
      <c r="TCQ168" s="500"/>
      <c r="TCR168" s="500"/>
      <c r="TCS168" s="500"/>
      <c r="TCT168" s="500"/>
      <c r="TCU168" s="500"/>
      <c r="TCV168" s="500"/>
      <c r="TCW168" s="500"/>
      <c r="TCX168" s="500"/>
      <c r="TCY168" s="500"/>
      <c r="TCZ168" s="500"/>
      <c r="TDA168" s="500"/>
      <c r="TDB168" s="500"/>
      <c r="TDC168" s="500"/>
      <c r="TDD168" s="500"/>
      <c r="TDE168" s="500"/>
      <c r="TDF168" s="500"/>
      <c r="TDG168" s="500"/>
      <c r="TDH168" s="500"/>
      <c r="TDI168" s="500"/>
      <c r="TDJ168" s="500"/>
      <c r="TDK168" s="500"/>
      <c r="TDL168" s="500"/>
      <c r="TDM168" s="500"/>
      <c r="TDN168" s="500"/>
      <c r="TDO168" s="500"/>
      <c r="TDP168" s="500"/>
      <c r="TDQ168" s="500"/>
      <c r="TDR168" s="500"/>
      <c r="TDS168" s="500"/>
      <c r="TDT168" s="500"/>
      <c r="TDU168" s="500"/>
      <c r="TDV168" s="500"/>
      <c r="TDW168" s="500"/>
      <c r="TDX168" s="500"/>
      <c r="TDY168" s="500"/>
      <c r="TDZ168" s="500"/>
      <c r="TEA168" s="500"/>
      <c r="TEB168" s="500"/>
      <c r="TEC168" s="500"/>
      <c r="TED168" s="500"/>
      <c r="TEE168" s="500"/>
      <c r="TEF168" s="500"/>
      <c r="TEG168" s="500"/>
      <c r="TEH168" s="500"/>
      <c r="TEI168" s="500"/>
      <c r="TEJ168" s="500"/>
      <c r="TEK168" s="500"/>
      <c r="TEL168" s="500"/>
      <c r="TEM168" s="500"/>
      <c r="TEN168" s="500"/>
      <c r="TEO168" s="500"/>
      <c r="TEP168" s="500"/>
      <c r="TEQ168" s="500"/>
      <c r="TER168" s="500"/>
      <c r="TES168" s="500"/>
      <c r="TET168" s="500"/>
      <c r="TEU168" s="500"/>
      <c r="TEV168" s="500"/>
      <c r="TEW168" s="500"/>
      <c r="TEX168" s="500"/>
      <c r="TEY168" s="500"/>
      <c r="TEZ168" s="500"/>
      <c r="TFA168" s="500"/>
      <c r="TFB168" s="500"/>
      <c r="TFC168" s="500"/>
      <c r="TFD168" s="500"/>
      <c r="TFE168" s="500"/>
      <c r="TFF168" s="500"/>
      <c r="TFG168" s="500"/>
      <c r="TFH168" s="500"/>
      <c r="TFI168" s="500"/>
      <c r="TFJ168" s="500"/>
      <c r="TFK168" s="500"/>
      <c r="TFL168" s="500"/>
      <c r="TFM168" s="500"/>
      <c r="TFN168" s="500"/>
      <c r="TFO168" s="500"/>
      <c r="TFP168" s="500"/>
      <c r="TFQ168" s="500"/>
      <c r="TFR168" s="500"/>
      <c r="TFS168" s="500"/>
      <c r="TFT168" s="500"/>
      <c r="TFU168" s="500"/>
      <c r="TFV168" s="500"/>
      <c r="TFW168" s="500"/>
      <c r="TFX168" s="500"/>
      <c r="TFY168" s="500"/>
      <c r="TFZ168" s="500"/>
      <c r="TGA168" s="500"/>
      <c r="TGB168" s="500"/>
      <c r="TGC168" s="500"/>
      <c r="TGD168" s="500"/>
      <c r="TGE168" s="500"/>
      <c r="TGF168" s="500"/>
      <c r="TGG168" s="500"/>
      <c r="TGH168" s="500"/>
      <c r="TGI168" s="500"/>
      <c r="TGJ168" s="500"/>
      <c r="TGK168" s="500"/>
      <c r="TGL168" s="500"/>
      <c r="TGM168" s="500"/>
      <c r="TGN168" s="500"/>
      <c r="TGO168" s="500"/>
      <c r="TGP168" s="500"/>
      <c r="TGQ168" s="500"/>
      <c r="TGR168" s="500"/>
      <c r="TGS168" s="500"/>
      <c r="TGT168" s="500"/>
      <c r="TGU168" s="500"/>
      <c r="TGV168" s="500"/>
      <c r="TGW168" s="500"/>
      <c r="TGX168" s="500"/>
      <c r="TGY168" s="500"/>
      <c r="TGZ168" s="500"/>
      <c r="THA168" s="500"/>
      <c r="THB168" s="500"/>
      <c r="THC168" s="500"/>
      <c r="THD168" s="500"/>
      <c r="THE168" s="500"/>
      <c r="THF168" s="500"/>
      <c r="THG168" s="500"/>
      <c r="THH168" s="500"/>
      <c r="THI168" s="500"/>
      <c r="THJ168" s="500"/>
      <c r="THK168" s="500"/>
      <c r="THL168" s="500"/>
      <c r="THM168" s="500"/>
      <c r="THN168" s="500"/>
      <c r="THO168" s="500"/>
      <c r="THP168" s="500"/>
      <c r="THQ168" s="500"/>
      <c r="THR168" s="500"/>
      <c r="THS168" s="500"/>
      <c r="THT168" s="500"/>
      <c r="THU168" s="500"/>
      <c r="THV168" s="500"/>
      <c r="THW168" s="500"/>
      <c r="THX168" s="500"/>
      <c r="THY168" s="500"/>
      <c r="THZ168" s="500"/>
      <c r="TIA168" s="500"/>
      <c r="TIB168" s="500"/>
      <c r="TIC168" s="500"/>
      <c r="TID168" s="500"/>
      <c r="TIE168" s="500"/>
      <c r="TIF168" s="500"/>
      <c r="TIG168" s="500"/>
      <c r="TIH168" s="500"/>
      <c r="TII168" s="500"/>
      <c r="TIJ168" s="500"/>
      <c r="TIK168" s="500"/>
      <c r="TIL168" s="500"/>
      <c r="TIM168" s="500"/>
      <c r="TIN168" s="500"/>
      <c r="TIO168" s="500"/>
      <c r="TIP168" s="500"/>
      <c r="TIQ168" s="500"/>
      <c r="TIR168" s="500"/>
      <c r="TIS168" s="500"/>
      <c r="TIT168" s="500"/>
      <c r="TIU168" s="500"/>
      <c r="TIV168" s="500"/>
      <c r="TIW168" s="500"/>
      <c r="TIX168" s="500"/>
      <c r="TIY168" s="500"/>
      <c r="TIZ168" s="500"/>
      <c r="TJA168" s="500"/>
      <c r="TJB168" s="500"/>
      <c r="TJC168" s="500"/>
      <c r="TJD168" s="500"/>
      <c r="TJE168" s="500"/>
      <c r="TJF168" s="500"/>
      <c r="TJG168" s="500"/>
      <c r="TJH168" s="500"/>
      <c r="TJI168" s="500"/>
      <c r="TJJ168" s="500"/>
      <c r="TJK168" s="500"/>
      <c r="TJL168" s="500"/>
      <c r="TJM168" s="500"/>
      <c r="TJN168" s="500"/>
      <c r="TJO168" s="500"/>
      <c r="TJP168" s="500"/>
      <c r="TJQ168" s="500"/>
      <c r="TJR168" s="500"/>
      <c r="TJS168" s="500"/>
      <c r="TJT168" s="500"/>
      <c r="TJU168" s="500"/>
      <c r="TJV168" s="500"/>
      <c r="TJW168" s="500"/>
      <c r="TJX168" s="500"/>
      <c r="TJY168" s="500"/>
      <c r="TJZ168" s="500"/>
      <c r="TKA168" s="500"/>
      <c r="TKB168" s="500"/>
      <c r="TKC168" s="500"/>
      <c r="TKD168" s="500"/>
      <c r="TKE168" s="500"/>
      <c r="TKF168" s="500"/>
      <c r="TKG168" s="500"/>
      <c r="TKH168" s="500"/>
      <c r="TKI168" s="500"/>
      <c r="TKJ168" s="500"/>
      <c r="TKK168" s="500"/>
      <c r="TKL168" s="500"/>
      <c r="TKM168" s="500"/>
      <c r="TKN168" s="500"/>
      <c r="TKO168" s="500"/>
      <c r="TKP168" s="500"/>
      <c r="TKQ168" s="500"/>
      <c r="TKR168" s="500"/>
      <c r="TKS168" s="500"/>
      <c r="TKT168" s="500"/>
      <c r="TKU168" s="500"/>
      <c r="TKV168" s="500"/>
      <c r="TKW168" s="500"/>
      <c r="TKX168" s="500"/>
      <c r="TKY168" s="500"/>
      <c r="TKZ168" s="500"/>
      <c r="TLA168" s="500"/>
      <c r="TLB168" s="500"/>
      <c r="TLC168" s="500"/>
      <c r="TLD168" s="500"/>
      <c r="TLE168" s="500"/>
      <c r="TLF168" s="500"/>
      <c r="TLG168" s="500"/>
      <c r="TLH168" s="500"/>
      <c r="TLI168" s="500"/>
      <c r="TLJ168" s="500"/>
      <c r="TLK168" s="500"/>
      <c r="TLL168" s="500"/>
      <c r="TLM168" s="500"/>
      <c r="TLN168" s="500"/>
      <c r="TLO168" s="500"/>
      <c r="TLP168" s="500"/>
      <c r="TLQ168" s="500"/>
      <c r="TLR168" s="500"/>
      <c r="TLS168" s="500"/>
      <c r="TLT168" s="500"/>
      <c r="TLU168" s="500"/>
      <c r="TLV168" s="500"/>
      <c r="TLW168" s="500"/>
      <c r="TLX168" s="500"/>
      <c r="TLY168" s="500"/>
      <c r="TLZ168" s="500"/>
      <c r="TMA168" s="500"/>
      <c r="TMB168" s="500"/>
      <c r="TMC168" s="500"/>
      <c r="TMD168" s="500"/>
      <c r="TME168" s="500"/>
      <c r="TMF168" s="500"/>
      <c r="TMG168" s="500"/>
      <c r="TMH168" s="500"/>
      <c r="TMI168" s="500"/>
      <c r="TMJ168" s="500"/>
      <c r="TMK168" s="500"/>
      <c r="TML168" s="500"/>
      <c r="TMM168" s="500"/>
      <c r="TMN168" s="500"/>
      <c r="TMO168" s="500"/>
      <c r="TMP168" s="500"/>
      <c r="TMQ168" s="500"/>
      <c r="TMR168" s="500"/>
      <c r="TMS168" s="500"/>
      <c r="TMT168" s="500"/>
      <c r="TMU168" s="500"/>
      <c r="TMV168" s="500"/>
      <c r="TMW168" s="500"/>
      <c r="TMX168" s="500"/>
      <c r="TMY168" s="500"/>
      <c r="TMZ168" s="500"/>
      <c r="TNA168" s="500"/>
      <c r="TNB168" s="500"/>
      <c r="TNC168" s="500"/>
      <c r="TND168" s="500"/>
      <c r="TNE168" s="500"/>
      <c r="TNF168" s="500"/>
      <c r="TNG168" s="500"/>
      <c r="TNH168" s="500"/>
      <c r="TNI168" s="500"/>
      <c r="TNJ168" s="500"/>
      <c r="TNK168" s="500"/>
      <c r="TNL168" s="500"/>
      <c r="TNM168" s="500"/>
      <c r="TNN168" s="500"/>
      <c r="TNO168" s="500"/>
      <c r="TNP168" s="500"/>
      <c r="TNQ168" s="500"/>
      <c r="TNR168" s="500"/>
      <c r="TNS168" s="500"/>
      <c r="TNT168" s="500"/>
      <c r="TNU168" s="500"/>
      <c r="TNV168" s="500"/>
      <c r="TNW168" s="500"/>
      <c r="TNX168" s="500"/>
      <c r="TNY168" s="500"/>
      <c r="TNZ168" s="500"/>
      <c r="TOA168" s="500"/>
      <c r="TOB168" s="500"/>
      <c r="TOC168" s="500"/>
      <c r="TOD168" s="500"/>
      <c r="TOE168" s="500"/>
      <c r="TOF168" s="500"/>
      <c r="TOG168" s="500"/>
      <c r="TOH168" s="500"/>
      <c r="TOI168" s="500"/>
      <c r="TOJ168" s="500"/>
      <c r="TOK168" s="500"/>
      <c r="TOL168" s="500"/>
      <c r="TOM168" s="500"/>
      <c r="TON168" s="500"/>
      <c r="TOO168" s="500"/>
      <c r="TOP168" s="500"/>
      <c r="TOQ168" s="500"/>
      <c r="TOR168" s="500"/>
      <c r="TOS168" s="500"/>
      <c r="TOT168" s="500"/>
      <c r="TOU168" s="500"/>
      <c r="TOV168" s="500"/>
      <c r="TOW168" s="500"/>
      <c r="TOX168" s="500"/>
      <c r="TOY168" s="500"/>
      <c r="TOZ168" s="500"/>
      <c r="TPA168" s="500"/>
      <c r="TPB168" s="500"/>
      <c r="TPC168" s="500"/>
      <c r="TPD168" s="500"/>
      <c r="TPE168" s="500"/>
      <c r="TPF168" s="500"/>
      <c r="TPG168" s="500"/>
      <c r="TPH168" s="500"/>
      <c r="TPI168" s="500"/>
      <c r="TPJ168" s="500"/>
      <c r="TPK168" s="500"/>
      <c r="TPL168" s="500"/>
      <c r="TPM168" s="500"/>
      <c r="TPN168" s="500"/>
      <c r="TPO168" s="500"/>
      <c r="TPP168" s="500"/>
      <c r="TPQ168" s="500"/>
      <c r="TPR168" s="500"/>
      <c r="TPS168" s="500"/>
      <c r="TPT168" s="500"/>
      <c r="TPU168" s="500"/>
      <c r="TPV168" s="500"/>
      <c r="TPW168" s="500"/>
      <c r="TPX168" s="500"/>
      <c r="TPY168" s="500"/>
      <c r="TPZ168" s="500"/>
      <c r="TQA168" s="500"/>
      <c r="TQB168" s="500"/>
      <c r="TQC168" s="500"/>
      <c r="TQD168" s="500"/>
      <c r="TQE168" s="500"/>
      <c r="TQF168" s="500"/>
      <c r="TQG168" s="500"/>
      <c r="TQH168" s="500"/>
      <c r="TQI168" s="500"/>
      <c r="TQJ168" s="500"/>
      <c r="TQK168" s="500"/>
      <c r="TQL168" s="500"/>
      <c r="TQM168" s="500"/>
      <c r="TQN168" s="500"/>
      <c r="TQO168" s="500"/>
      <c r="TQP168" s="500"/>
      <c r="TQQ168" s="500"/>
      <c r="TQR168" s="500"/>
      <c r="TQS168" s="500"/>
      <c r="TQT168" s="500"/>
      <c r="TQU168" s="500"/>
      <c r="TQV168" s="500"/>
      <c r="TQW168" s="500"/>
      <c r="TQX168" s="500"/>
      <c r="TQY168" s="500"/>
      <c r="TQZ168" s="500"/>
      <c r="TRA168" s="500"/>
      <c r="TRB168" s="500"/>
      <c r="TRC168" s="500"/>
      <c r="TRD168" s="500"/>
      <c r="TRE168" s="500"/>
      <c r="TRF168" s="500"/>
      <c r="TRG168" s="500"/>
      <c r="TRH168" s="500"/>
      <c r="TRI168" s="500"/>
      <c r="TRJ168" s="500"/>
      <c r="TRK168" s="500"/>
      <c r="TRL168" s="500"/>
      <c r="TRM168" s="500"/>
      <c r="TRN168" s="500"/>
      <c r="TRO168" s="500"/>
      <c r="TRP168" s="500"/>
      <c r="TRQ168" s="500"/>
      <c r="TRR168" s="500"/>
      <c r="TRS168" s="500"/>
      <c r="TRT168" s="500"/>
      <c r="TRU168" s="500"/>
      <c r="TRV168" s="500"/>
      <c r="TRW168" s="500"/>
      <c r="TRX168" s="500"/>
      <c r="TRY168" s="500"/>
      <c r="TRZ168" s="500"/>
      <c r="TSA168" s="500"/>
      <c r="TSB168" s="500"/>
      <c r="TSC168" s="500"/>
      <c r="TSD168" s="500"/>
      <c r="TSE168" s="500"/>
      <c r="TSF168" s="500"/>
      <c r="TSG168" s="500"/>
      <c r="TSH168" s="500"/>
      <c r="TSI168" s="500"/>
      <c r="TSJ168" s="500"/>
      <c r="TSK168" s="500"/>
      <c r="TSL168" s="500"/>
      <c r="TSM168" s="500"/>
      <c r="TSN168" s="500"/>
      <c r="TSO168" s="500"/>
      <c r="TSP168" s="500"/>
      <c r="TSQ168" s="500"/>
      <c r="TSR168" s="500"/>
      <c r="TSS168" s="500"/>
      <c r="TST168" s="500"/>
      <c r="TSU168" s="500"/>
      <c r="TSV168" s="500"/>
      <c r="TSW168" s="500"/>
      <c r="TSX168" s="500"/>
      <c r="TSY168" s="500"/>
      <c r="TSZ168" s="500"/>
      <c r="TTA168" s="500"/>
      <c r="TTB168" s="500"/>
      <c r="TTC168" s="500"/>
      <c r="TTD168" s="500"/>
      <c r="TTE168" s="500"/>
      <c r="TTF168" s="500"/>
      <c r="TTG168" s="500"/>
      <c r="TTH168" s="500"/>
      <c r="TTI168" s="500"/>
      <c r="TTJ168" s="500"/>
      <c r="TTK168" s="500"/>
      <c r="TTL168" s="500"/>
      <c r="TTM168" s="500"/>
      <c r="TTN168" s="500"/>
      <c r="TTO168" s="500"/>
      <c r="TTP168" s="500"/>
      <c r="TTQ168" s="500"/>
      <c r="TTR168" s="500"/>
      <c r="TTS168" s="500"/>
      <c r="TTT168" s="500"/>
      <c r="TTU168" s="500"/>
      <c r="TTV168" s="500"/>
      <c r="TTW168" s="500"/>
      <c r="TTX168" s="500"/>
      <c r="TTY168" s="500"/>
      <c r="TTZ168" s="500"/>
      <c r="TUA168" s="500"/>
      <c r="TUB168" s="500"/>
      <c r="TUC168" s="500"/>
      <c r="TUD168" s="500"/>
      <c r="TUE168" s="500"/>
      <c r="TUF168" s="500"/>
      <c r="TUG168" s="500"/>
      <c r="TUH168" s="500"/>
      <c r="TUI168" s="500"/>
      <c r="TUJ168" s="500"/>
      <c r="TUK168" s="500"/>
      <c r="TUL168" s="500"/>
      <c r="TUM168" s="500"/>
      <c r="TUN168" s="500"/>
      <c r="TUO168" s="500"/>
      <c r="TUP168" s="500"/>
      <c r="TUQ168" s="500"/>
      <c r="TUR168" s="500"/>
      <c r="TUS168" s="500"/>
      <c r="TUT168" s="500"/>
      <c r="TUU168" s="500"/>
      <c r="TUV168" s="500"/>
      <c r="TUW168" s="500"/>
      <c r="TUX168" s="500"/>
      <c r="TUY168" s="500"/>
      <c r="TUZ168" s="500"/>
      <c r="TVA168" s="500"/>
      <c r="TVB168" s="500"/>
      <c r="TVC168" s="500"/>
      <c r="TVD168" s="500"/>
      <c r="TVE168" s="500"/>
      <c r="TVF168" s="500"/>
      <c r="TVG168" s="500"/>
      <c r="TVH168" s="500"/>
      <c r="TVI168" s="500"/>
      <c r="TVJ168" s="500"/>
      <c r="TVK168" s="500"/>
      <c r="TVL168" s="500"/>
      <c r="TVM168" s="500"/>
      <c r="TVN168" s="500"/>
      <c r="TVO168" s="500"/>
      <c r="TVP168" s="500"/>
      <c r="TVQ168" s="500"/>
      <c r="TVR168" s="500"/>
      <c r="TVS168" s="500"/>
      <c r="TVT168" s="500"/>
      <c r="TVU168" s="500"/>
      <c r="TVV168" s="500"/>
      <c r="TVW168" s="500"/>
      <c r="TVX168" s="500"/>
      <c r="TVY168" s="500"/>
      <c r="TVZ168" s="500"/>
      <c r="TWA168" s="500"/>
      <c r="TWB168" s="500"/>
      <c r="TWC168" s="500"/>
      <c r="TWD168" s="500"/>
      <c r="TWE168" s="500"/>
      <c r="TWF168" s="500"/>
      <c r="TWG168" s="500"/>
      <c r="TWH168" s="500"/>
      <c r="TWI168" s="500"/>
      <c r="TWJ168" s="500"/>
      <c r="TWK168" s="500"/>
      <c r="TWL168" s="500"/>
      <c r="TWM168" s="500"/>
      <c r="TWN168" s="500"/>
      <c r="TWO168" s="500"/>
      <c r="TWP168" s="500"/>
      <c r="TWQ168" s="500"/>
      <c r="TWR168" s="500"/>
      <c r="TWS168" s="500"/>
      <c r="TWT168" s="500"/>
      <c r="TWU168" s="500"/>
      <c r="TWV168" s="500"/>
      <c r="TWW168" s="500"/>
      <c r="TWX168" s="500"/>
      <c r="TWY168" s="500"/>
      <c r="TWZ168" s="500"/>
      <c r="TXA168" s="500"/>
      <c r="TXB168" s="500"/>
      <c r="TXC168" s="500"/>
      <c r="TXD168" s="500"/>
      <c r="TXE168" s="500"/>
      <c r="TXF168" s="500"/>
      <c r="TXG168" s="500"/>
      <c r="TXH168" s="500"/>
      <c r="TXI168" s="500"/>
      <c r="TXJ168" s="500"/>
      <c r="TXK168" s="500"/>
      <c r="TXL168" s="500"/>
      <c r="TXM168" s="500"/>
      <c r="TXN168" s="500"/>
      <c r="TXO168" s="500"/>
      <c r="TXP168" s="500"/>
      <c r="TXQ168" s="500"/>
      <c r="TXR168" s="500"/>
      <c r="TXS168" s="500"/>
      <c r="TXT168" s="500"/>
      <c r="TXU168" s="500"/>
      <c r="TXV168" s="500"/>
      <c r="TXW168" s="500"/>
      <c r="TXX168" s="500"/>
      <c r="TXY168" s="500"/>
      <c r="TXZ168" s="500"/>
      <c r="TYA168" s="500"/>
      <c r="TYB168" s="500"/>
      <c r="TYC168" s="500"/>
      <c r="TYD168" s="500"/>
      <c r="TYE168" s="500"/>
      <c r="TYF168" s="500"/>
      <c r="TYG168" s="500"/>
      <c r="TYH168" s="500"/>
      <c r="TYI168" s="500"/>
      <c r="TYJ168" s="500"/>
      <c r="TYK168" s="500"/>
      <c r="TYL168" s="500"/>
      <c r="TYM168" s="500"/>
      <c r="TYN168" s="500"/>
      <c r="TYO168" s="500"/>
      <c r="TYP168" s="500"/>
      <c r="TYQ168" s="500"/>
      <c r="TYR168" s="500"/>
      <c r="TYS168" s="500"/>
      <c r="TYT168" s="500"/>
      <c r="TYU168" s="500"/>
      <c r="TYV168" s="500"/>
      <c r="TYW168" s="500"/>
      <c r="TYX168" s="500"/>
      <c r="TYY168" s="500"/>
      <c r="TYZ168" s="500"/>
      <c r="TZA168" s="500"/>
      <c r="TZB168" s="500"/>
      <c r="TZC168" s="500"/>
      <c r="TZD168" s="500"/>
      <c r="TZE168" s="500"/>
      <c r="TZF168" s="500"/>
      <c r="TZG168" s="500"/>
      <c r="TZH168" s="500"/>
      <c r="TZI168" s="500"/>
      <c r="TZJ168" s="500"/>
      <c r="TZK168" s="500"/>
      <c r="TZL168" s="500"/>
      <c r="TZM168" s="500"/>
      <c r="TZN168" s="500"/>
      <c r="TZO168" s="500"/>
      <c r="TZP168" s="500"/>
      <c r="TZQ168" s="500"/>
      <c r="TZR168" s="500"/>
      <c r="TZS168" s="500"/>
      <c r="TZT168" s="500"/>
      <c r="TZU168" s="500"/>
      <c r="TZV168" s="500"/>
      <c r="TZW168" s="500"/>
      <c r="TZX168" s="500"/>
      <c r="TZY168" s="500"/>
      <c r="TZZ168" s="500"/>
      <c r="UAA168" s="500"/>
      <c r="UAB168" s="500"/>
      <c r="UAC168" s="500"/>
      <c r="UAD168" s="500"/>
      <c r="UAE168" s="500"/>
      <c r="UAF168" s="500"/>
      <c r="UAG168" s="500"/>
      <c r="UAH168" s="500"/>
      <c r="UAI168" s="500"/>
      <c r="UAJ168" s="500"/>
      <c r="UAK168" s="500"/>
      <c r="UAL168" s="500"/>
      <c r="UAM168" s="500"/>
      <c r="UAN168" s="500"/>
      <c r="UAO168" s="500"/>
      <c r="UAP168" s="500"/>
      <c r="UAQ168" s="500"/>
      <c r="UAR168" s="500"/>
      <c r="UAS168" s="500"/>
      <c r="UAT168" s="500"/>
      <c r="UAU168" s="500"/>
      <c r="UAV168" s="500"/>
      <c r="UAW168" s="500"/>
      <c r="UAX168" s="500"/>
      <c r="UAY168" s="500"/>
      <c r="UAZ168" s="500"/>
      <c r="UBA168" s="500"/>
      <c r="UBB168" s="500"/>
      <c r="UBC168" s="500"/>
      <c r="UBD168" s="500"/>
      <c r="UBE168" s="500"/>
      <c r="UBF168" s="500"/>
      <c r="UBG168" s="500"/>
      <c r="UBH168" s="500"/>
      <c r="UBI168" s="500"/>
      <c r="UBJ168" s="500"/>
      <c r="UBK168" s="500"/>
      <c r="UBL168" s="500"/>
      <c r="UBM168" s="500"/>
      <c r="UBN168" s="500"/>
      <c r="UBO168" s="500"/>
      <c r="UBP168" s="500"/>
      <c r="UBQ168" s="500"/>
      <c r="UBR168" s="500"/>
      <c r="UBS168" s="500"/>
      <c r="UBT168" s="500"/>
      <c r="UBU168" s="500"/>
      <c r="UBV168" s="500"/>
      <c r="UBW168" s="500"/>
      <c r="UBX168" s="500"/>
      <c r="UBY168" s="500"/>
      <c r="UBZ168" s="500"/>
      <c r="UCA168" s="500"/>
      <c r="UCB168" s="500"/>
      <c r="UCC168" s="500"/>
      <c r="UCD168" s="500"/>
      <c r="UCE168" s="500"/>
      <c r="UCF168" s="500"/>
      <c r="UCG168" s="500"/>
      <c r="UCH168" s="500"/>
      <c r="UCI168" s="500"/>
      <c r="UCJ168" s="500"/>
      <c r="UCK168" s="500"/>
      <c r="UCL168" s="500"/>
      <c r="UCM168" s="500"/>
      <c r="UCN168" s="500"/>
      <c r="UCO168" s="500"/>
      <c r="UCP168" s="500"/>
      <c r="UCQ168" s="500"/>
      <c r="UCR168" s="500"/>
      <c r="UCS168" s="500"/>
      <c r="UCT168" s="500"/>
      <c r="UCU168" s="500"/>
      <c r="UCV168" s="500"/>
      <c r="UCW168" s="500"/>
      <c r="UCX168" s="500"/>
      <c r="UCY168" s="500"/>
      <c r="UCZ168" s="500"/>
      <c r="UDA168" s="500"/>
      <c r="UDB168" s="500"/>
      <c r="UDC168" s="500"/>
      <c r="UDD168" s="500"/>
      <c r="UDE168" s="500"/>
      <c r="UDF168" s="500"/>
      <c r="UDG168" s="500"/>
      <c r="UDH168" s="500"/>
      <c r="UDI168" s="500"/>
      <c r="UDJ168" s="500"/>
      <c r="UDK168" s="500"/>
      <c r="UDL168" s="500"/>
      <c r="UDM168" s="500"/>
      <c r="UDN168" s="500"/>
      <c r="UDO168" s="500"/>
      <c r="UDP168" s="500"/>
      <c r="UDQ168" s="500"/>
      <c r="UDR168" s="500"/>
      <c r="UDS168" s="500"/>
      <c r="UDT168" s="500"/>
      <c r="UDU168" s="500"/>
      <c r="UDV168" s="500"/>
      <c r="UDW168" s="500"/>
      <c r="UDX168" s="500"/>
      <c r="UDY168" s="500"/>
      <c r="UDZ168" s="500"/>
      <c r="UEA168" s="500"/>
      <c r="UEB168" s="500"/>
      <c r="UEC168" s="500"/>
      <c r="UED168" s="500"/>
      <c r="UEE168" s="500"/>
      <c r="UEF168" s="500"/>
      <c r="UEG168" s="500"/>
      <c r="UEH168" s="500"/>
      <c r="UEI168" s="500"/>
      <c r="UEJ168" s="500"/>
      <c r="UEK168" s="500"/>
      <c r="UEL168" s="500"/>
      <c r="UEM168" s="500"/>
      <c r="UEN168" s="500"/>
      <c r="UEO168" s="500"/>
      <c r="UEP168" s="500"/>
      <c r="UEQ168" s="500"/>
      <c r="UER168" s="500"/>
      <c r="UES168" s="500"/>
      <c r="UET168" s="500"/>
      <c r="UEU168" s="500"/>
      <c r="UEV168" s="500"/>
      <c r="UEW168" s="500"/>
      <c r="UEX168" s="500"/>
      <c r="UEY168" s="500"/>
      <c r="UEZ168" s="500"/>
      <c r="UFA168" s="500"/>
      <c r="UFB168" s="500"/>
      <c r="UFC168" s="500"/>
      <c r="UFD168" s="500"/>
      <c r="UFE168" s="500"/>
      <c r="UFF168" s="500"/>
      <c r="UFG168" s="500"/>
      <c r="UFH168" s="500"/>
      <c r="UFI168" s="500"/>
      <c r="UFJ168" s="500"/>
      <c r="UFK168" s="500"/>
      <c r="UFL168" s="500"/>
      <c r="UFM168" s="500"/>
      <c r="UFN168" s="500"/>
      <c r="UFO168" s="500"/>
      <c r="UFP168" s="500"/>
      <c r="UFQ168" s="500"/>
      <c r="UFR168" s="500"/>
      <c r="UFS168" s="500"/>
      <c r="UFT168" s="500"/>
      <c r="UFU168" s="500"/>
      <c r="UFV168" s="500"/>
      <c r="UFW168" s="500"/>
      <c r="UFX168" s="500"/>
      <c r="UFY168" s="500"/>
      <c r="UFZ168" s="500"/>
      <c r="UGA168" s="500"/>
      <c r="UGB168" s="500"/>
      <c r="UGC168" s="500"/>
      <c r="UGD168" s="500"/>
      <c r="UGE168" s="500"/>
      <c r="UGF168" s="500"/>
      <c r="UGG168" s="500"/>
      <c r="UGH168" s="500"/>
      <c r="UGI168" s="500"/>
      <c r="UGJ168" s="500"/>
      <c r="UGK168" s="500"/>
      <c r="UGL168" s="500"/>
      <c r="UGM168" s="500"/>
      <c r="UGN168" s="500"/>
      <c r="UGO168" s="500"/>
      <c r="UGP168" s="500"/>
      <c r="UGQ168" s="500"/>
      <c r="UGR168" s="500"/>
      <c r="UGS168" s="500"/>
      <c r="UGT168" s="500"/>
      <c r="UGU168" s="500"/>
      <c r="UGV168" s="500"/>
      <c r="UGW168" s="500"/>
      <c r="UGX168" s="500"/>
      <c r="UGY168" s="500"/>
      <c r="UGZ168" s="500"/>
      <c r="UHA168" s="500"/>
      <c r="UHB168" s="500"/>
      <c r="UHC168" s="500"/>
      <c r="UHD168" s="500"/>
      <c r="UHE168" s="500"/>
      <c r="UHF168" s="500"/>
      <c r="UHG168" s="500"/>
      <c r="UHH168" s="500"/>
      <c r="UHI168" s="500"/>
      <c r="UHJ168" s="500"/>
      <c r="UHK168" s="500"/>
      <c r="UHL168" s="500"/>
      <c r="UHM168" s="500"/>
      <c r="UHN168" s="500"/>
      <c r="UHO168" s="500"/>
      <c r="UHP168" s="500"/>
      <c r="UHQ168" s="500"/>
      <c r="UHR168" s="500"/>
      <c r="UHS168" s="500"/>
      <c r="UHT168" s="500"/>
      <c r="UHU168" s="500"/>
      <c r="UHV168" s="500"/>
      <c r="UHW168" s="500"/>
      <c r="UHX168" s="500"/>
      <c r="UHY168" s="500"/>
      <c r="UHZ168" s="500"/>
      <c r="UIA168" s="500"/>
      <c r="UIB168" s="500"/>
      <c r="UIC168" s="500"/>
      <c r="UID168" s="500"/>
      <c r="UIE168" s="500"/>
      <c r="UIF168" s="500"/>
      <c r="UIG168" s="500"/>
      <c r="UIH168" s="500"/>
      <c r="UII168" s="500"/>
      <c r="UIJ168" s="500"/>
      <c r="UIK168" s="500"/>
      <c r="UIL168" s="500"/>
      <c r="UIM168" s="500"/>
      <c r="UIN168" s="500"/>
      <c r="UIO168" s="500"/>
      <c r="UIP168" s="500"/>
      <c r="UIQ168" s="500"/>
      <c r="UIR168" s="500"/>
      <c r="UIS168" s="500"/>
      <c r="UIT168" s="500"/>
      <c r="UIU168" s="500"/>
      <c r="UIV168" s="500"/>
      <c r="UIW168" s="500"/>
      <c r="UIX168" s="500"/>
      <c r="UIY168" s="500"/>
      <c r="UIZ168" s="500"/>
      <c r="UJA168" s="500"/>
      <c r="UJB168" s="500"/>
      <c r="UJC168" s="500"/>
      <c r="UJD168" s="500"/>
      <c r="UJE168" s="500"/>
      <c r="UJF168" s="500"/>
      <c r="UJG168" s="500"/>
      <c r="UJH168" s="500"/>
      <c r="UJI168" s="500"/>
      <c r="UJJ168" s="500"/>
      <c r="UJK168" s="500"/>
      <c r="UJL168" s="500"/>
      <c r="UJM168" s="500"/>
      <c r="UJN168" s="500"/>
      <c r="UJO168" s="500"/>
      <c r="UJP168" s="500"/>
      <c r="UJQ168" s="500"/>
      <c r="UJR168" s="500"/>
      <c r="UJS168" s="500"/>
      <c r="UJT168" s="500"/>
      <c r="UJU168" s="500"/>
      <c r="UJV168" s="500"/>
      <c r="UJW168" s="500"/>
      <c r="UJX168" s="500"/>
      <c r="UJY168" s="500"/>
      <c r="UJZ168" s="500"/>
      <c r="UKA168" s="500"/>
      <c r="UKB168" s="500"/>
      <c r="UKC168" s="500"/>
      <c r="UKD168" s="500"/>
      <c r="UKE168" s="500"/>
      <c r="UKF168" s="500"/>
      <c r="UKG168" s="500"/>
      <c r="UKH168" s="500"/>
      <c r="UKI168" s="500"/>
      <c r="UKJ168" s="500"/>
      <c r="UKK168" s="500"/>
      <c r="UKL168" s="500"/>
      <c r="UKM168" s="500"/>
      <c r="UKN168" s="500"/>
      <c r="UKO168" s="500"/>
      <c r="UKP168" s="500"/>
      <c r="UKQ168" s="500"/>
      <c r="UKR168" s="500"/>
      <c r="UKS168" s="500"/>
      <c r="UKT168" s="500"/>
      <c r="UKU168" s="500"/>
      <c r="UKV168" s="500"/>
      <c r="UKW168" s="500"/>
      <c r="UKX168" s="500"/>
      <c r="UKY168" s="500"/>
      <c r="UKZ168" s="500"/>
      <c r="ULA168" s="500"/>
      <c r="ULB168" s="500"/>
      <c r="ULC168" s="500"/>
      <c r="ULD168" s="500"/>
      <c r="ULE168" s="500"/>
      <c r="ULF168" s="500"/>
      <c r="ULG168" s="500"/>
      <c r="ULH168" s="500"/>
      <c r="ULI168" s="500"/>
      <c r="ULJ168" s="500"/>
      <c r="ULK168" s="500"/>
      <c r="ULL168" s="500"/>
      <c r="ULM168" s="500"/>
      <c r="ULN168" s="500"/>
      <c r="ULO168" s="500"/>
      <c r="ULP168" s="500"/>
      <c r="ULQ168" s="500"/>
      <c r="ULR168" s="500"/>
      <c r="ULS168" s="500"/>
      <c r="ULT168" s="500"/>
      <c r="ULU168" s="500"/>
      <c r="ULV168" s="500"/>
      <c r="ULW168" s="500"/>
      <c r="ULX168" s="500"/>
      <c r="ULY168" s="500"/>
      <c r="ULZ168" s="500"/>
      <c r="UMA168" s="500"/>
      <c r="UMB168" s="500"/>
      <c r="UMC168" s="500"/>
      <c r="UMD168" s="500"/>
      <c r="UME168" s="500"/>
      <c r="UMF168" s="500"/>
      <c r="UMG168" s="500"/>
      <c r="UMH168" s="500"/>
      <c r="UMI168" s="500"/>
      <c r="UMJ168" s="500"/>
      <c r="UMK168" s="500"/>
      <c r="UML168" s="500"/>
      <c r="UMM168" s="500"/>
      <c r="UMN168" s="500"/>
      <c r="UMO168" s="500"/>
      <c r="UMP168" s="500"/>
      <c r="UMQ168" s="500"/>
      <c r="UMR168" s="500"/>
      <c r="UMS168" s="500"/>
      <c r="UMT168" s="500"/>
      <c r="UMU168" s="500"/>
      <c r="UMV168" s="500"/>
      <c r="UMW168" s="500"/>
      <c r="UMX168" s="500"/>
      <c r="UMY168" s="500"/>
      <c r="UMZ168" s="500"/>
      <c r="UNA168" s="500"/>
      <c r="UNB168" s="500"/>
      <c r="UNC168" s="500"/>
      <c r="UND168" s="500"/>
      <c r="UNE168" s="500"/>
      <c r="UNF168" s="500"/>
      <c r="UNG168" s="500"/>
      <c r="UNH168" s="500"/>
      <c r="UNI168" s="500"/>
      <c r="UNJ168" s="500"/>
      <c r="UNK168" s="500"/>
      <c r="UNL168" s="500"/>
      <c r="UNM168" s="500"/>
      <c r="UNN168" s="500"/>
      <c r="UNO168" s="500"/>
      <c r="UNP168" s="500"/>
      <c r="UNQ168" s="500"/>
      <c r="UNR168" s="500"/>
      <c r="UNS168" s="500"/>
      <c r="UNT168" s="500"/>
      <c r="UNU168" s="500"/>
      <c r="UNV168" s="500"/>
      <c r="UNW168" s="500"/>
      <c r="UNX168" s="500"/>
      <c r="UNY168" s="500"/>
      <c r="UNZ168" s="500"/>
      <c r="UOA168" s="500"/>
      <c r="UOB168" s="500"/>
      <c r="UOC168" s="500"/>
      <c r="UOD168" s="500"/>
      <c r="UOE168" s="500"/>
      <c r="UOF168" s="500"/>
      <c r="UOG168" s="500"/>
      <c r="UOH168" s="500"/>
      <c r="UOI168" s="500"/>
      <c r="UOJ168" s="500"/>
      <c r="UOK168" s="500"/>
      <c r="UOL168" s="500"/>
      <c r="UOM168" s="500"/>
      <c r="UON168" s="500"/>
      <c r="UOO168" s="500"/>
      <c r="UOP168" s="500"/>
      <c r="UOQ168" s="500"/>
      <c r="UOR168" s="500"/>
      <c r="UOS168" s="500"/>
      <c r="UOT168" s="500"/>
      <c r="UOU168" s="500"/>
      <c r="UOV168" s="500"/>
      <c r="UOW168" s="500"/>
      <c r="UOX168" s="500"/>
      <c r="UOY168" s="500"/>
      <c r="UOZ168" s="500"/>
      <c r="UPA168" s="500"/>
      <c r="UPB168" s="500"/>
      <c r="UPC168" s="500"/>
      <c r="UPD168" s="500"/>
      <c r="UPE168" s="500"/>
      <c r="UPF168" s="500"/>
      <c r="UPG168" s="500"/>
      <c r="UPH168" s="500"/>
      <c r="UPI168" s="500"/>
      <c r="UPJ168" s="500"/>
      <c r="UPK168" s="500"/>
      <c r="UPL168" s="500"/>
      <c r="UPM168" s="500"/>
      <c r="UPN168" s="500"/>
      <c r="UPO168" s="500"/>
      <c r="UPP168" s="500"/>
      <c r="UPQ168" s="500"/>
      <c r="UPR168" s="500"/>
      <c r="UPS168" s="500"/>
      <c r="UPT168" s="500"/>
      <c r="UPU168" s="500"/>
      <c r="UPV168" s="500"/>
      <c r="UPW168" s="500"/>
      <c r="UPX168" s="500"/>
      <c r="UPY168" s="500"/>
      <c r="UPZ168" s="500"/>
      <c r="UQA168" s="500"/>
      <c r="UQB168" s="500"/>
      <c r="UQC168" s="500"/>
      <c r="UQD168" s="500"/>
      <c r="UQE168" s="500"/>
      <c r="UQF168" s="500"/>
      <c r="UQG168" s="500"/>
      <c r="UQH168" s="500"/>
      <c r="UQI168" s="500"/>
      <c r="UQJ168" s="500"/>
      <c r="UQK168" s="500"/>
      <c r="UQL168" s="500"/>
      <c r="UQM168" s="500"/>
      <c r="UQN168" s="500"/>
      <c r="UQO168" s="500"/>
      <c r="UQP168" s="500"/>
      <c r="UQQ168" s="500"/>
      <c r="UQR168" s="500"/>
      <c r="UQS168" s="500"/>
      <c r="UQT168" s="500"/>
      <c r="UQU168" s="500"/>
      <c r="UQV168" s="500"/>
      <c r="UQW168" s="500"/>
      <c r="UQX168" s="500"/>
      <c r="UQY168" s="500"/>
      <c r="UQZ168" s="500"/>
      <c r="URA168" s="500"/>
      <c r="URB168" s="500"/>
      <c r="URC168" s="500"/>
      <c r="URD168" s="500"/>
      <c r="URE168" s="500"/>
      <c r="URF168" s="500"/>
      <c r="URG168" s="500"/>
      <c r="URH168" s="500"/>
      <c r="URI168" s="500"/>
      <c r="URJ168" s="500"/>
      <c r="URK168" s="500"/>
      <c r="URL168" s="500"/>
      <c r="URM168" s="500"/>
      <c r="URN168" s="500"/>
      <c r="URO168" s="500"/>
      <c r="URP168" s="500"/>
      <c r="URQ168" s="500"/>
      <c r="URR168" s="500"/>
      <c r="URS168" s="500"/>
      <c r="URT168" s="500"/>
      <c r="URU168" s="500"/>
      <c r="URV168" s="500"/>
      <c r="URW168" s="500"/>
      <c r="URX168" s="500"/>
      <c r="URY168" s="500"/>
      <c r="URZ168" s="500"/>
      <c r="USA168" s="500"/>
      <c r="USB168" s="500"/>
      <c r="USC168" s="500"/>
      <c r="USD168" s="500"/>
      <c r="USE168" s="500"/>
      <c r="USF168" s="500"/>
      <c r="USG168" s="500"/>
      <c r="USH168" s="500"/>
      <c r="USI168" s="500"/>
      <c r="USJ168" s="500"/>
      <c r="USK168" s="500"/>
      <c r="USL168" s="500"/>
      <c r="USM168" s="500"/>
      <c r="USN168" s="500"/>
      <c r="USO168" s="500"/>
      <c r="USP168" s="500"/>
      <c r="USQ168" s="500"/>
      <c r="USR168" s="500"/>
      <c r="USS168" s="500"/>
      <c r="UST168" s="500"/>
      <c r="USU168" s="500"/>
      <c r="USV168" s="500"/>
      <c r="USW168" s="500"/>
      <c r="USX168" s="500"/>
      <c r="USY168" s="500"/>
      <c r="USZ168" s="500"/>
      <c r="UTA168" s="500"/>
      <c r="UTB168" s="500"/>
      <c r="UTC168" s="500"/>
      <c r="UTD168" s="500"/>
      <c r="UTE168" s="500"/>
      <c r="UTF168" s="500"/>
      <c r="UTG168" s="500"/>
      <c r="UTH168" s="500"/>
      <c r="UTI168" s="500"/>
      <c r="UTJ168" s="500"/>
      <c r="UTK168" s="500"/>
      <c r="UTL168" s="500"/>
      <c r="UTM168" s="500"/>
      <c r="UTN168" s="500"/>
      <c r="UTO168" s="500"/>
      <c r="UTP168" s="500"/>
      <c r="UTQ168" s="500"/>
      <c r="UTR168" s="500"/>
      <c r="UTS168" s="500"/>
      <c r="UTT168" s="500"/>
      <c r="UTU168" s="500"/>
      <c r="UTV168" s="500"/>
      <c r="UTW168" s="500"/>
      <c r="UTX168" s="500"/>
      <c r="UTY168" s="500"/>
      <c r="UTZ168" s="500"/>
      <c r="UUA168" s="500"/>
      <c r="UUB168" s="500"/>
      <c r="UUC168" s="500"/>
      <c r="UUD168" s="500"/>
      <c r="UUE168" s="500"/>
      <c r="UUF168" s="500"/>
      <c r="UUG168" s="500"/>
      <c r="UUH168" s="500"/>
      <c r="UUI168" s="500"/>
      <c r="UUJ168" s="500"/>
      <c r="UUK168" s="500"/>
      <c r="UUL168" s="500"/>
      <c r="UUM168" s="500"/>
      <c r="UUN168" s="500"/>
      <c r="UUO168" s="500"/>
      <c r="UUP168" s="500"/>
      <c r="UUQ168" s="500"/>
      <c r="UUR168" s="500"/>
      <c r="UUS168" s="500"/>
      <c r="UUT168" s="500"/>
      <c r="UUU168" s="500"/>
      <c r="UUV168" s="500"/>
      <c r="UUW168" s="500"/>
      <c r="UUX168" s="500"/>
      <c r="UUY168" s="500"/>
      <c r="UUZ168" s="500"/>
      <c r="UVA168" s="500"/>
      <c r="UVB168" s="500"/>
      <c r="UVC168" s="500"/>
      <c r="UVD168" s="500"/>
      <c r="UVE168" s="500"/>
      <c r="UVF168" s="500"/>
      <c r="UVG168" s="500"/>
      <c r="UVH168" s="500"/>
      <c r="UVI168" s="500"/>
      <c r="UVJ168" s="500"/>
      <c r="UVK168" s="500"/>
      <c r="UVL168" s="500"/>
      <c r="UVM168" s="500"/>
      <c r="UVN168" s="500"/>
      <c r="UVO168" s="500"/>
      <c r="UVP168" s="500"/>
      <c r="UVQ168" s="500"/>
      <c r="UVR168" s="500"/>
      <c r="UVS168" s="500"/>
      <c r="UVT168" s="500"/>
      <c r="UVU168" s="500"/>
      <c r="UVV168" s="500"/>
      <c r="UVW168" s="500"/>
      <c r="UVX168" s="500"/>
      <c r="UVY168" s="500"/>
      <c r="UVZ168" s="500"/>
      <c r="UWA168" s="500"/>
      <c r="UWB168" s="500"/>
      <c r="UWC168" s="500"/>
      <c r="UWD168" s="500"/>
      <c r="UWE168" s="500"/>
      <c r="UWF168" s="500"/>
      <c r="UWG168" s="500"/>
      <c r="UWH168" s="500"/>
      <c r="UWI168" s="500"/>
      <c r="UWJ168" s="500"/>
      <c r="UWK168" s="500"/>
      <c r="UWL168" s="500"/>
      <c r="UWM168" s="500"/>
      <c r="UWN168" s="500"/>
      <c r="UWO168" s="500"/>
      <c r="UWP168" s="500"/>
      <c r="UWQ168" s="500"/>
      <c r="UWR168" s="500"/>
      <c r="UWS168" s="500"/>
      <c r="UWT168" s="500"/>
      <c r="UWU168" s="500"/>
      <c r="UWV168" s="500"/>
      <c r="UWW168" s="500"/>
      <c r="UWX168" s="500"/>
      <c r="UWY168" s="500"/>
      <c r="UWZ168" s="500"/>
      <c r="UXA168" s="500"/>
      <c r="UXB168" s="500"/>
      <c r="UXC168" s="500"/>
      <c r="UXD168" s="500"/>
      <c r="UXE168" s="500"/>
      <c r="UXF168" s="500"/>
      <c r="UXG168" s="500"/>
      <c r="UXH168" s="500"/>
      <c r="UXI168" s="500"/>
      <c r="UXJ168" s="500"/>
      <c r="UXK168" s="500"/>
      <c r="UXL168" s="500"/>
      <c r="UXM168" s="500"/>
      <c r="UXN168" s="500"/>
      <c r="UXO168" s="500"/>
      <c r="UXP168" s="500"/>
      <c r="UXQ168" s="500"/>
      <c r="UXR168" s="500"/>
      <c r="UXS168" s="500"/>
      <c r="UXT168" s="500"/>
      <c r="UXU168" s="500"/>
      <c r="UXV168" s="500"/>
      <c r="UXW168" s="500"/>
      <c r="UXX168" s="500"/>
      <c r="UXY168" s="500"/>
      <c r="UXZ168" s="500"/>
      <c r="UYA168" s="500"/>
      <c r="UYB168" s="500"/>
      <c r="UYC168" s="500"/>
      <c r="UYD168" s="500"/>
      <c r="UYE168" s="500"/>
      <c r="UYF168" s="500"/>
      <c r="UYG168" s="500"/>
      <c r="UYH168" s="500"/>
      <c r="UYI168" s="500"/>
      <c r="UYJ168" s="500"/>
      <c r="UYK168" s="500"/>
      <c r="UYL168" s="500"/>
      <c r="UYM168" s="500"/>
      <c r="UYN168" s="500"/>
      <c r="UYO168" s="500"/>
      <c r="UYP168" s="500"/>
      <c r="UYQ168" s="500"/>
      <c r="UYR168" s="500"/>
      <c r="UYS168" s="500"/>
      <c r="UYT168" s="500"/>
      <c r="UYU168" s="500"/>
      <c r="UYV168" s="500"/>
      <c r="UYW168" s="500"/>
      <c r="UYX168" s="500"/>
      <c r="UYY168" s="500"/>
      <c r="UYZ168" s="500"/>
      <c r="UZA168" s="500"/>
      <c r="UZB168" s="500"/>
      <c r="UZC168" s="500"/>
      <c r="UZD168" s="500"/>
      <c r="UZE168" s="500"/>
      <c r="UZF168" s="500"/>
      <c r="UZG168" s="500"/>
      <c r="UZH168" s="500"/>
      <c r="UZI168" s="500"/>
      <c r="UZJ168" s="500"/>
      <c r="UZK168" s="500"/>
      <c r="UZL168" s="500"/>
      <c r="UZM168" s="500"/>
      <c r="UZN168" s="500"/>
      <c r="UZO168" s="500"/>
      <c r="UZP168" s="500"/>
      <c r="UZQ168" s="500"/>
      <c r="UZR168" s="500"/>
      <c r="UZS168" s="500"/>
      <c r="UZT168" s="500"/>
      <c r="UZU168" s="500"/>
      <c r="UZV168" s="500"/>
      <c r="UZW168" s="500"/>
      <c r="UZX168" s="500"/>
      <c r="UZY168" s="500"/>
      <c r="UZZ168" s="500"/>
      <c r="VAA168" s="500"/>
      <c r="VAB168" s="500"/>
      <c r="VAC168" s="500"/>
      <c r="VAD168" s="500"/>
      <c r="VAE168" s="500"/>
      <c r="VAF168" s="500"/>
      <c r="VAG168" s="500"/>
      <c r="VAH168" s="500"/>
      <c r="VAI168" s="500"/>
      <c r="VAJ168" s="500"/>
      <c r="VAK168" s="500"/>
      <c r="VAL168" s="500"/>
      <c r="VAM168" s="500"/>
      <c r="VAN168" s="500"/>
      <c r="VAO168" s="500"/>
      <c r="VAP168" s="500"/>
      <c r="VAQ168" s="500"/>
      <c r="VAR168" s="500"/>
      <c r="VAS168" s="500"/>
      <c r="VAT168" s="500"/>
      <c r="VAU168" s="500"/>
      <c r="VAV168" s="500"/>
      <c r="VAW168" s="500"/>
      <c r="VAX168" s="500"/>
      <c r="VAY168" s="500"/>
      <c r="VAZ168" s="500"/>
      <c r="VBA168" s="500"/>
      <c r="VBB168" s="500"/>
      <c r="VBC168" s="500"/>
      <c r="VBD168" s="500"/>
      <c r="VBE168" s="500"/>
      <c r="VBF168" s="500"/>
      <c r="VBG168" s="500"/>
      <c r="VBH168" s="500"/>
      <c r="VBI168" s="500"/>
      <c r="VBJ168" s="500"/>
      <c r="VBK168" s="500"/>
      <c r="VBL168" s="500"/>
      <c r="VBM168" s="500"/>
      <c r="VBN168" s="500"/>
      <c r="VBO168" s="500"/>
      <c r="VBP168" s="500"/>
      <c r="VBQ168" s="500"/>
      <c r="VBR168" s="500"/>
      <c r="VBS168" s="500"/>
      <c r="VBT168" s="500"/>
      <c r="VBU168" s="500"/>
      <c r="VBV168" s="500"/>
      <c r="VBW168" s="500"/>
      <c r="VBX168" s="500"/>
      <c r="VBY168" s="500"/>
      <c r="VBZ168" s="500"/>
      <c r="VCA168" s="500"/>
      <c r="VCB168" s="500"/>
      <c r="VCC168" s="500"/>
      <c r="VCD168" s="500"/>
      <c r="VCE168" s="500"/>
      <c r="VCF168" s="500"/>
      <c r="VCG168" s="500"/>
      <c r="VCH168" s="500"/>
      <c r="VCI168" s="500"/>
      <c r="VCJ168" s="500"/>
      <c r="VCK168" s="500"/>
      <c r="VCL168" s="500"/>
      <c r="VCM168" s="500"/>
      <c r="VCN168" s="500"/>
      <c r="VCO168" s="500"/>
      <c r="VCP168" s="500"/>
      <c r="VCQ168" s="500"/>
      <c r="VCR168" s="500"/>
      <c r="VCS168" s="500"/>
      <c r="VCT168" s="500"/>
      <c r="VCU168" s="500"/>
      <c r="VCV168" s="500"/>
      <c r="VCW168" s="500"/>
      <c r="VCX168" s="500"/>
      <c r="VCY168" s="500"/>
      <c r="VCZ168" s="500"/>
      <c r="VDA168" s="500"/>
      <c r="VDB168" s="500"/>
      <c r="VDC168" s="500"/>
      <c r="VDD168" s="500"/>
      <c r="VDE168" s="500"/>
      <c r="VDF168" s="500"/>
      <c r="VDG168" s="500"/>
      <c r="VDH168" s="500"/>
      <c r="VDI168" s="500"/>
      <c r="VDJ168" s="500"/>
      <c r="VDK168" s="500"/>
      <c r="VDL168" s="500"/>
      <c r="VDM168" s="500"/>
      <c r="VDN168" s="500"/>
      <c r="VDO168" s="500"/>
      <c r="VDP168" s="500"/>
      <c r="VDQ168" s="500"/>
      <c r="VDR168" s="500"/>
      <c r="VDS168" s="500"/>
      <c r="VDT168" s="500"/>
      <c r="VDU168" s="500"/>
      <c r="VDV168" s="500"/>
      <c r="VDW168" s="500"/>
      <c r="VDX168" s="500"/>
      <c r="VDY168" s="500"/>
      <c r="VDZ168" s="500"/>
      <c r="VEA168" s="500"/>
      <c r="VEB168" s="500"/>
      <c r="VEC168" s="500"/>
      <c r="VED168" s="500"/>
      <c r="VEE168" s="500"/>
      <c r="VEF168" s="500"/>
      <c r="VEG168" s="500"/>
      <c r="VEH168" s="500"/>
      <c r="VEI168" s="500"/>
      <c r="VEJ168" s="500"/>
      <c r="VEK168" s="500"/>
      <c r="VEL168" s="500"/>
      <c r="VEM168" s="500"/>
      <c r="VEN168" s="500"/>
      <c r="VEO168" s="500"/>
      <c r="VEP168" s="500"/>
      <c r="VEQ168" s="500"/>
      <c r="VER168" s="500"/>
      <c r="VES168" s="500"/>
      <c r="VET168" s="500"/>
      <c r="VEU168" s="500"/>
      <c r="VEV168" s="500"/>
      <c r="VEW168" s="500"/>
      <c r="VEX168" s="500"/>
      <c r="VEY168" s="500"/>
      <c r="VEZ168" s="500"/>
      <c r="VFA168" s="500"/>
      <c r="VFB168" s="500"/>
      <c r="VFC168" s="500"/>
      <c r="VFD168" s="500"/>
      <c r="VFE168" s="500"/>
      <c r="VFF168" s="500"/>
      <c r="VFG168" s="500"/>
      <c r="VFH168" s="500"/>
      <c r="VFI168" s="500"/>
      <c r="VFJ168" s="500"/>
      <c r="VFK168" s="500"/>
      <c r="VFL168" s="500"/>
      <c r="VFM168" s="500"/>
      <c r="VFN168" s="500"/>
      <c r="VFO168" s="500"/>
      <c r="VFP168" s="500"/>
      <c r="VFQ168" s="500"/>
      <c r="VFR168" s="500"/>
      <c r="VFS168" s="500"/>
      <c r="VFT168" s="500"/>
      <c r="VFU168" s="500"/>
      <c r="VFV168" s="500"/>
      <c r="VFW168" s="500"/>
      <c r="VFX168" s="500"/>
      <c r="VFY168" s="500"/>
      <c r="VFZ168" s="500"/>
      <c r="VGA168" s="500"/>
      <c r="VGB168" s="500"/>
      <c r="VGC168" s="500"/>
      <c r="VGD168" s="500"/>
      <c r="VGE168" s="500"/>
      <c r="VGF168" s="500"/>
      <c r="VGG168" s="500"/>
      <c r="VGH168" s="500"/>
      <c r="VGI168" s="500"/>
      <c r="VGJ168" s="500"/>
      <c r="VGK168" s="500"/>
      <c r="VGL168" s="500"/>
      <c r="VGM168" s="500"/>
      <c r="VGN168" s="500"/>
      <c r="VGO168" s="500"/>
      <c r="VGP168" s="500"/>
      <c r="VGQ168" s="500"/>
      <c r="VGR168" s="500"/>
      <c r="VGS168" s="500"/>
      <c r="VGT168" s="500"/>
      <c r="VGU168" s="500"/>
      <c r="VGV168" s="500"/>
      <c r="VGW168" s="500"/>
      <c r="VGX168" s="500"/>
      <c r="VGY168" s="500"/>
      <c r="VGZ168" s="500"/>
      <c r="VHA168" s="500"/>
      <c r="VHB168" s="500"/>
      <c r="VHC168" s="500"/>
      <c r="VHD168" s="500"/>
      <c r="VHE168" s="500"/>
      <c r="VHF168" s="500"/>
      <c r="VHG168" s="500"/>
      <c r="VHH168" s="500"/>
      <c r="VHI168" s="500"/>
      <c r="VHJ168" s="500"/>
      <c r="VHK168" s="500"/>
      <c r="VHL168" s="500"/>
      <c r="VHM168" s="500"/>
      <c r="VHN168" s="500"/>
      <c r="VHO168" s="500"/>
      <c r="VHP168" s="500"/>
      <c r="VHQ168" s="500"/>
      <c r="VHR168" s="500"/>
      <c r="VHS168" s="500"/>
      <c r="VHT168" s="500"/>
      <c r="VHU168" s="500"/>
      <c r="VHV168" s="500"/>
      <c r="VHW168" s="500"/>
      <c r="VHX168" s="500"/>
      <c r="VHY168" s="500"/>
      <c r="VHZ168" s="500"/>
      <c r="VIA168" s="500"/>
      <c r="VIB168" s="500"/>
      <c r="VIC168" s="500"/>
      <c r="VID168" s="500"/>
      <c r="VIE168" s="500"/>
      <c r="VIF168" s="500"/>
      <c r="VIG168" s="500"/>
      <c r="VIH168" s="500"/>
      <c r="VII168" s="500"/>
      <c r="VIJ168" s="500"/>
      <c r="VIK168" s="500"/>
      <c r="VIL168" s="500"/>
      <c r="VIM168" s="500"/>
      <c r="VIN168" s="500"/>
      <c r="VIO168" s="500"/>
      <c r="VIP168" s="500"/>
      <c r="VIQ168" s="500"/>
      <c r="VIR168" s="500"/>
      <c r="VIS168" s="500"/>
      <c r="VIT168" s="500"/>
      <c r="VIU168" s="500"/>
      <c r="VIV168" s="500"/>
      <c r="VIW168" s="500"/>
      <c r="VIX168" s="500"/>
      <c r="VIY168" s="500"/>
      <c r="VIZ168" s="500"/>
      <c r="VJA168" s="500"/>
      <c r="VJB168" s="500"/>
      <c r="VJC168" s="500"/>
      <c r="VJD168" s="500"/>
      <c r="VJE168" s="500"/>
      <c r="VJF168" s="500"/>
      <c r="VJG168" s="500"/>
      <c r="VJH168" s="500"/>
      <c r="VJI168" s="500"/>
      <c r="VJJ168" s="500"/>
      <c r="VJK168" s="500"/>
      <c r="VJL168" s="500"/>
      <c r="VJM168" s="500"/>
      <c r="VJN168" s="500"/>
      <c r="VJO168" s="500"/>
      <c r="VJP168" s="500"/>
      <c r="VJQ168" s="500"/>
      <c r="VJR168" s="500"/>
      <c r="VJS168" s="500"/>
      <c r="VJT168" s="500"/>
      <c r="VJU168" s="500"/>
      <c r="VJV168" s="500"/>
      <c r="VJW168" s="500"/>
      <c r="VJX168" s="500"/>
      <c r="VJY168" s="500"/>
      <c r="VJZ168" s="500"/>
      <c r="VKA168" s="500"/>
      <c r="VKB168" s="500"/>
      <c r="VKC168" s="500"/>
      <c r="VKD168" s="500"/>
      <c r="VKE168" s="500"/>
      <c r="VKF168" s="500"/>
      <c r="VKG168" s="500"/>
      <c r="VKH168" s="500"/>
      <c r="VKI168" s="500"/>
      <c r="VKJ168" s="500"/>
      <c r="VKK168" s="500"/>
      <c r="VKL168" s="500"/>
      <c r="VKM168" s="500"/>
      <c r="VKN168" s="500"/>
      <c r="VKO168" s="500"/>
      <c r="VKP168" s="500"/>
      <c r="VKQ168" s="500"/>
      <c r="VKR168" s="500"/>
      <c r="VKS168" s="500"/>
      <c r="VKT168" s="500"/>
      <c r="VKU168" s="500"/>
      <c r="VKV168" s="500"/>
      <c r="VKW168" s="500"/>
      <c r="VKX168" s="500"/>
      <c r="VKY168" s="500"/>
      <c r="VKZ168" s="500"/>
      <c r="VLA168" s="500"/>
      <c r="VLB168" s="500"/>
      <c r="VLC168" s="500"/>
      <c r="VLD168" s="500"/>
      <c r="VLE168" s="500"/>
      <c r="VLF168" s="500"/>
      <c r="VLG168" s="500"/>
      <c r="VLH168" s="500"/>
      <c r="VLI168" s="500"/>
      <c r="VLJ168" s="500"/>
      <c r="VLK168" s="500"/>
      <c r="VLL168" s="500"/>
      <c r="VLM168" s="500"/>
      <c r="VLN168" s="500"/>
      <c r="VLO168" s="500"/>
      <c r="VLP168" s="500"/>
      <c r="VLQ168" s="500"/>
      <c r="VLR168" s="500"/>
      <c r="VLS168" s="500"/>
      <c r="VLT168" s="500"/>
      <c r="VLU168" s="500"/>
      <c r="VLV168" s="500"/>
      <c r="VLW168" s="500"/>
      <c r="VLX168" s="500"/>
      <c r="VLY168" s="500"/>
      <c r="VLZ168" s="500"/>
      <c r="VMA168" s="500"/>
      <c r="VMB168" s="500"/>
      <c r="VMC168" s="500"/>
      <c r="VMD168" s="500"/>
      <c r="VME168" s="500"/>
      <c r="VMF168" s="500"/>
      <c r="VMG168" s="500"/>
      <c r="VMH168" s="500"/>
      <c r="VMI168" s="500"/>
      <c r="VMJ168" s="500"/>
      <c r="VMK168" s="500"/>
      <c r="VML168" s="500"/>
      <c r="VMM168" s="500"/>
      <c r="VMN168" s="500"/>
      <c r="VMO168" s="500"/>
      <c r="VMP168" s="500"/>
      <c r="VMQ168" s="500"/>
      <c r="VMR168" s="500"/>
      <c r="VMS168" s="500"/>
      <c r="VMT168" s="500"/>
      <c r="VMU168" s="500"/>
      <c r="VMV168" s="500"/>
      <c r="VMW168" s="500"/>
      <c r="VMX168" s="500"/>
      <c r="VMY168" s="500"/>
      <c r="VMZ168" s="500"/>
      <c r="VNA168" s="500"/>
      <c r="VNB168" s="500"/>
      <c r="VNC168" s="500"/>
      <c r="VND168" s="500"/>
      <c r="VNE168" s="500"/>
      <c r="VNF168" s="500"/>
      <c r="VNG168" s="500"/>
      <c r="VNH168" s="500"/>
      <c r="VNI168" s="500"/>
      <c r="VNJ168" s="500"/>
      <c r="VNK168" s="500"/>
      <c r="VNL168" s="500"/>
      <c r="VNM168" s="500"/>
      <c r="VNN168" s="500"/>
      <c r="VNO168" s="500"/>
      <c r="VNP168" s="500"/>
      <c r="VNQ168" s="500"/>
      <c r="VNR168" s="500"/>
      <c r="VNS168" s="500"/>
      <c r="VNT168" s="500"/>
      <c r="VNU168" s="500"/>
      <c r="VNV168" s="500"/>
      <c r="VNW168" s="500"/>
      <c r="VNX168" s="500"/>
      <c r="VNY168" s="500"/>
      <c r="VNZ168" s="500"/>
      <c r="VOA168" s="500"/>
      <c r="VOB168" s="500"/>
      <c r="VOC168" s="500"/>
      <c r="VOD168" s="500"/>
      <c r="VOE168" s="500"/>
      <c r="VOF168" s="500"/>
      <c r="VOG168" s="500"/>
      <c r="VOH168" s="500"/>
      <c r="VOI168" s="500"/>
      <c r="VOJ168" s="500"/>
      <c r="VOK168" s="500"/>
      <c r="VOL168" s="500"/>
      <c r="VOM168" s="500"/>
      <c r="VON168" s="500"/>
      <c r="VOO168" s="500"/>
      <c r="VOP168" s="500"/>
      <c r="VOQ168" s="500"/>
      <c r="VOR168" s="500"/>
      <c r="VOS168" s="500"/>
      <c r="VOT168" s="500"/>
      <c r="VOU168" s="500"/>
      <c r="VOV168" s="500"/>
      <c r="VOW168" s="500"/>
      <c r="VOX168" s="500"/>
      <c r="VOY168" s="500"/>
      <c r="VOZ168" s="500"/>
      <c r="VPA168" s="500"/>
      <c r="VPB168" s="500"/>
      <c r="VPC168" s="500"/>
      <c r="VPD168" s="500"/>
      <c r="VPE168" s="500"/>
      <c r="VPF168" s="500"/>
      <c r="VPG168" s="500"/>
      <c r="VPH168" s="500"/>
      <c r="VPI168" s="500"/>
      <c r="VPJ168" s="500"/>
      <c r="VPK168" s="500"/>
      <c r="VPL168" s="500"/>
      <c r="VPM168" s="500"/>
      <c r="VPN168" s="500"/>
      <c r="VPO168" s="500"/>
      <c r="VPP168" s="500"/>
      <c r="VPQ168" s="500"/>
      <c r="VPR168" s="500"/>
      <c r="VPS168" s="500"/>
      <c r="VPT168" s="500"/>
      <c r="VPU168" s="500"/>
      <c r="VPV168" s="500"/>
      <c r="VPW168" s="500"/>
      <c r="VPX168" s="500"/>
      <c r="VPY168" s="500"/>
      <c r="VPZ168" s="500"/>
      <c r="VQA168" s="500"/>
      <c r="VQB168" s="500"/>
      <c r="VQC168" s="500"/>
      <c r="VQD168" s="500"/>
      <c r="VQE168" s="500"/>
      <c r="VQF168" s="500"/>
      <c r="VQG168" s="500"/>
      <c r="VQH168" s="500"/>
      <c r="VQI168" s="500"/>
      <c r="VQJ168" s="500"/>
      <c r="VQK168" s="500"/>
      <c r="VQL168" s="500"/>
      <c r="VQM168" s="500"/>
      <c r="VQN168" s="500"/>
      <c r="VQO168" s="500"/>
      <c r="VQP168" s="500"/>
      <c r="VQQ168" s="500"/>
      <c r="VQR168" s="500"/>
      <c r="VQS168" s="500"/>
      <c r="VQT168" s="500"/>
      <c r="VQU168" s="500"/>
      <c r="VQV168" s="500"/>
      <c r="VQW168" s="500"/>
      <c r="VQX168" s="500"/>
      <c r="VQY168" s="500"/>
      <c r="VQZ168" s="500"/>
      <c r="VRA168" s="500"/>
      <c r="VRB168" s="500"/>
      <c r="VRC168" s="500"/>
      <c r="VRD168" s="500"/>
      <c r="VRE168" s="500"/>
      <c r="VRF168" s="500"/>
      <c r="VRG168" s="500"/>
      <c r="VRH168" s="500"/>
      <c r="VRI168" s="500"/>
      <c r="VRJ168" s="500"/>
      <c r="VRK168" s="500"/>
      <c r="VRL168" s="500"/>
      <c r="VRM168" s="500"/>
      <c r="VRN168" s="500"/>
      <c r="VRO168" s="500"/>
      <c r="VRP168" s="500"/>
      <c r="VRQ168" s="500"/>
      <c r="VRR168" s="500"/>
      <c r="VRS168" s="500"/>
      <c r="VRT168" s="500"/>
      <c r="VRU168" s="500"/>
      <c r="VRV168" s="500"/>
      <c r="VRW168" s="500"/>
      <c r="VRX168" s="500"/>
      <c r="VRY168" s="500"/>
      <c r="VRZ168" s="500"/>
      <c r="VSA168" s="500"/>
      <c r="VSB168" s="500"/>
      <c r="VSC168" s="500"/>
      <c r="VSD168" s="500"/>
      <c r="VSE168" s="500"/>
      <c r="VSF168" s="500"/>
      <c r="VSG168" s="500"/>
      <c r="VSH168" s="500"/>
      <c r="VSI168" s="500"/>
      <c r="VSJ168" s="500"/>
      <c r="VSK168" s="500"/>
      <c r="VSL168" s="500"/>
      <c r="VSM168" s="500"/>
      <c r="VSN168" s="500"/>
      <c r="VSO168" s="500"/>
      <c r="VSP168" s="500"/>
      <c r="VSQ168" s="500"/>
      <c r="VSR168" s="500"/>
      <c r="VSS168" s="500"/>
      <c r="VST168" s="500"/>
      <c r="VSU168" s="500"/>
      <c r="VSV168" s="500"/>
      <c r="VSW168" s="500"/>
      <c r="VSX168" s="500"/>
      <c r="VSY168" s="500"/>
      <c r="VSZ168" s="500"/>
      <c r="VTA168" s="500"/>
      <c r="VTB168" s="500"/>
      <c r="VTC168" s="500"/>
      <c r="VTD168" s="500"/>
      <c r="VTE168" s="500"/>
      <c r="VTF168" s="500"/>
      <c r="VTG168" s="500"/>
      <c r="VTH168" s="500"/>
      <c r="VTI168" s="500"/>
      <c r="VTJ168" s="500"/>
      <c r="VTK168" s="500"/>
      <c r="VTL168" s="500"/>
      <c r="VTM168" s="500"/>
      <c r="VTN168" s="500"/>
      <c r="VTO168" s="500"/>
      <c r="VTP168" s="500"/>
      <c r="VTQ168" s="500"/>
      <c r="VTR168" s="500"/>
      <c r="VTS168" s="500"/>
      <c r="VTT168" s="500"/>
      <c r="VTU168" s="500"/>
      <c r="VTV168" s="500"/>
      <c r="VTW168" s="500"/>
      <c r="VTX168" s="500"/>
      <c r="VTY168" s="500"/>
      <c r="VTZ168" s="500"/>
      <c r="VUA168" s="500"/>
      <c r="VUB168" s="500"/>
      <c r="VUC168" s="500"/>
      <c r="VUD168" s="500"/>
      <c r="VUE168" s="500"/>
      <c r="VUF168" s="500"/>
      <c r="VUG168" s="500"/>
      <c r="VUH168" s="500"/>
      <c r="VUI168" s="500"/>
      <c r="VUJ168" s="500"/>
      <c r="VUK168" s="500"/>
      <c r="VUL168" s="500"/>
      <c r="VUM168" s="500"/>
      <c r="VUN168" s="500"/>
      <c r="VUO168" s="500"/>
      <c r="VUP168" s="500"/>
      <c r="VUQ168" s="500"/>
      <c r="VUR168" s="500"/>
      <c r="VUS168" s="500"/>
      <c r="VUT168" s="500"/>
      <c r="VUU168" s="500"/>
      <c r="VUV168" s="500"/>
      <c r="VUW168" s="500"/>
      <c r="VUX168" s="500"/>
      <c r="VUY168" s="500"/>
      <c r="VUZ168" s="500"/>
      <c r="VVA168" s="500"/>
      <c r="VVB168" s="500"/>
      <c r="VVC168" s="500"/>
      <c r="VVD168" s="500"/>
      <c r="VVE168" s="500"/>
      <c r="VVF168" s="500"/>
      <c r="VVG168" s="500"/>
      <c r="VVH168" s="500"/>
      <c r="VVI168" s="500"/>
      <c r="VVJ168" s="500"/>
      <c r="VVK168" s="500"/>
      <c r="VVL168" s="500"/>
      <c r="VVM168" s="500"/>
      <c r="VVN168" s="500"/>
      <c r="VVO168" s="500"/>
      <c r="VVP168" s="500"/>
      <c r="VVQ168" s="500"/>
      <c r="VVR168" s="500"/>
      <c r="VVS168" s="500"/>
      <c r="VVT168" s="500"/>
      <c r="VVU168" s="500"/>
      <c r="VVV168" s="500"/>
      <c r="VVW168" s="500"/>
      <c r="VVX168" s="500"/>
      <c r="VVY168" s="500"/>
      <c r="VVZ168" s="500"/>
      <c r="VWA168" s="500"/>
      <c r="VWB168" s="500"/>
      <c r="VWC168" s="500"/>
      <c r="VWD168" s="500"/>
      <c r="VWE168" s="500"/>
      <c r="VWF168" s="500"/>
      <c r="VWG168" s="500"/>
      <c r="VWH168" s="500"/>
      <c r="VWI168" s="500"/>
      <c r="VWJ168" s="500"/>
      <c r="VWK168" s="500"/>
      <c r="VWL168" s="500"/>
      <c r="VWM168" s="500"/>
      <c r="VWN168" s="500"/>
      <c r="VWO168" s="500"/>
      <c r="VWP168" s="500"/>
      <c r="VWQ168" s="500"/>
      <c r="VWR168" s="500"/>
      <c r="VWS168" s="500"/>
      <c r="VWT168" s="500"/>
      <c r="VWU168" s="500"/>
      <c r="VWV168" s="500"/>
      <c r="VWW168" s="500"/>
      <c r="VWX168" s="500"/>
      <c r="VWY168" s="500"/>
      <c r="VWZ168" s="500"/>
      <c r="VXA168" s="500"/>
      <c r="VXB168" s="500"/>
      <c r="VXC168" s="500"/>
      <c r="VXD168" s="500"/>
      <c r="VXE168" s="500"/>
      <c r="VXF168" s="500"/>
      <c r="VXG168" s="500"/>
      <c r="VXH168" s="500"/>
      <c r="VXI168" s="500"/>
      <c r="VXJ168" s="500"/>
      <c r="VXK168" s="500"/>
      <c r="VXL168" s="500"/>
      <c r="VXM168" s="500"/>
      <c r="VXN168" s="500"/>
      <c r="VXO168" s="500"/>
      <c r="VXP168" s="500"/>
      <c r="VXQ168" s="500"/>
      <c r="VXR168" s="500"/>
      <c r="VXS168" s="500"/>
      <c r="VXT168" s="500"/>
      <c r="VXU168" s="500"/>
      <c r="VXV168" s="500"/>
      <c r="VXW168" s="500"/>
      <c r="VXX168" s="500"/>
      <c r="VXY168" s="500"/>
      <c r="VXZ168" s="500"/>
      <c r="VYA168" s="500"/>
      <c r="VYB168" s="500"/>
      <c r="VYC168" s="500"/>
      <c r="VYD168" s="500"/>
      <c r="VYE168" s="500"/>
      <c r="VYF168" s="500"/>
      <c r="VYG168" s="500"/>
      <c r="VYH168" s="500"/>
      <c r="VYI168" s="500"/>
      <c r="VYJ168" s="500"/>
      <c r="VYK168" s="500"/>
      <c r="VYL168" s="500"/>
      <c r="VYM168" s="500"/>
      <c r="VYN168" s="500"/>
      <c r="VYO168" s="500"/>
      <c r="VYP168" s="500"/>
      <c r="VYQ168" s="500"/>
      <c r="VYR168" s="500"/>
      <c r="VYS168" s="500"/>
      <c r="VYT168" s="500"/>
      <c r="VYU168" s="500"/>
      <c r="VYV168" s="500"/>
      <c r="VYW168" s="500"/>
      <c r="VYX168" s="500"/>
      <c r="VYY168" s="500"/>
      <c r="VYZ168" s="500"/>
      <c r="VZA168" s="500"/>
      <c r="VZB168" s="500"/>
      <c r="VZC168" s="500"/>
      <c r="VZD168" s="500"/>
      <c r="VZE168" s="500"/>
      <c r="VZF168" s="500"/>
      <c r="VZG168" s="500"/>
      <c r="VZH168" s="500"/>
      <c r="VZI168" s="500"/>
      <c r="VZJ168" s="500"/>
      <c r="VZK168" s="500"/>
      <c r="VZL168" s="500"/>
      <c r="VZM168" s="500"/>
      <c r="VZN168" s="500"/>
      <c r="VZO168" s="500"/>
      <c r="VZP168" s="500"/>
      <c r="VZQ168" s="500"/>
      <c r="VZR168" s="500"/>
      <c r="VZS168" s="500"/>
      <c r="VZT168" s="500"/>
      <c r="VZU168" s="500"/>
      <c r="VZV168" s="500"/>
      <c r="VZW168" s="500"/>
      <c r="VZX168" s="500"/>
      <c r="VZY168" s="500"/>
      <c r="VZZ168" s="500"/>
      <c r="WAA168" s="500"/>
      <c r="WAB168" s="500"/>
      <c r="WAC168" s="500"/>
      <c r="WAD168" s="500"/>
      <c r="WAE168" s="500"/>
      <c r="WAF168" s="500"/>
      <c r="WAG168" s="500"/>
      <c r="WAH168" s="500"/>
      <c r="WAI168" s="500"/>
      <c r="WAJ168" s="500"/>
      <c r="WAK168" s="500"/>
      <c r="WAL168" s="500"/>
      <c r="WAM168" s="500"/>
      <c r="WAN168" s="500"/>
      <c r="WAO168" s="500"/>
      <c r="WAP168" s="500"/>
      <c r="WAQ168" s="500"/>
      <c r="WAR168" s="500"/>
      <c r="WAS168" s="500"/>
      <c r="WAT168" s="500"/>
      <c r="WAU168" s="500"/>
      <c r="WAV168" s="500"/>
      <c r="WAW168" s="500"/>
      <c r="WAX168" s="500"/>
      <c r="WAY168" s="500"/>
      <c r="WAZ168" s="500"/>
      <c r="WBA168" s="500"/>
      <c r="WBB168" s="500"/>
      <c r="WBC168" s="500"/>
      <c r="WBD168" s="500"/>
      <c r="WBE168" s="500"/>
      <c r="WBF168" s="500"/>
      <c r="WBG168" s="500"/>
      <c r="WBH168" s="500"/>
      <c r="WBI168" s="500"/>
      <c r="WBJ168" s="500"/>
      <c r="WBK168" s="500"/>
      <c r="WBL168" s="500"/>
      <c r="WBM168" s="500"/>
      <c r="WBN168" s="500"/>
      <c r="WBO168" s="500"/>
      <c r="WBP168" s="500"/>
      <c r="WBQ168" s="500"/>
      <c r="WBR168" s="500"/>
      <c r="WBS168" s="500"/>
      <c r="WBT168" s="500"/>
      <c r="WBU168" s="500"/>
      <c r="WBV168" s="500"/>
      <c r="WBW168" s="500"/>
      <c r="WBX168" s="500"/>
      <c r="WBY168" s="500"/>
      <c r="WBZ168" s="500"/>
      <c r="WCA168" s="500"/>
      <c r="WCB168" s="500"/>
      <c r="WCC168" s="500"/>
      <c r="WCD168" s="500"/>
      <c r="WCE168" s="500"/>
      <c r="WCF168" s="500"/>
      <c r="WCG168" s="500"/>
      <c r="WCH168" s="500"/>
      <c r="WCI168" s="500"/>
      <c r="WCJ168" s="500"/>
      <c r="WCK168" s="500"/>
      <c r="WCL168" s="500"/>
      <c r="WCM168" s="500"/>
      <c r="WCN168" s="500"/>
      <c r="WCO168" s="500"/>
      <c r="WCP168" s="500"/>
      <c r="WCQ168" s="500"/>
      <c r="WCR168" s="500"/>
      <c r="WCS168" s="500"/>
      <c r="WCT168" s="500"/>
      <c r="WCU168" s="500"/>
      <c r="WCV168" s="500"/>
      <c r="WCW168" s="500"/>
      <c r="WCX168" s="500"/>
      <c r="WCY168" s="500"/>
      <c r="WCZ168" s="500"/>
      <c r="WDA168" s="500"/>
      <c r="WDB168" s="500"/>
      <c r="WDC168" s="500"/>
      <c r="WDD168" s="500"/>
      <c r="WDE168" s="500"/>
      <c r="WDF168" s="500"/>
      <c r="WDG168" s="500"/>
      <c r="WDH168" s="500"/>
      <c r="WDI168" s="500"/>
      <c r="WDJ168" s="500"/>
      <c r="WDK168" s="500"/>
      <c r="WDL168" s="500"/>
      <c r="WDM168" s="500"/>
      <c r="WDN168" s="500"/>
      <c r="WDO168" s="500"/>
      <c r="WDP168" s="500"/>
      <c r="WDQ168" s="500"/>
      <c r="WDR168" s="500"/>
      <c r="WDS168" s="500"/>
      <c r="WDT168" s="500"/>
      <c r="WDU168" s="500"/>
      <c r="WDV168" s="500"/>
      <c r="WDW168" s="500"/>
      <c r="WDX168" s="500"/>
      <c r="WDY168" s="500"/>
      <c r="WDZ168" s="500"/>
      <c r="WEA168" s="500"/>
      <c r="WEB168" s="500"/>
      <c r="WEC168" s="500"/>
      <c r="WED168" s="500"/>
      <c r="WEE168" s="500"/>
      <c r="WEF168" s="500"/>
      <c r="WEG168" s="500"/>
      <c r="WEH168" s="500"/>
      <c r="WEI168" s="500"/>
      <c r="WEJ168" s="500"/>
      <c r="WEK168" s="500"/>
      <c r="WEL168" s="500"/>
      <c r="WEM168" s="500"/>
      <c r="WEN168" s="500"/>
      <c r="WEO168" s="500"/>
      <c r="WEP168" s="500"/>
      <c r="WEQ168" s="500"/>
      <c r="WER168" s="500"/>
      <c r="WES168" s="500"/>
      <c r="WET168" s="500"/>
      <c r="WEU168" s="500"/>
      <c r="WEV168" s="500"/>
      <c r="WEW168" s="500"/>
      <c r="WEX168" s="500"/>
      <c r="WEY168" s="500"/>
      <c r="WEZ168" s="500"/>
      <c r="WFA168" s="500"/>
      <c r="WFB168" s="500"/>
      <c r="WFC168" s="500"/>
      <c r="WFD168" s="500"/>
      <c r="WFE168" s="500"/>
      <c r="WFF168" s="500"/>
      <c r="WFG168" s="500"/>
      <c r="WFH168" s="500"/>
      <c r="WFI168" s="500"/>
      <c r="WFJ168" s="500"/>
      <c r="WFK168" s="500"/>
      <c r="WFL168" s="500"/>
      <c r="WFM168" s="500"/>
      <c r="WFN168" s="500"/>
      <c r="WFO168" s="500"/>
      <c r="WFP168" s="500"/>
      <c r="WFQ168" s="500"/>
      <c r="WFR168" s="500"/>
      <c r="WFS168" s="500"/>
      <c r="WFT168" s="500"/>
      <c r="WFU168" s="500"/>
      <c r="WFV168" s="500"/>
      <c r="WFW168" s="500"/>
      <c r="WFX168" s="500"/>
      <c r="WFY168" s="500"/>
      <c r="WFZ168" s="500"/>
      <c r="WGA168" s="500"/>
      <c r="WGB168" s="500"/>
      <c r="WGC168" s="500"/>
      <c r="WGD168" s="500"/>
      <c r="WGE168" s="500"/>
      <c r="WGF168" s="500"/>
      <c r="WGG168" s="500"/>
      <c r="WGH168" s="500"/>
      <c r="WGI168" s="500"/>
      <c r="WGJ168" s="500"/>
      <c r="WGK168" s="500"/>
      <c r="WGL168" s="500"/>
      <c r="WGM168" s="500"/>
      <c r="WGN168" s="500"/>
      <c r="WGO168" s="500"/>
      <c r="WGP168" s="500"/>
      <c r="WGQ168" s="500"/>
      <c r="WGR168" s="500"/>
      <c r="WGS168" s="500"/>
      <c r="WGT168" s="500"/>
      <c r="WGU168" s="500"/>
      <c r="WGV168" s="500"/>
      <c r="WGW168" s="500"/>
      <c r="WGX168" s="500"/>
      <c r="WGY168" s="500"/>
      <c r="WGZ168" s="500"/>
      <c r="WHA168" s="500"/>
      <c r="WHB168" s="500"/>
      <c r="WHC168" s="500"/>
      <c r="WHD168" s="500"/>
      <c r="WHE168" s="500"/>
      <c r="WHF168" s="500"/>
      <c r="WHG168" s="500"/>
      <c r="WHH168" s="500"/>
      <c r="WHI168" s="500"/>
      <c r="WHJ168" s="500"/>
      <c r="WHK168" s="500"/>
      <c r="WHL168" s="500"/>
      <c r="WHM168" s="500"/>
      <c r="WHN168" s="500"/>
      <c r="WHO168" s="500"/>
      <c r="WHP168" s="500"/>
      <c r="WHQ168" s="500"/>
      <c r="WHR168" s="500"/>
      <c r="WHS168" s="500"/>
      <c r="WHT168" s="500"/>
      <c r="WHU168" s="500"/>
      <c r="WHV168" s="500"/>
      <c r="WHW168" s="500"/>
      <c r="WHX168" s="500"/>
      <c r="WHY168" s="500"/>
      <c r="WHZ168" s="500"/>
      <c r="WIA168" s="500"/>
      <c r="WIB168" s="500"/>
      <c r="WIC168" s="500"/>
      <c r="WID168" s="500"/>
      <c r="WIE168" s="500"/>
      <c r="WIF168" s="500"/>
      <c r="WIG168" s="500"/>
      <c r="WIH168" s="500"/>
      <c r="WII168" s="500"/>
      <c r="WIJ168" s="500"/>
      <c r="WIK168" s="500"/>
      <c r="WIL168" s="500"/>
      <c r="WIM168" s="500"/>
      <c r="WIN168" s="500"/>
      <c r="WIO168" s="500"/>
      <c r="WIP168" s="500"/>
      <c r="WIQ168" s="500"/>
      <c r="WIR168" s="500"/>
      <c r="WIS168" s="500"/>
      <c r="WIT168" s="500"/>
      <c r="WIU168" s="500"/>
      <c r="WIV168" s="500"/>
      <c r="WIW168" s="500"/>
      <c r="WIX168" s="500"/>
      <c r="WIY168" s="500"/>
      <c r="WIZ168" s="500"/>
      <c r="WJA168" s="500"/>
      <c r="WJB168" s="500"/>
      <c r="WJC168" s="500"/>
      <c r="WJD168" s="500"/>
      <c r="WJE168" s="500"/>
      <c r="WJF168" s="500"/>
      <c r="WJG168" s="500"/>
      <c r="WJH168" s="500"/>
      <c r="WJI168" s="500"/>
      <c r="WJJ168" s="500"/>
      <c r="WJK168" s="500"/>
      <c r="WJL168" s="500"/>
      <c r="WJM168" s="500"/>
      <c r="WJN168" s="500"/>
      <c r="WJO168" s="500"/>
      <c r="WJP168" s="500"/>
      <c r="WJQ168" s="500"/>
      <c r="WJR168" s="500"/>
      <c r="WJS168" s="500"/>
      <c r="WJT168" s="500"/>
      <c r="WJU168" s="500"/>
      <c r="WJV168" s="500"/>
      <c r="WJW168" s="500"/>
      <c r="WJX168" s="500"/>
      <c r="WJY168" s="500"/>
      <c r="WJZ168" s="500"/>
      <c r="WKA168" s="500"/>
      <c r="WKB168" s="500"/>
      <c r="WKC168" s="500"/>
      <c r="WKD168" s="500"/>
      <c r="WKE168" s="500"/>
      <c r="WKF168" s="500"/>
      <c r="WKG168" s="500"/>
      <c r="WKH168" s="500"/>
      <c r="WKI168" s="500"/>
      <c r="WKJ168" s="500"/>
      <c r="WKK168" s="500"/>
      <c r="WKL168" s="500"/>
      <c r="WKM168" s="500"/>
      <c r="WKN168" s="500"/>
      <c r="WKO168" s="500"/>
      <c r="WKP168" s="500"/>
      <c r="WKQ168" s="500"/>
      <c r="WKR168" s="500"/>
      <c r="WKS168" s="500"/>
      <c r="WKT168" s="500"/>
      <c r="WKU168" s="500"/>
      <c r="WKV168" s="500"/>
      <c r="WKW168" s="500"/>
      <c r="WKX168" s="500"/>
      <c r="WKY168" s="500"/>
      <c r="WKZ168" s="500"/>
      <c r="WLA168" s="500"/>
      <c r="WLB168" s="500"/>
      <c r="WLC168" s="500"/>
      <c r="WLD168" s="500"/>
      <c r="WLE168" s="500"/>
      <c r="WLF168" s="500"/>
      <c r="WLG168" s="500"/>
      <c r="WLH168" s="500"/>
      <c r="WLI168" s="500"/>
      <c r="WLJ168" s="500"/>
      <c r="WLK168" s="500"/>
      <c r="WLL168" s="500"/>
      <c r="WLM168" s="500"/>
      <c r="WLN168" s="500"/>
      <c r="WLO168" s="500"/>
      <c r="WLP168" s="500"/>
      <c r="WLQ168" s="500"/>
      <c r="WLR168" s="500"/>
      <c r="WLS168" s="500"/>
      <c r="WLT168" s="500"/>
      <c r="WLU168" s="500"/>
      <c r="WLV168" s="500"/>
      <c r="WLW168" s="500"/>
      <c r="WLX168" s="500"/>
      <c r="WLY168" s="500"/>
      <c r="WLZ168" s="500"/>
      <c r="WMA168" s="500"/>
      <c r="WMB168" s="500"/>
      <c r="WMC168" s="500"/>
      <c r="WMD168" s="500"/>
      <c r="WME168" s="500"/>
      <c r="WMF168" s="500"/>
      <c r="WMG168" s="500"/>
      <c r="WMH168" s="500"/>
      <c r="WMI168" s="500"/>
      <c r="WMJ168" s="500"/>
      <c r="WMK168" s="500"/>
      <c r="WML168" s="500"/>
      <c r="WMM168" s="500"/>
      <c r="WMN168" s="500"/>
      <c r="WMO168" s="500"/>
      <c r="WMP168" s="500"/>
      <c r="WMQ168" s="500"/>
      <c r="WMR168" s="500"/>
      <c r="WMS168" s="500"/>
      <c r="WMT168" s="500"/>
      <c r="WMU168" s="500"/>
      <c r="WMV168" s="500"/>
      <c r="WMW168" s="500"/>
      <c r="WMX168" s="500"/>
      <c r="WMY168" s="500"/>
      <c r="WMZ168" s="500"/>
      <c r="WNA168" s="500"/>
      <c r="WNB168" s="500"/>
      <c r="WNC168" s="500"/>
      <c r="WND168" s="500"/>
      <c r="WNE168" s="500"/>
      <c r="WNF168" s="500"/>
      <c r="WNG168" s="500"/>
      <c r="WNH168" s="500"/>
      <c r="WNI168" s="500"/>
      <c r="WNJ168" s="500"/>
      <c r="WNK168" s="500"/>
      <c r="WNL168" s="500"/>
      <c r="WNM168" s="500"/>
      <c r="WNN168" s="500"/>
      <c r="WNO168" s="500"/>
      <c r="WNP168" s="500"/>
      <c r="WNQ168" s="500"/>
      <c r="WNR168" s="500"/>
      <c r="WNS168" s="500"/>
      <c r="WNT168" s="500"/>
      <c r="WNU168" s="500"/>
      <c r="WNV168" s="500"/>
      <c r="WNW168" s="500"/>
      <c r="WNX168" s="500"/>
      <c r="WNY168" s="500"/>
      <c r="WNZ168" s="500"/>
      <c r="WOA168" s="500"/>
      <c r="WOB168" s="500"/>
      <c r="WOC168" s="500"/>
      <c r="WOD168" s="500"/>
      <c r="WOE168" s="500"/>
      <c r="WOF168" s="500"/>
      <c r="WOG168" s="500"/>
      <c r="WOH168" s="500"/>
      <c r="WOI168" s="500"/>
      <c r="WOJ168" s="500"/>
      <c r="WOK168" s="500"/>
      <c r="WOL168" s="500"/>
      <c r="WOM168" s="500"/>
      <c r="WON168" s="500"/>
      <c r="WOO168" s="500"/>
      <c r="WOP168" s="500"/>
      <c r="WOQ168" s="500"/>
      <c r="WOR168" s="500"/>
      <c r="WOS168" s="500"/>
      <c r="WOT168" s="500"/>
      <c r="WOU168" s="500"/>
      <c r="WOV168" s="500"/>
      <c r="WOW168" s="500"/>
      <c r="WOX168" s="500"/>
      <c r="WOY168" s="500"/>
      <c r="WOZ168" s="500"/>
      <c r="WPA168" s="500"/>
      <c r="WPB168" s="500"/>
      <c r="WPC168" s="500"/>
      <c r="WPD168" s="500"/>
      <c r="WPE168" s="500"/>
      <c r="WPF168" s="500"/>
      <c r="WPG168" s="500"/>
      <c r="WPH168" s="500"/>
      <c r="WPI168" s="500"/>
      <c r="WPJ168" s="500"/>
      <c r="WPK168" s="500"/>
      <c r="WPL168" s="500"/>
      <c r="WPM168" s="500"/>
      <c r="WPN168" s="500"/>
      <c r="WPO168" s="500"/>
      <c r="WPP168" s="500"/>
      <c r="WPQ168" s="500"/>
      <c r="WPR168" s="500"/>
      <c r="WPS168" s="500"/>
      <c r="WPT168" s="500"/>
      <c r="WPU168" s="500"/>
      <c r="WPV168" s="500"/>
      <c r="WPW168" s="500"/>
      <c r="WPX168" s="500"/>
      <c r="WPY168" s="500"/>
      <c r="WPZ168" s="500"/>
      <c r="WQA168" s="500"/>
      <c r="WQB168" s="500"/>
      <c r="WQC168" s="500"/>
      <c r="WQD168" s="500"/>
      <c r="WQE168" s="500"/>
      <c r="WQF168" s="500"/>
      <c r="WQG168" s="500"/>
      <c r="WQH168" s="500"/>
      <c r="WQI168" s="500"/>
      <c r="WQJ168" s="500"/>
      <c r="WQK168" s="500"/>
      <c r="WQL168" s="500"/>
      <c r="WQM168" s="500"/>
      <c r="WQN168" s="500"/>
      <c r="WQO168" s="500"/>
      <c r="WQP168" s="500"/>
      <c r="WQQ168" s="500"/>
      <c r="WQR168" s="500"/>
      <c r="WQS168" s="500"/>
      <c r="WQT168" s="500"/>
      <c r="WQU168" s="500"/>
      <c r="WQV168" s="500"/>
      <c r="WQW168" s="500"/>
      <c r="WQX168" s="500"/>
      <c r="WQY168" s="500"/>
      <c r="WQZ168" s="500"/>
      <c r="WRA168" s="500"/>
      <c r="WRB168" s="500"/>
      <c r="WRC168" s="500"/>
      <c r="WRD168" s="500"/>
      <c r="WRE168" s="500"/>
      <c r="WRF168" s="500"/>
      <c r="WRG168" s="500"/>
      <c r="WRH168" s="500"/>
      <c r="WRI168" s="500"/>
      <c r="WRJ168" s="500"/>
      <c r="WRK168" s="500"/>
      <c r="WRL168" s="500"/>
      <c r="WRM168" s="500"/>
      <c r="WRN168" s="500"/>
      <c r="WRO168" s="500"/>
      <c r="WRP168" s="500"/>
      <c r="WRQ168" s="500"/>
      <c r="WRR168" s="500"/>
      <c r="WRS168" s="500"/>
      <c r="WRT168" s="500"/>
      <c r="WRU168" s="500"/>
      <c r="WRV168" s="500"/>
      <c r="WRW168" s="500"/>
      <c r="WRX168" s="500"/>
      <c r="WRY168" s="500"/>
      <c r="WRZ168" s="500"/>
      <c r="WSA168" s="500"/>
      <c r="WSB168" s="500"/>
      <c r="WSC168" s="500"/>
      <c r="WSD168" s="500"/>
      <c r="WSE168" s="500"/>
      <c r="WSF168" s="500"/>
      <c r="WSG168" s="500"/>
      <c r="WSH168" s="500"/>
      <c r="WSI168" s="500"/>
      <c r="WSJ168" s="500"/>
      <c r="WSK168" s="500"/>
      <c r="WSL168" s="500"/>
      <c r="WSM168" s="500"/>
      <c r="WSN168" s="500"/>
      <c r="WSO168" s="500"/>
      <c r="WSP168" s="500"/>
      <c r="WSQ168" s="500"/>
      <c r="WSR168" s="500"/>
      <c r="WSS168" s="500"/>
      <c r="WST168" s="500"/>
      <c r="WSU168" s="500"/>
      <c r="WSV168" s="500"/>
      <c r="WSW168" s="500"/>
      <c r="WSX168" s="500"/>
      <c r="WSY168" s="500"/>
      <c r="WSZ168" s="500"/>
      <c r="WTA168" s="500"/>
      <c r="WTB168" s="500"/>
      <c r="WTC168" s="500"/>
      <c r="WTD168" s="500"/>
      <c r="WTE168" s="500"/>
      <c r="WTF168" s="500"/>
      <c r="WTG168" s="500"/>
      <c r="WTH168" s="500"/>
      <c r="WTI168" s="500"/>
      <c r="WTJ168" s="500"/>
      <c r="WTK168" s="500"/>
      <c r="WTL168" s="500"/>
      <c r="WTM168" s="500"/>
      <c r="WTN168" s="500"/>
      <c r="WTO168" s="500"/>
      <c r="WTP168" s="500"/>
      <c r="WTQ168" s="500"/>
      <c r="WTR168" s="500"/>
      <c r="WTS168" s="500"/>
      <c r="WTT168" s="500"/>
      <c r="WTU168" s="500"/>
      <c r="WTV168" s="500"/>
      <c r="WTW168" s="500"/>
      <c r="WTX168" s="500"/>
      <c r="WTY168" s="500"/>
      <c r="WTZ168" s="500"/>
      <c r="WUA168" s="500"/>
      <c r="WUB168" s="500"/>
      <c r="WUC168" s="500"/>
      <c r="WUD168" s="500"/>
      <c r="WUE168" s="500"/>
      <c r="WUF168" s="500"/>
      <c r="WUG168" s="500"/>
      <c r="WUH168" s="500"/>
      <c r="WUI168" s="500"/>
      <c r="WUJ168" s="500"/>
      <c r="WUK168" s="500"/>
      <c r="WUL168" s="500"/>
      <c r="WUM168" s="500"/>
      <c r="WUN168" s="500"/>
      <c r="WUO168" s="500"/>
      <c r="WUP168" s="500"/>
      <c r="WUQ168" s="500"/>
      <c r="WUR168" s="500"/>
      <c r="WUS168" s="500"/>
      <c r="WUT168" s="500"/>
      <c r="WUU168" s="500"/>
      <c r="WUV168" s="500"/>
      <c r="WUW168" s="500"/>
      <c r="WUX168" s="500"/>
      <c r="WUY168" s="500"/>
      <c r="WUZ168" s="500"/>
      <c r="WVA168" s="500"/>
      <c r="WVB168" s="500"/>
      <c r="WVC168" s="500"/>
      <c r="WVD168" s="500"/>
      <c r="WVE168" s="500"/>
      <c r="WVF168" s="500"/>
      <c r="WVG168" s="500"/>
      <c r="WVH168" s="500"/>
      <c r="WVI168" s="500"/>
      <c r="WVJ168" s="500"/>
      <c r="WVK168" s="500"/>
      <c r="WVL168" s="500"/>
      <c r="WVM168" s="500"/>
      <c r="WVN168" s="500"/>
      <c r="WVO168" s="500"/>
      <c r="WVP168" s="500"/>
      <c r="WVQ168" s="500"/>
      <c r="WVR168" s="500"/>
      <c r="WVS168" s="500"/>
      <c r="WVT168" s="500"/>
      <c r="WVU168" s="500"/>
      <c r="WVV168" s="500"/>
      <c r="WVW168" s="500"/>
      <c r="WVX168" s="500"/>
      <c r="WVY168" s="500"/>
      <c r="WVZ168" s="500"/>
      <c r="WWA168" s="500"/>
      <c r="WWB168" s="500"/>
      <c r="WWC168" s="500"/>
      <c r="WWD168" s="500"/>
      <c r="WWE168" s="500"/>
      <c r="WWF168" s="500"/>
      <c r="WWG168" s="500"/>
      <c r="WWH168" s="500"/>
      <c r="WWI168" s="500"/>
      <c r="WWJ168" s="500"/>
      <c r="WWK168" s="500"/>
      <c r="WWL168" s="500"/>
      <c r="WWM168" s="500"/>
      <c r="WWN168" s="500"/>
      <c r="WWO168" s="500"/>
      <c r="WWP168" s="500"/>
      <c r="WWQ168" s="500"/>
      <c r="WWR168" s="500"/>
      <c r="WWS168" s="500"/>
      <c r="WWT168" s="500"/>
      <c r="WWU168" s="500"/>
      <c r="WWV168" s="500"/>
      <c r="WWW168" s="500"/>
      <c r="WWX168" s="500"/>
      <c r="WWY168" s="500"/>
      <c r="WWZ168" s="500"/>
      <c r="WXA168" s="500"/>
      <c r="WXB168" s="500"/>
      <c r="WXC168" s="500"/>
      <c r="WXD168" s="500"/>
      <c r="WXE168" s="500"/>
      <c r="WXF168" s="500"/>
      <c r="WXG168" s="500"/>
      <c r="WXH168" s="500"/>
      <c r="WXI168" s="500"/>
      <c r="WXJ168" s="500"/>
      <c r="WXK168" s="500"/>
      <c r="WXL168" s="500"/>
      <c r="WXM168" s="500"/>
      <c r="WXN168" s="500"/>
      <c r="WXO168" s="500"/>
      <c r="WXP168" s="500"/>
      <c r="WXQ168" s="500"/>
      <c r="WXR168" s="500"/>
      <c r="WXS168" s="500"/>
      <c r="WXT168" s="500"/>
      <c r="WXU168" s="500"/>
      <c r="WXV168" s="500"/>
      <c r="WXW168" s="500"/>
      <c r="WXX168" s="500"/>
      <c r="WXY168" s="500"/>
      <c r="WXZ168" s="500"/>
      <c r="WYA168" s="500"/>
      <c r="WYB168" s="500"/>
      <c r="WYC168" s="500"/>
      <c r="WYD168" s="500"/>
      <c r="WYE168" s="500"/>
      <c r="WYF168" s="500"/>
      <c r="WYG168" s="500"/>
      <c r="WYH168" s="500"/>
      <c r="WYI168" s="500"/>
      <c r="WYJ168" s="500"/>
      <c r="WYK168" s="500"/>
      <c r="WYL168" s="500"/>
      <c r="WYM168" s="500"/>
      <c r="WYN168" s="500"/>
      <c r="WYO168" s="500"/>
      <c r="WYP168" s="500"/>
      <c r="WYQ168" s="500"/>
      <c r="WYR168" s="500"/>
      <c r="WYS168" s="500"/>
      <c r="WYT168" s="500"/>
      <c r="WYU168" s="500"/>
      <c r="WYV168" s="500"/>
      <c r="WYW168" s="500"/>
      <c r="WYX168" s="500"/>
      <c r="WYY168" s="500"/>
      <c r="WYZ168" s="500"/>
      <c r="WZA168" s="500"/>
      <c r="WZB168" s="500"/>
      <c r="WZC168" s="500"/>
      <c r="WZD168" s="500"/>
      <c r="WZE168" s="500"/>
      <c r="WZF168" s="500"/>
      <c r="WZG168" s="500"/>
      <c r="WZH168" s="500"/>
      <c r="WZI168" s="500"/>
      <c r="WZJ168" s="500"/>
      <c r="WZK168" s="500"/>
      <c r="WZL168" s="500"/>
      <c r="WZM168" s="500"/>
      <c r="WZN168" s="500"/>
      <c r="WZO168" s="500"/>
      <c r="WZP168" s="500"/>
      <c r="WZQ168" s="500"/>
      <c r="WZR168" s="500"/>
      <c r="WZS168" s="500"/>
      <c r="WZT168" s="500"/>
      <c r="WZU168" s="500"/>
      <c r="WZV168" s="500"/>
      <c r="WZW168" s="500"/>
      <c r="WZX168" s="500"/>
      <c r="WZY168" s="500"/>
      <c r="WZZ168" s="500"/>
      <c r="XAA168" s="500"/>
      <c r="XAB168" s="500"/>
      <c r="XAC168" s="500"/>
      <c r="XAD168" s="500"/>
      <c r="XAE168" s="500"/>
      <c r="XAF168" s="500"/>
      <c r="XAG168" s="500"/>
      <c r="XAH168" s="500"/>
      <c r="XAI168" s="500"/>
      <c r="XAJ168" s="500"/>
      <c r="XAK168" s="500"/>
      <c r="XAL168" s="500"/>
      <c r="XAM168" s="500"/>
      <c r="XAN168" s="500"/>
      <c r="XAO168" s="500"/>
      <c r="XAP168" s="500"/>
      <c r="XAQ168" s="500"/>
      <c r="XAR168" s="500"/>
      <c r="XAS168" s="500"/>
      <c r="XAT168" s="500"/>
      <c r="XAU168" s="500"/>
      <c r="XAV168" s="500"/>
      <c r="XAW168" s="500"/>
      <c r="XAX168" s="500"/>
      <c r="XAY168" s="500"/>
      <c r="XAZ168" s="500"/>
      <c r="XBA168" s="500"/>
      <c r="XBB168" s="500"/>
      <c r="XBC168" s="500"/>
      <c r="XBD168" s="500"/>
      <c r="XBE168" s="500"/>
      <c r="XBF168" s="500"/>
      <c r="XBG168" s="500"/>
      <c r="XBH168" s="500"/>
      <c r="XBI168" s="500"/>
      <c r="XBJ168" s="500"/>
      <c r="XBK168" s="500"/>
      <c r="XBL168" s="500"/>
      <c r="XBM168" s="500"/>
      <c r="XBN168" s="500"/>
      <c r="XBO168" s="500"/>
      <c r="XBP168" s="500"/>
      <c r="XBQ168" s="500"/>
      <c r="XBR168" s="500"/>
      <c r="XBS168" s="500"/>
      <c r="XBT168" s="500"/>
      <c r="XBU168" s="500"/>
      <c r="XBV168" s="500"/>
      <c r="XBW168" s="500"/>
      <c r="XBX168" s="500"/>
      <c r="XBY168" s="500"/>
      <c r="XBZ168" s="500"/>
      <c r="XCA168" s="500"/>
      <c r="XCB168" s="500"/>
      <c r="XCC168" s="500"/>
      <c r="XCD168" s="500"/>
      <c r="XCE168" s="500"/>
      <c r="XCF168" s="500"/>
      <c r="XCG168" s="500"/>
      <c r="XCH168" s="500"/>
      <c r="XCI168" s="500"/>
      <c r="XCJ168" s="500"/>
      <c r="XCK168" s="500"/>
      <c r="XCL168" s="500"/>
      <c r="XCM168" s="500"/>
      <c r="XCN168" s="500"/>
      <c r="XCO168" s="500"/>
      <c r="XCP168" s="500"/>
      <c r="XCQ168" s="500"/>
      <c r="XCR168" s="500"/>
      <c r="XCS168" s="500"/>
      <c r="XCT168" s="500"/>
      <c r="XCU168" s="500"/>
      <c r="XCV168" s="500"/>
      <c r="XCW168" s="500"/>
      <c r="XCX168" s="500"/>
      <c r="XCY168" s="500"/>
      <c r="XCZ168" s="500"/>
      <c r="XDA168" s="500"/>
      <c r="XDB168" s="500"/>
      <c r="XDC168" s="500"/>
      <c r="XDD168" s="500"/>
      <c r="XDE168" s="500"/>
      <c r="XDF168" s="500"/>
      <c r="XDG168" s="500"/>
      <c r="XDH168" s="500"/>
      <c r="XDI168" s="500"/>
      <c r="XDJ168" s="500"/>
      <c r="XDK168" s="500"/>
      <c r="XDL168" s="500"/>
      <c r="XDM168" s="500"/>
      <c r="XDN168" s="500"/>
      <c r="XDO168" s="500"/>
      <c r="XDP168" s="500"/>
      <c r="XDQ168" s="500"/>
      <c r="XDR168" s="500"/>
      <c r="XDS168" s="500"/>
      <c r="XDT168" s="500"/>
      <c r="XDU168" s="500"/>
      <c r="XDV168" s="500"/>
      <c r="XDW168" s="500"/>
      <c r="XDX168" s="500"/>
      <c r="XDY168" s="500"/>
      <c r="XDZ168" s="500"/>
      <c r="XEA168" s="500"/>
      <c r="XEB168" s="500"/>
      <c r="XEC168" s="500"/>
      <c r="XED168" s="500"/>
      <c r="XEE168" s="500"/>
      <c r="XEF168" s="500"/>
      <c r="XEG168" s="500"/>
      <c r="XEH168" s="500"/>
      <c r="XEI168" s="500"/>
      <c r="XEJ168" s="500"/>
      <c r="XEK168" s="500"/>
      <c r="XEL168" s="500"/>
      <c r="XEM168" s="500"/>
      <c r="XEN168" s="500"/>
      <c r="XEO168" s="500"/>
      <c r="XEP168" s="500"/>
      <c r="XEQ168" s="500"/>
      <c r="XER168" s="500"/>
      <c r="XES168" s="500"/>
      <c r="XET168" s="500"/>
      <c r="XEU168" s="500"/>
      <c r="XEV168" s="500"/>
      <c r="XEW168" s="500"/>
      <c r="XEX168" s="500"/>
      <c r="XEY168" s="500"/>
      <c r="XEZ168" s="500"/>
      <c r="XFA168" s="500"/>
      <c r="XFB168" s="500"/>
      <c r="XFC168" s="500"/>
      <c r="XFD168" s="500"/>
    </row>
    <row r="169" spans="1:16384" s="500" customFormat="1" ht="21" customHeight="1">
      <c r="A169" s="501"/>
      <c r="B169" s="503"/>
      <c r="C169" s="505"/>
      <c r="D169" s="499"/>
      <c r="E169" s="503"/>
      <c r="F169" s="503"/>
      <c r="G169" s="503"/>
      <c r="H169" s="1614"/>
      <c r="I169" s="1614"/>
      <c r="J169" s="1615"/>
      <c r="K169" s="1976" t="s">
        <v>1781</v>
      </c>
      <c r="L169" s="2006" t="s">
        <v>6</v>
      </c>
      <c r="M169" s="1618">
        <f t="shared" si="37"/>
        <v>8050</v>
      </c>
      <c r="N169" s="1980"/>
      <c r="O169" s="1981">
        <v>35000</v>
      </c>
      <c r="P169" s="1981">
        <v>230</v>
      </c>
      <c r="Q169" s="2001">
        <v>1</v>
      </c>
      <c r="R169" s="2003">
        <f t="shared" ref="R169:R172" si="39">ROUNDUP(O169*P169*Q169/1000,0)</f>
        <v>8050</v>
      </c>
      <c r="S169" s="1998"/>
      <c r="T169" s="1999"/>
      <c r="U169" s="497"/>
    </row>
    <row r="170" spans="1:16384" s="500" customFormat="1" ht="21" customHeight="1">
      <c r="A170" s="501"/>
      <c r="B170" s="503"/>
      <c r="C170" s="505"/>
      <c r="D170" s="499"/>
      <c r="E170" s="503"/>
      <c r="F170" s="503"/>
      <c r="G170" s="503"/>
      <c r="H170" s="1614"/>
      <c r="I170" s="1614"/>
      <c r="J170" s="1615"/>
      <c r="K170" s="710" t="s">
        <v>1782</v>
      </c>
      <c r="L170" s="1978" t="s">
        <v>6</v>
      </c>
      <c r="M170" s="1618">
        <f t="shared" si="37"/>
        <v>7588</v>
      </c>
      <c r="N170" s="1980"/>
      <c r="O170" s="1981">
        <v>7000</v>
      </c>
      <c r="P170" s="1981">
        <v>271</v>
      </c>
      <c r="Q170" s="1998">
        <v>4</v>
      </c>
      <c r="R170" s="2003">
        <f t="shared" si="39"/>
        <v>7588</v>
      </c>
      <c r="S170" s="1998"/>
      <c r="T170" s="1999"/>
      <c r="U170" s="497"/>
    </row>
    <row r="171" spans="1:16384" s="500" customFormat="1" ht="21" customHeight="1">
      <c r="A171" s="501"/>
      <c r="B171" s="503"/>
      <c r="C171" s="505"/>
      <c r="D171" s="499"/>
      <c r="E171" s="503"/>
      <c r="F171" s="503"/>
      <c r="G171" s="503"/>
      <c r="H171" s="1614"/>
      <c r="I171" s="1614"/>
      <c r="J171" s="1615"/>
      <c r="K171" s="710" t="s">
        <v>1783</v>
      </c>
      <c r="L171" s="1978" t="s">
        <v>6</v>
      </c>
      <c r="M171" s="1618">
        <f t="shared" si="37"/>
        <v>2800</v>
      </c>
      <c r="N171" s="1980"/>
      <c r="O171" s="1981">
        <v>14000</v>
      </c>
      <c r="P171" s="1981">
        <v>200</v>
      </c>
      <c r="Q171" s="1998">
        <v>1</v>
      </c>
      <c r="R171" s="2003">
        <f t="shared" si="39"/>
        <v>2800</v>
      </c>
      <c r="S171" s="1998"/>
      <c r="T171" s="1999"/>
      <c r="U171" s="497"/>
    </row>
    <row r="172" spans="1:16384" s="500" customFormat="1" ht="21" customHeight="1">
      <c r="A172" s="501"/>
      <c r="B172" s="503"/>
      <c r="C172" s="505"/>
      <c r="D172" s="499"/>
      <c r="E172" s="503"/>
      <c r="F172" s="503"/>
      <c r="G172" s="503"/>
      <c r="H172" s="1614"/>
      <c r="I172" s="1614"/>
      <c r="J172" s="1615"/>
      <c r="K172" s="710" t="s">
        <v>2415</v>
      </c>
      <c r="L172" s="1978" t="s">
        <v>6</v>
      </c>
      <c r="M172" s="1618">
        <f t="shared" si="37"/>
        <v>13550</v>
      </c>
      <c r="N172" s="1980"/>
      <c r="O172" s="1981">
        <v>500</v>
      </c>
      <c r="P172" s="1981">
        <v>271</v>
      </c>
      <c r="Q172" s="1998">
        <v>100</v>
      </c>
      <c r="R172" s="2003">
        <f t="shared" si="39"/>
        <v>13550</v>
      </c>
      <c r="S172" s="1998"/>
      <c r="T172" s="1999"/>
    </row>
    <row r="173" spans="1:16384" s="500" customFormat="1" ht="21" customHeight="1">
      <c r="A173" s="501"/>
      <c r="B173" s="503"/>
      <c r="C173" s="505"/>
      <c r="D173" s="499"/>
      <c r="E173" s="503"/>
      <c r="F173" s="503"/>
      <c r="G173" s="503"/>
      <c r="H173" s="1614"/>
      <c r="I173" s="1614"/>
      <c r="J173" s="1615"/>
      <c r="K173" s="931" t="s">
        <v>1784</v>
      </c>
      <c r="L173" s="1978" t="s">
        <v>6</v>
      </c>
      <c r="M173" s="1979">
        <f>S173</f>
        <v>325200</v>
      </c>
      <c r="N173" s="1980"/>
      <c r="O173" s="1981">
        <v>4000</v>
      </c>
      <c r="P173" s="1981">
        <v>271</v>
      </c>
      <c r="Q173" s="1998">
        <v>25</v>
      </c>
      <c r="R173" s="1998">
        <v>12</v>
      </c>
      <c r="S173" s="1974">
        <f t="shared" ref="S173" si="40">ROUNDUP(O173*P173*Q173*R173/1000,0)</f>
        <v>325200</v>
      </c>
      <c r="T173" s="1999"/>
    </row>
    <row r="174" spans="1:16384" s="500" customFormat="1" ht="21" customHeight="1">
      <c r="A174" s="501"/>
      <c r="B174" s="503"/>
      <c r="C174" s="505"/>
      <c r="D174" s="499"/>
      <c r="E174" s="503"/>
      <c r="F174" s="503"/>
      <c r="G174" s="503"/>
      <c r="H174" s="1614"/>
      <c r="I174" s="1614"/>
      <c r="J174" s="1615"/>
      <c r="K174" s="710" t="s">
        <v>1785</v>
      </c>
      <c r="L174" s="1978" t="s">
        <v>6</v>
      </c>
      <c r="M174" s="1979">
        <f t="shared" si="37"/>
        <v>1000</v>
      </c>
      <c r="N174" s="1980"/>
      <c r="O174" s="1981">
        <v>10000</v>
      </c>
      <c r="P174" s="1981">
        <v>100</v>
      </c>
      <c r="Q174" s="1998">
        <v>1</v>
      </c>
      <c r="R174" s="2003">
        <f t="shared" ref="R174:R175" si="41">ROUNDUP(O174*P174*Q174/1000,0)</f>
        <v>1000</v>
      </c>
      <c r="S174" s="1998"/>
      <c r="T174" s="1999"/>
    </row>
    <row r="175" spans="1:16384" s="500" customFormat="1" ht="21" customHeight="1">
      <c r="A175" s="501"/>
      <c r="B175" s="503"/>
      <c r="C175" s="505"/>
      <c r="D175" s="499"/>
      <c r="E175" s="503"/>
      <c r="F175" s="503"/>
      <c r="G175" s="503"/>
      <c r="H175" s="1614"/>
      <c r="I175" s="1614"/>
      <c r="J175" s="1615"/>
      <c r="K175" s="710" t="s">
        <v>1786</v>
      </c>
      <c r="L175" s="1978" t="s">
        <v>6</v>
      </c>
      <c r="M175" s="1979">
        <f t="shared" si="37"/>
        <v>300</v>
      </c>
      <c r="N175" s="1980"/>
      <c r="O175" s="1981">
        <v>15000</v>
      </c>
      <c r="P175" s="1981">
        <v>20</v>
      </c>
      <c r="Q175" s="1998">
        <v>1</v>
      </c>
      <c r="R175" s="2003">
        <f t="shared" si="41"/>
        <v>300</v>
      </c>
      <c r="S175" s="1998"/>
      <c r="T175" s="1999"/>
    </row>
    <row r="176" spans="1:16384" s="500" customFormat="1" ht="21" customHeight="1">
      <c r="A176" s="501"/>
      <c r="B176" s="503"/>
      <c r="C176" s="505"/>
      <c r="D176" s="499"/>
      <c r="E176" s="505"/>
      <c r="F176" s="505"/>
      <c r="G176" s="505"/>
      <c r="H176" s="1614"/>
      <c r="I176" s="1614"/>
      <c r="J176" s="1615"/>
      <c r="K176" s="931" t="s">
        <v>1787</v>
      </c>
      <c r="L176" s="2006" t="s">
        <v>6</v>
      </c>
      <c r="M176" s="1979">
        <f>S176</f>
        <v>3888</v>
      </c>
      <c r="N176" s="1980"/>
      <c r="O176" s="1981">
        <v>9000</v>
      </c>
      <c r="P176" s="1981">
        <v>6</v>
      </c>
      <c r="Q176" s="1998">
        <v>6</v>
      </c>
      <c r="R176" s="1998">
        <v>12</v>
      </c>
      <c r="S176" s="1974">
        <f t="shared" ref="S176" si="42">ROUNDUP(O176*P176*Q176*R176/1000,0)</f>
        <v>3888</v>
      </c>
      <c r="T176" s="700"/>
    </row>
    <row r="177" spans="1:20" s="500" customFormat="1" ht="21" customHeight="1">
      <c r="A177" s="501"/>
      <c r="B177" s="503"/>
      <c r="C177" s="503"/>
      <c r="D177" s="499"/>
      <c r="E177" s="503"/>
      <c r="F177" s="503"/>
      <c r="G177" s="503"/>
      <c r="H177" s="1614"/>
      <c r="I177" s="1614"/>
      <c r="J177" s="1615"/>
      <c r="K177" s="710" t="s">
        <v>1788</v>
      </c>
      <c r="L177" s="1978" t="s">
        <v>6</v>
      </c>
      <c r="M177" s="1618">
        <f>R177</f>
        <v>0</v>
      </c>
      <c r="N177" s="1980"/>
      <c r="O177" s="1981">
        <v>500000</v>
      </c>
      <c r="P177" s="1981">
        <v>12</v>
      </c>
      <c r="Q177" s="1998">
        <v>0</v>
      </c>
      <c r="R177" s="2003">
        <f t="shared" ref="R177" si="43">ROUNDUP(O177*P177*Q177/1000,0)</f>
        <v>0</v>
      </c>
      <c r="S177" s="2007"/>
      <c r="T177" s="708"/>
    </row>
    <row r="178" spans="1:20" s="500" customFormat="1" ht="21" customHeight="1">
      <c r="A178" s="64"/>
      <c r="B178" s="22"/>
      <c r="C178" s="22"/>
      <c r="D178" s="1026" t="s">
        <v>2472</v>
      </c>
      <c r="E178" s="1027"/>
      <c r="F178" s="1027"/>
      <c r="G178" s="1028"/>
      <c r="H178" s="1029">
        <f>H179</f>
        <v>426800</v>
      </c>
      <c r="I178" s="1029">
        <v>311200</v>
      </c>
      <c r="J178" s="1183">
        <f>H178-I178</f>
        <v>115600</v>
      </c>
      <c r="K178" s="1055"/>
      <c r="L178" s="1056"/>
      <c r="M178" s="1057"/>
      <c r="N178" s="1980"/>
      <c r="O178" s="1981"/>
      <c r="P178" s="1981"/>
      <c r="Q178" s="2008"/>
      <c r="R178" s="2008"/>
      <c r="S178" s="1972"/>
      <c r="T178" s="1973"/>
    </row>
    <row r="179" spans="1:20" s="500" customFormat="1" ht="21" customHeight="1">
      <c r="A179" s="64"/>
      <c r="B179" s="22"/>
      <c r="C179" s="832"/>
      <c r="D179" s="1032"/>
      <c r="E179" s="1026" t="s">
        <v>855</v>
      </c>
      <c r="F179" s="1027"/>
      <c r="G179" s="1028"/>
      <c r="H179" s="825">
        <f>H180</f>
        <v>426800</v>
      </c>
      <c r="I179" s="825">
        <v>311200</v>
      </c>
      <c r="J179" s="1183">
        <f>H179-I179</f>
        <v>115600</v>
      </c>
      <c r="K179" s="728"/>
      <c r="L179" s="827"/>
      <c r="M179" s="694" t="e">
        <f>#REF!+M422+M428+M432+M440</f>
        <v>#REF!</v>
      </c>
      <c r="N179" s="1980"/>
      <c r="O179" s="1981"/>
      <c r="P179" s="1981"/>
      <c r="Q179" s="2007"/>
      <c r="R179" s="2007"/>
      <c r="S179" s="1986"/>
      <c r="T179" s="1987"/>
    </row>
    <row r="180" spans="1:20" s="500" customFormat="1" ht="21" customHeight="1">
      <c r="A180" s="501"/>
      <c r="B180" s="503"/>
      <c r="C180" s="503"/>
      <c r="D180" s="503"/>
      <c r="E180" s="503"/>
      <c r="F180" s="1144" t="s">
        <v>344</v>
      </c>
      <c r="G180" s="1144"/>
      <c r="H180" s="1177">
        <f>H181</f>
        <v>426800</v>
      </c>
      <c r="I180" s="1177">
        <v>311200</v>
      </c>
      <c r="J180" s="509">
        <f>H180-I180</f>
        <v>115600</v>
      </c>
      <c r="K180" s="536"/>
      <c r="L180" s="537"/>
      <c r="M180" s="538"/>
      <c r="N180" s="1980"/>
      <c r="O180" s="1981"/>
      <c r="P180" s="1981"/>
      <c r="Q180" s="1986"/>
      <c r="R180" s="1986"/>
      <c r="S180" s="1974"/>
      <c r="T180" s="1975"/>
    </row>
    <row r="181" spans="1:20" s="500" customFormat="1" ht="21" customHeight="1">
      <c r="A181" s="501"/>
      <c r="B181" s="503"/>
      <c r="C181" s="503"/>
      <c r="D181" s="503"/>
      <c r="E181" s="503"/>
      <c r="F181" s="1188"/>
      <c r="G181" s="502" t="s">
        <v>43</v>
      </c>
      <c r="H181" s="1168">
        <f>M181</f>
        <v>426800</v>
      </c>
      <c r="I181" s="1168">
        <v>311200</v>
      </c>
      <c r="J181" s="520">
        <f>H181-I181</f>
        <v>115600</v>
      </c>
      <c r="K181" s="2009"/>
      <c r="L181" s="1179"/>
      <c r="M181" s="1189">
        <f>M182+M183+M184+M186+M185</f>
        <v>426800</v>
      </c>
      <c r="N181" s="1980"/>
      <c r="O181" s="1981"/>
      <c r="P181" s="1981"/>
      <c r="Q181" s="1984"/>
      <c r="R181" s="1984"/>
      <c r="S181" s="1974"/>
      <c r="T181" s="1999"/>
    </row>
    <row r="182" spans="1:20" s="500" customFormat="1" ht="21" customHeight="1">
      <c r="A182" s="501"/>
      <c r="B182" s="503"/>
      <c r="C182" s="503"/>
      <c r="D182" s="503"/>
      <c r="E182" s="503"/>
      <c r="F182" s="1052"/>
      <c r="G182" s="503"/>
      <c r="H182" s="1170"/>
      <c r="I182" s="1170"/>
      <c r="J182" s="515"/>
      <c r="K182" s="931" t="s">
        <v>2416</v>
      </c>
      <c r="L182" s="853" t="s">
        <v>6</v>
      </c>
      <c r="M182" s="638">
        <f t="shared" ref="M182:M186" si="44">R182</f>
        <v>5800</v>
      </c>
      <c r="N182" s="1980"/>
      <c r="O182" s="1981">
        <v>5800000</v>
      </c>
      <c r="P182" s="1981">
        <v>1</v>
      </c>
      <c r="Q182" s="1974">
        <v>1</v>
      </c>
      <c r="R182" s="2003">
        <f t="shared" ref="R182:R186" si="45">ROUNDUP(O182*P182*Q182/1000,0)</f>
        <v>5800</v>
      </c>
      <c r="S182" s="1974"/>
      <c r="T182" s="1975"/>
    </row>
    <row r="183" spans="1:20" s="500" customFormat="1" ht="21" customHeight="1">
      <c r="A183" s="501"/>
      <c r="B183" s="503"/>
      <c r="C183" s="503"/>
      <c r="D183" s="503"/>
      <c r="E183" s="503"/>
      <c r="F183" s="1052"/>
      <c r="G183" s="1190"/>
      <c r="H183" s="1170"/>
      <c r="I183" s="1170"/>
      <c r="J183" s="515"/>
      <c r="K183" s="931" t="s">
        <v>1789</v>
      </c>
      <c r="L183" s="1182" t="s">
        <v>6</v>
      </c>
      <c r="M183" s="638">
        <f t="shared" si="44"/>
        <v>260000</v>
      </c>
      <c r="N183" s="1980"/>
      <c r="O183" s="1981">
        <v>5000000</v>
      </c>
      <c r="P183" s="1981">
        <v>52</v>
      </c>
      <c r="Q183" s="1974">
        <v>1</v>
      </c>
      <c r="R183" s="2003">
        <f t="shared" si="45"/>
        <v>260000</v>
      </c>
      <c r="S183" s="1974"/>
      <c r="T183" s="1975"/>
    </row>
    <row r="184" spans="1:20" s="500" customFormat="1" ht="21" customHeight="1">
      <c r="A184" s="501"/>
      <c r="B184" s="503"/>
      <c r="C184" s="503"/>
      <c r="D184" s="503"/>
      <c r="E184" s="503"/>
      <c r="F184" s="1052"/>
      <c r="G184" s="1191"/>
      <c r="H184" s="1170"/>
      <c r="I184" s="1170"/>
      <c r="J184" s="515"/>
      <c r="K184" s="916" t="s">
        <v>2417</v>
      </c>
      <c r="L184" s="1187" t="s">
        <v>6</v>
      </c>
      <c r="M184" s="638">
        <f t="shared" si="44"/>
        <v>23000</v>
      </c>
      <c r="N184" s="1980"/>
      <c r="O184" s="1981">
        <v>23000000</v>
      </c>
      <c r="P184" s="1981">
        <v>1</v>
      </c>
      <c r="Q184" s="1974">
        <v>1</v>
      </c>
      <c r="R184" s="2003">
        <f t="shared" si="45"/>
        <v>23000</v>
      </c>
      <c r="S184" s="1974"/>
      <c r="T184" s="1999"/>
    </row>
    <row r="185" spans="1:20" s="500" customFormat="1" ht="21" customHeight="1">
      <c r="A185" s="501"/>
      <c r="B185" s="503"/>
      <c r="C185" s="503"/>
      <c r="D185" s="503"/>
      <c r="E185" s="503"/>
      <c r="F185" s="1052"/>
      <c r="G185" s="1191"/>
      <c r="H185" s="1170"/>
      <c r="I185" s="1170"/>
      <c r="J185" s="515"/>
      <c r="K185" s="916" t="s">
        <v>1790</v>
      </c>
      <c r="L185" s="1187" t="s">
        <v>292</v>
      </c>
      <c r="M185" s="638">
        <f t="shared" si="44"/>
        <v>120000</v>
      </c>
      <c r="N185" s="1980"/>
      <c r="O185" s="1981">
        <v>5000000</v>
      </c>
      <c r="P185" s="1981">
        <v>24</v>
      </c>
      <c r="Q185" s="1974">
        <v>1</v>
      </c>
      <c r="R185" s="2003">
        <f t="shared" si="45"/>
        <v>120000</v>
      </c>
      <c r="S185" s="2008"/>
      <c r="T185" s="700"/>
    </row>
    <row r="186" spans="1:20" s="500" customFormat="1" ht="21" customHeight="1">
      <c r="A186" s="501"/>
      <c r="B186" s="503"/>
      <c r="C186" s="503"/>
      <c r="D186" s="503"/>
      <c r="E186" s="503"/>
      <c r="F186" s="1052"/>
      <c r="G186" s="1191"/>
      <c r="H186" s="1170"/>
      <c r="I186" s="1170"/>
      <c r="J186" s="515"/>
      <c r="K186" s="916" t="s">
        <v>1791</v>
      </c>
      <c r="L186" s="1187" t="s">
        <v>6</v>
      </c>
      <c r="M186" s="638">
        <f t="shared" si="44"/>
        <v>18000</v>
      </c>
      <c r="N186" s="1980"/>
      <c r="O186" s="1981">
        <v>4500000</v>
      </c>
      <c r="P186" s="1981">
        <v>4</v>
      </c>
      <c r="Q186" s="1974">
        <v>1</v>
      </c>
      <c r="R186" s="2003">
        <f t="shared" si="45"/>
        <v>18000</v>
      </c>
      <c r="S186" s="2008"/>
      <c r="T186" s="700"/>
    </row>
    <row r="187" spans="1:20" s="1201" customFormat="1" ht="16.5">
      <c r="A187" s="64"/>
      <c r="B187" s="22"/>
      <c r="C187" s="1339" t="s">
        <v>916</v>
      </c>
      <c r="D187" s="1027"/>
      <c r="E187" s="1027"/>
      <c r="F187" s="1027"/>
      <c r="G187" s="1028"/>
      <c r="H187" s="755">
        <f>H189</f>
        <v>100803</v>
      </c>
      <c r="I187" s="2010">
        <v>101745</v>
      </c>
      <c r="J187" s="477">
        <f t="shared" ref="J187" si="46">H187-I187</f>
        <v>-942</v>
      </c>
      <c r="K187" s="1119"/>
      <c r="L187" s="1056"/>
      <c r="M187" s="1057"/>
    </row>
    <row r="188" spans="1:20" s="1201" customFormat="1" ht="16.5">
      <c r="A188" s="64"/>
      <c r="B188" s="22"/>
      <c r="C188" s="22"/>
      <c r="D188" s="1026" t="s">
        <v>892</v>
      </c>
      <c r="E188" s="1027"/>
      <c r="F188" s="1027"/>
      <c r="G188" s="1028"/>
      <c r="H188" s="755">
        <f>H189</f>
        <v>100803</v>
      </c>
      <c r="I188" s="921">
        <v>101745</v>
      </c>
      <c r="J188" s="476">
        <f>H188-I188</f>
        <v>-942</v>
      </c>
      <c r="K188" s="1055"/>
      <c r="L188" s="1112"/>
      <c r="M188" s="1057"/>
    </row>
    <row r="189" spans="1:20" s="1201" customFormat="1" ht="16.5">
      <c r="A189" s="64"/>
      <c r="B189" s="22"/>
      <c r="C189" s="832"/>
      <c r="D189" s="1032"/>
      <c r="E189" s="1026" t="s">
        <v>855</v>
      </c>
      <c r="F189" s="1027"/>
      <c r="G189" s="1028"/>
      <c r="H189" s="755">
        <f>H190+H232+H235</f>
        <v>100803</v>
      </c>
      <c r="I189" s="921">
        <v>101745</v>
      </c>
      <c r="J189" s="476">
        <f>H189-I189</f>
        <v>-942</v>
      </c>
      <c r="K189" s="728"/>
      <c r="L189" s="827"/>
      <c r="M189" s="694" t="e">
        <f>#REF!+M443+M449+M453+M461</f>
        <v>#REF!</v>
      </c>
    </row>
    <row r="190" spans="1:20" s="1201" customFormat="1" ht="16.5">
      <c r="A190" s="64"/>
      <c r="B190" s="22"/>
      <c r="C190" s="832"/>
      <c r="D190" s="832"/>
      <c r="E190" s="1130"/>
      <c r="F190" s="3005" t="s">
        <v>49</v>
      </c>
      <c r="G190" s="3006"/>
      <c r="H190" s="923">
        <f>H191+H199+H206+H212+H219+H228</f>
        <v>98403</v>
      </c>
      <c r="I190" s="923">
        <v>98745</v>
      </c>
      <c r="J190" s="922">
        <f t="shared" ref="J190" si="47">H190-I190</f>
        <v>-342</v>
      </c>
      <c r="K190" s="1193"/>
      <c r="L190" s="1194"/>
      <c r="M190" s="333"/>
    </row>
    <row r="191" spans="1:20" s="1201" customFormat="1" ht="24" customHeight="1">
      <c r="A191" s="1195"/>
      <c r="B191" s="1196"/>
      <c r="C191" s="1196"/>
      <c r="D191" s="1197"/>
      <c r="E191" s="1712"/>
      <c r="F191" s="1198"/>
      <c r="G191" s="2011" t="s">
        <v>340</v>
      </c>
      <c r="H191" s="923">
        <f>M191</f>
        <v>3078</v>
      </c>
      <c r="I191" s="923">
        <v>3678</v>
      </c>
      <c r="J191" s="305">
        <f>H191-I191</f>
        <v>-600</v>
      </c>
      <c r="K191" s="1199"/>
      <c r="L191" s="1200"/>
      <c r="M191" s="1869">
        <f>M192+M195+M196+M198+M197</f>
        <v>3078</v>
      </c>
    </row>
    <row r="192" spans="1:20" s="1201" customFormat="1" ht="16.5">
      <c r="A192" s="1195"/>
      <c r="B192" s="1196"/>
      <c r="C192" s="1202"/>
      <c r="D192" s="1196"/>
      <c r="E192" s="1196"/>
      <c r="F192" s="1196"/>
      <c r="G192" s="1202"/>
      <c r="H192" s="924"/>
      <c r="I192" s="924"/>
      <c r="J192" s="306"/>
      <c r="K192" s="2638" t="s">
        <v>349</v>
      </c>
      <c r="L192" s="2639"/>
      <c r="M192" s="322">
        <f>SUM(M193:M194)</f>
        <v>2400</v>
      </c>
    </row>
    <row r="193" spans="1:13" s="2616" customFormat="1" ht="16.5">
      <c r="A193" s="2613"/>
      <c r="B193" s="2614"/>
      <c r="C193" s="2614"/>
      <c r="D193" s="2614"/>
      <c r="E193" s="2614"/>
      <c r="F193" s="2614"/>
      <c r="G193" s="2615"/>
      <c r="H193" s="924"/>
      <c r="I193" s="924"/>
      <c r="J193" s="306"/>
      <c r="K193" s="2617" t="s">
        <v>2273</v>
      </c>
      <c r="L193" s="2618" t="s">
        <v>292</v>
      </c>
      <c r="M193" s="322">
        <v>1200</v>
      </c>
    </row>
    <row r="194" spans="1:13" s="1201" customFormat="1" ht="16.5">
      <c r="A194" s="1195"/>
      <c r="B194" s="1196"/>
      <c r="C194" s="1202"/>
      <c r="D194" s="1196"/>
      <c r="E194" s="1196"/>
      <c r="F194" s="1196"/>
      <c r="G194" s="1202"/>
      <c r="H194" s="924"/>
      <c r="I194" s="924"/>
      <c r="J194" s="306"/>
      <c r="K194" s="2617" t="s">
        <v>1001</v>
      </c>
      <c r="L194" s="2618" t="s">
        <v>292</v>
      </c>
      <c r="M194" s="322">
        <v>1200</v>
      </c>
    </row>
    <row r="195" spans="1:13" s="1201" customFormat="1" ht="16.5">
      <c r="A195" s="1195"/>
      <c r="B195" s="1196"/>
      <c r="C195" s="1202"/>
      <c r="D195" s="1196"/>
      <c r="E195" s="1196"/>
      <c r="F195" s="1196"/>
      <c r="G195" s="1202"/>
      <c r="H195" s="924"/>
      <c r="I195" s="924"/>
      <c r="J195" s="306"/>
      <c r="K195" s="2621" t="s">
        <v>2284</v>
      </c>
      <c r="L195" s="2622" t="s">
        <v>292</v>
      </c>
      <c r="M195" s="1554">
        <v>100</v>
      </c>
    </row>
    <row r="196" spans="1:13" s="1201" customFormat="1" ht="16.5">
      <c r="A196" s="1195"/>
      <c r="B196" s="1196"/>
      <c r="C196" s="1202"/>
      <c r="D196" s="1196"/>
      <c r="E196" s="1196"/>
      <c r="F196" s="1196"/>
      <c r="G196" s="1202"/>
      <c r="H196" s="924"/>
      <c r="I196" s="924"/>
      <c r="J196" s="306"/>
      <c r="K196" s="2621" t="s">
        <v>1002</v>
      </c>
      <c r="L196" s="2639" t="s">
        <v>292</v>
      </c>
      <c r="M196" s="1554">
        <v>300</v>
      </c>
    </row>
    <row r="197" spans="1:13" s="1201" customFormat="1" ht="16.5">
      <c r="A197" s="1195"/>
      <c r="B197" s="1196"/>
      <c r="C197" s="1202"/>
      <c r="D197" s="1196"/>
      <c r="E197" s="1196"/>
      <c r="F197" s="1196"/>
      <c r="G197" s="1202"/>
      <c r="H197" s="924"/>
      <c r="I197" s="924"/>
      <c r="J197" s="306"/>
      <c r="K197" s="2623" t="s">
        <v>1792</v>
      </c>
      <c r="L197" s="2640" t="s">
        <v>6</v>
      </c>
      <c r="M197" s="1554">
        <f>26*3</f>
        <v>78</v>
      </c>
    </row>
    <row r="198" spans="1:13" s="1201" customFormat="1" ht="16.5">
      <c r="A198" s="1195"/>
      <c r="B198" s="1196"/>
      <c r="C198" s="1202"/>
      <c r="D198" s="1196"/>
      <c r="E198" s="1196"/>
      <c r="F198" s="1196"/>
      <c r="G198" s="1202"/>
      <c r="H198" s="924"/>
      <c r="I198" s="924"/>
      <c r="J198" s="306"/>
      <c r="K198" s="2621" t="s">
        <v>2274</v>
      </c>
      <c r="L198" s="2640" t="s">
        <v>6</v>
      </c>
      <c r="M198" s="1554">
        <v>200</v>
      </c>
    </row>
    <row r="199" spans="1:13" s="1201" customFormat="1" ht="16.5">
      <c r="A199" s="1195"/>
      <c r="B199" s="1196"/>
      <c r="C199" s="1202"/>
      <c r="D199" s="1196"/>
      <c r="E199" s="1196"/>
      <c r="F199" s="1196"/>
      <c r="G199" s="2011" t="s">
        <v>330</v>
      </c>
      <c r="H199" s="923">
        <f>M199</f>
        <v>66271</v>
      </c>
      <c r="I199" s="923">
        <v>66271</v>
      </c>
      <c r="J199" s="305">
        <f>H199-I199</f>
        <v>0</v>
      </c>
      <c r="K199" s="1205"/>
      <c r="L199" s="1206"/>
      <c r="M199" s="1420">
        <f>M200+M201+M202+M204+M205</f>
        <v>66271</v>
      </c>
    </row>
    <row r="200" spans="1:13" s="1201" customFormat="1" ht="16.5">
      <c r="A200" s="1195"/>
      <c r="B200" s="1196"/>
      <c r="C200" s="1202"/>
      <c r="D200" s="1197"/>
      <c r="E200" s="1197"/>
      <c r="F200" s="1196"/>
      <c r="G200" s="1202"/>
      <c r="H200" s="924"/>
      <c r="I200" s="924"/>
      <c r="J200" s="306"/>
      <c r="K200" s="2619" t="s">
        <v>1793</v>
      </c>
      <c r="L200" s="2631" t="s">
        <v>292</v>
      </c>
      <c r="M200" s="1414">
        <v>6000</v>
      </c>
    </row>
    <row r="201" spans="1:13" s="1201" customFormat="1" ht="16.5">
      <c r="A201" s="1195"/>
      <c r="B201" s="1196"/>
      <c r="C201" s="1202"/>
      <c r="D201" s="1197"/>
      <c r="E201" s="1197"/>
      <c r="F201" s="1196"/>
      <c r="G201" s="1202"/>
      <c r="H201" s="924"/>
      <c r="I201" s="924"/>
      <c r="J201" s="926"/>
      <c r="K201" s="2619" t="s">
        <v>350</v>
      </c>
      <c r="L201" s="2620" t="s">
        <v>292</v>
      </c>
      <c r="M201" s="1414">
        <f>ROUND(88000*12*1/1000,0)</f>
        <v>1056</v>
      </c>
    </row>
    <row r="202" spans="1:13" s="1201" customFormat="1" ht="16.5">
      <c r="A202" s="1195"/>
      <c r="B202" s="1196"/>
      <c r="C202" s="1202"/>
      <c r="D202" s="1196"/>
      <c r="E202" s="1196"/>
      <c r="F202" s="1196"/>
      <c r="G202" s="1202"/>
      <c r="H202" s="924"/>
      <c r="I202" s="924"/>
      <c r="J202" s="926"/>
      <c r="K202" s="2632" t="s">
        <v>351</v>
      </c>
      <c r="L202" s="2620" t="s">
        <v>352</v>
      </c>
      <c r="M202" s="1414">
        <v>132</v>
      </c>
    </row>
    <row r="203" spans="1:13" s="1201" customFormat="1" ht="16.5">
      <c r="A203" s="1195"/>
      <c r="B203" s="1196"/>
      <c r="C203" s="1202"/>
      <c r="D203" s="1196"/>
      <c r="E203" s="1196"/>
      <c r="F203" s="1196"/>
      <c r="G203" s="1202"/>
      <c r="H203" s="924"/>
      <c r="I203" s="924"/>
      <c r="J203" s="926"/>
      <c r="K203" s="2619" t="s">
        <v>353</v>
      </c>
      <c r="L203" s="2633"/>
      <c r="M203" s="317"/>
    </row>
    <row r="204" spans="1:13" s="1201" customFormat="1" ht="16.5">
      <c r="A204" s="2014"/>
      <c r="B204" s="1196"/>
      <c r="C204" s="1196"/>
      <c r="D204" s="1196"/>
      <c r="E204" s="1196"/>
      <c r="F204" s="1196"/>
      <c r="G204" s="1202"/>
      <c r="H204" s="924"/>
      <c r="I204" s="924"/>
      <c r="J204" s="926"/>
      <c r="K204" s="2619" t="s">
        <v>2279</v>
      </c>
      <c r="L204" s="2634" t="s">
        <v>292</v>
      </c>
      <c r="M204" s="1414">
        <v>51283</v>
      </c>
    </row>
    <row r="205" spans="1:13" s="1201" customFormat="1" ht="16.5">
      <c r="A205" s="1195"/>
      <c r="B205" s="1196"/>
      <c r="C205" s="1202"/>
      <c r="D205" s="1196"/>
      <c r="E205" s="1196"/>
      <c r="F205" s="1196"/>
      <c r="G205" s="2015"/>
      <c r="H205" s="921"/>
      <c r="I205" s="921"/>
      <c r="J205" s="927"/>
      <c r="K205" s="2635" t="s">
        <v>2280</v>
      </c>
      <c r="L205" s="2636" t="s">
        <v>292</v>
      </c>
      <c r="M205" s="1418">
        <v>7800</v>
      </c>
    </row>
    <row r="206" spans="1:13" s="1201" customFormat="1" ht="16.5">
      <c r="A206" s="1195"/>
      <c r="B206" s="1196"/>
      <c r="C206" s="1202"/>
      <c r="D206" s="1196"/>
      <c r="E206" s="1196"/>
      <c r="F206" s="1196"/>
      <c r="G206" s="1202" t="s">
        <v>331</v>
      </c>
      <c r="H206" s="924">
        <f>M206</f>
        <v>11616</v>
      </c>
      <c r="I206" s="924">
        <v>10896</v>
      </c>
      <c r="J206" s="926">
        <f>H206-I206</f>
        <v>720</v>
      </c>
      <c r="K206" s="1208"/>
      <c r="L206" s="1209"/>
      <c r="M206" s="1389">
        <f>M207+M209+M210+M211+M208</f>
        <v>11616</v>
      </c>
    </row>
    <row r="207" spans="1:13" s="1201" customFormat="1" ht="16.5">
      <c r="A207" s="1195"/>
      <c r="B207" s="1196"/>
      <c r="C207" s="1202"/>
      <c r="D207" s="1196"/>
      <c r="E207" s="1196"/>
      <c r="F207" s="1196"/>
      <c r="G207" s="1202"/>
      <c r="H207" s="924"/>
      <c r="I207" s="924"/>
      <c r="J207" s="926"/>
      <c r="K207" s="2621" t="s">
        <v>2275</v>
      </c>
      <c r="L207" s="2622" t="s">
        <v>292</v>
      </c>
      <c r="M207" s="1554">
        <f>ROUND(20000*12/1000,0)</f>
        <v>240</v>
      </c>
    </row>
    <row r="208" spans="1:13" s="1201" customFormat="1" ht="16.5">
      <c r="A208" s="1195"/>
      <c r="B208" s="1196"/>
      <c r="C208" s="1202"/>
      <c r="D208" s="1197"/>
      <c r="E208" s="1197"/>
      <c r="F208" s="1196"/>
      <c r="G208" s="1202"/>
      <c r="H208" s="924"/>
      <c r="I208" s="924"/>
      <c r="J208" s="926"/>
      <c r="K208" s="2621" t="s">
        <v>2276</v>
      </c>
      <c r="L208" s="2622" t="s">
        <v>292</v>
      </c>
      <c r="M208" s="1554">
        <v>720</v>
      </c>
    </row>
    <row r="209" spans="1:13" s="1201" customFormat="1" ht="16.5">
      <c r="A209" s="1195"/>
      <c r="B209" s="1196"/>
      <c r="C209" s="1202"/>
      <c r="D209" s="1196"/>
      <c r="E209" s="1196"/>
      <c r="F209" s="1196"/>
      <c r="G209" s="1202"/>
      <c r="H209" s="924"/>
      <c r="I209" s="924"/>
      <c r="J209" s="926"/>
      <c r="K209" s="2621" t="s">
        <v>354</v>
      </c>
      <c r="L209" s="2618" t="s">
        <v>292</v>
      </c>
      <c r="M209" s="1554">
        <v>468</v>
      </c>
    </row>
    <row r="210" spans="1:13" s="1201" customFormat="1" ht="16.5">
      <c r="A210" s="1195"/>
      <c r="B210" s="1196"/>
      <c r="C210" s="1202"/>
      <c r="D210" s="1196"/>
      <c r="E210" s="1196"/>
      <c r="F210" s="1196"/>
      <c r="G210" s="1202"/>
      <c r="H210" s="924"/>
      <c r="I210" s="924"/>
      <c r="J210" s="926"/>
      <c r="K210" s="2621" t="s">
        <v>1003</v>
      </c>
      <c r="L210" s="2618" t="s">
        <v>292</v>
      </c>
      <c r="M210" s="1554">
        <v>9660</v>
      </c>
    </row>
    <row r="211" spans="1:13" s="1201" customFormat="1" ht="16.5">
      <c r="A211" s="1195"/>
      <c r="B211" s="1196"/>
      <c r="C211" s="1202"/>
      <c r="D211" s="1196"/>
      <c r="E211" s="1196"/>
      <c r="F211" s="1196"/>
      <c r="G211" s="1202"/>
      <c r="H211" s="924"/>
      <c r="I211" s="924"/>
      <c r="J211" s="926"/>
      <c r="K211" s="2623" t="s">
        <v>1794</v>
      </c>
      <c r="L211" s="2618" t="s">
        <v>292</v>
      </c>
      <c r="M211" s="1554">
        <v>528</v>
      </c>
    </row>
    <row r="212" spans="1:13" s="1201" customFormat="1" ht="16.5">
      <c r="A212" s="1195"/>
      <c r="B212" s="1196"/>
      <c r="C212" s="1202"/>
      <c r="D212" s="1196"/>
      <c r="E212" s="1196"/>
      <c r="F212" s="2016"/>
      <c r="G212" s="2011" t="s">
        <v>332</v>
      </c>
      <c r="H212" s="928">
        <f>M212</f>
        <v>2460</v>
      </c>
      <c r="I212" s="928">
        <v>2460</v>
      </c>
      <c r="J212" s="341">
        <f>H212-I212</f>
        <v>0</v>
      </c>
      <c r="K212" s="1211"/>
      <c r="L212" s="1212"/>
      <c r="M212" s="1213">
        <f>M213+M217</f>
        <v>2460</v>
      </c>
    </row>
    <row r="213" spans="1:13" s="1201" customFormat="1" ht="16.5">
      <c r="A213" s="1195"/>
      <c r="B213" s="1196"/>
      <c r="C213" s="1202"/>
      <c r="D213" s="1197"/>
      <c r="E213" s="1197"/>
      <c r="F213" s="1196"/>
      <c r="G213" s="1202"/>
      <c r="H213" s="924"/>
      <c r="I213" s="924"/>
      <c r="J213" s="926"/>
      <c r="K213" s="2619" t="s">
        <v>1795</v>
      </c>
      <c r="L213" s="2620" t="s">
        <v>292</v>
      </c>
      <c r="M213" s="1414">
        <f>SUM(M214:M215)</f>
        <v>1500</v>
      </c>
    </row>
    <row r="214" spans="1:13" s="1201" customFormat="1" ht="16.5">
      <c r="A214" s="1195"/>
      <c r="B214" s="1196"/>
      <c r="C214" s="1202"/>
      <c r="D214" s="1196"/>
      <c r="E214" s="1196"/>
      <c r="F214" s="1196"/>
      <c r="G214" s="1202"/>
      <c r="H214" s="924"/>
      <c r="I214" s="924"/>
      <c r="J214" s="926"/>
      <c r="K214" s="2619" t="s">
        <v>1796</v>
      </c>
      <c r="L214" s="2620" t="s">
        <v>292</v>
      </c>
      <c r="M214" s="1414">
        <v>900</v>
      </c>
    </row>
    <row r="215" spans="1:13" s="1201" customFormat="1" ht="16.5">
      <c r="A215" s="1195"/>
      <c r="B215" s="1196"/>
      <c r="C215" s="1202"/>
      <c r="D215" s="1196"/>
      <c r="E215" s="1196"/>
      <c r="F215" s="1196"/>
      <c r="G215" s="1202"/>
      <c r="H215" s="924"/>
      <c r="I215" s="924"/>
      <c r="J215" s="926"/>
      <c r="K215" s="2619" t="s">
        <v>1797</v>
      </c>
      <c r="L215" s="2620" t="s">
        <v>292</v>
      </c>
      <c r="M215" s="1414">
        <v>600</v>
      </c>
    </row>
    <row r="216" spans="1:13" s="1201" customFormat="1" ht="16.5">
      <c r="A216" s="1195"/>
      <c r="B216" s="1196"/>
      <c r="C216" s="1202"/>
      <c r="D216" s="1197"/>
      <c r="E216" s="1197"/>
      <c r="F216" s="1196"/>
      <c r="G216" s="1202"/>
      <c r="H216" s="924"/>
      <c r="I216" s="924"/>
      <c r="J216" s="926"/>
      <c r="K216" s="2619" t="s">
        <v>1798</v>
      </c>
      <c r="L216" s="2620"/>
      <c r="M216" s="1414"/>
    </row>
    <row r="217" spans="1:13" s="1201" customFormat="1" ht="16.5">
      <c r="A217" s="1195"/>
      <c r="B217" s="1196"/>
      <c r="C217" s="1202"/>
      <c r="D217" s="1196"/>
      <c r="E217" s="1196"/>
      <c r="F217" s="1196"/>
      <c r="G217" s="1202"/>
      <c r="H217" s="924"/>
      <c r="I217" s="924"/>
      <c r="J217" s="926"/>
      <c r="K217" s="2619" t="s">
        <v>2281</v>
      </c>
      <c r="L217" s="2620" t="s">
        <v>6</v>
      </c>
      <c r="M217" s="1414">
        <v>960</v>
      </c>
    </row>
    <row r="218" spans="1:13" s="1201" customFormat="1" ht="16.5">
      <c r="A218" s="1195"/>
      <c r="B218" s="1196"/>
      <c r="C218" s="1202"/>
      <c r="D218" s="1196"/>
      <c r="E218" s="1196"/>
      <c r="F218" s="1196"/>
      <c r="G218" s="1202"/>
      <c r="H218" s="924"/>
      <c r="I218" s="924"/>
      <c r="J218" s="926"/>
      <c r="K218" s="1204"/>
      <c r="L218" s="2013"/>
      <c r="M218" s="1414"/>
    </row>
    <row r="219" spans="1:13" s="1201" customFormat="1" ht="16.5">
      <c r="A219" s="1195"/>
      <c r="B219" s="1196"/>
      <c r="C219" s="1202"/>
      <c r="D219" s="1196"/>
      <c r="E219" s="1196"/>
      <c r="F219" s="1196"/>
      <c r="G219" s="2017" t="s">
        <v>355</v>
      </c>
      <c r="H219" s="923">
        <f>M219</f>
        <v>9740</v>
      </c>
      <c r="I219" s="923">
        <v>9740</v>
      </c>
      <c r="J219" s="341">
        <f>H219-I219</f>
        <v>0</v>
      </c>
      <c r="K219" s="1205"/>
      <c r="L219" s="1172"/>
      <c r="M219" s="1655">
        <f>M220+M223+M224+M225+M226+M227</f>
        <v>9740</v>
      </c>
    </row>
    <row r="220" spans="1:13" s="1201" customFormat="1" ht="16.5">
      <c r="A220" s="1195"/>
      <c r="B220" s="1196"/>
      <c r="C220" s="1202"/>
      <c r="D220" s="1196"/>
      <c r="E220" s="1196"/>
      <c r="F220" s="1196"/>
      <c r="G220" s="1202"/>
      <c r="H220" s="924"/>
      <c r="I220" s="924"/>
      <c r="J220" s="306"/>
      <c r="K220" s="2632" t="s">
        <v>1004</v>
      </c>
      <c r="L220" s="2620" t="s">
        <v>292</v>
      </c>
      <c r="M220" s="1414">
        <v>2400</v>
      </c>
    </row>
    <row r="221" spans="1:13" s="1201" customFormat="1" ht="16.5">
      <c r="A221" s="1195"/>
      <c r="B221" s="1196"/>
      <c r="C221" s="1202"/>
      <c r="D221" s="1196"/>
      <c r="E221" s="1196"/>
      <c r="F221" s="1196"/>
      <c r="G221" s="1202"/>
      <c r="H221" s="924"/>
      <c r="I221" s="924"/>
      <c r="J221" s="306"/>
      <c r="K221" s="2637" t="s">
        <v>356</v>
      </c>
      <c r="L221" s="2620"/>
      <c r="M221" s="1414"/>
    </row>
    <row r="222" spans="1:13" s="1201" customFormat="1" ht="16.5">
      <c r="A222" s="1195"/>
      <c r="B222" s="1196"/>
      <c r="C222" s="1202"/>
      <c r="D222" s="1196"/>
      <c r="E222" s="1196"/>
      <c r="F222" s="1196"/>
      <c r="G222" s="1202"/>
      <c r="H222" s="924"/>
      <c r="I222" s="924"/>
      <c r="J222" s="306"/>
      <c r="K222" s="925" t="s">
        <v>1005</v>
      </c>
      <c r="L222" s="2620"/>
      <c r="M222" s="1414"/>
    </row>
    <row r="223" spans="1:13" s="1201" customFormat="1" ht="16.5">
      <c r="A223" s="1195"/>
      <c r="B223" s="1196"/>
      <c r="C223" s="1202"/>
      <c r="D223" s="1196"/>
      <c r="E223" s="1196"/>
      <c r="F223" s="1196"/>
      <c r="G223" s="1202"/>
      <c r="H223" s="924"/>
      <c r="I223" s="924"/>
      <c r="J223" s="306"/>
      <c r="K223" s="925" t="s">
        <v>1006</v>
      </c>
      <c r="L223" s="2634" t="s">
        <v>292</v>
      </c>
      <c r="M223" s="1414">
        <v>800</v>
      </c>
    </row>
    <row r="224" spans="1:13" s="1201" customFormat="1" ht="16.5">
      <c r="A224" s="1195"/>
      <c r="B224" s="1196"/>
      <c r="C224" s="1202"/>
      <c r="D224" s="1196"/>
      <c r="E224" s="1196"/>
      <c r="F224" s="1196"/>
      <c r="G224" s="1202"/>
      <c r="H224" s="924"/>
      <c r="I224" s="924"/>
      <c r="J224" s="306"/>
      <c r="K224" s="2637" t="s">
        <v>2282</v>
      </c>
      <c r="L224" s="2620" t="s">
        <v>6</v>
      </c>
      <c r="M224" s="1414">
        <v>1080</v>
      </c>
    </row>
    <row r="225" spans="1:20" s="1201" customFormat="1" ht="17.25" customHeight="1">
      <c r="A225" s="1195"/>
      <c r="B225" s="1196"/>
      <c r="C225" s="1202"/>
      <c r="D225" s="1197"/>
      <c r="E225" s="1197"/>
      <c r="F225" s="1196"/>
      <c r="G225" s="1202"/>
      <c r="H225" s="924"/>
      <c r="I225" s="924"/>
      <c r="J225" s="306"/>
      <c r="K225" s="2637" t="s">
        <v>2283</v>
      </c>
      <c r="L225" s="2620" t="s">
        <v>6</v>
      </c>
      <c r="M225" s="339">
        <v>4800</v>
      </c>
    </row>
    <row r="226" spans="1:20" s="1201" customFormat="1" ht="16.5">
      <c r="A226" s="1195"/>
      <c r="B226" s="1196"/>
      <c r="C226" s="1202"/>
      <c r="D226" s="1196"/>
      <c r="E226" s="1196"/>
      <c r="F226" s="1196"/>
      <c r="G226" s="1202"/>
      <c r="H226" s="924"/>
      <c r="I226" s="924"/>
      <c r="J226" s="306"/>
      <c r="K226" s="2637" t="s">
        <v>1007</v>
      </c>
      <c r="L226" s="2634" t="s">
        <v>292</v>
      </c>
      <c r="M226" s="1414">
        <v>360</v>
      </c>
    </row>
    <row r="227" spans="1:20" s="1201" customFormat="1" ht="16.5">
      <c r="A227" s="1195"/>
      <c r="B227" s="1196"/>
      <c r="C227" s="1202"/>
      <c r="D227" s="1196"/>
      <c r="E227" s="1196"/>
      <c r="F227" s="1196"/>
      <c r="G227" s="1202"/>
      <c r="H227" s="924"/>
      <c r="I227" s="924"/>
      <c r="J227" s="306"/>
      <c r="K227" s="313" t="s">
        <v>357</v>
      </c>
      <c r="L227" s="2620" t="s">
        <v>292</v>
      </c>
      <c r="M227" s="1414">
        <v>300</v>
      </c>
    </row>
    <row r="228" spans="1:20" s="1201" customFormat="1" ht="16.5">
      <c r="A228" s="1195"/>
      <c r="B228" s="1196"/>
      <c r="C228" s="1202"/>
      <c r="D228" s="1196"/>
      <c r="E228" s="1196"/>
      <c r="F228" s="1196"/>
      <c r="G228" s="2011" t="s">
        <v>358</v>
      </c>
      <c r="H228" s="923">
        <f>M228</f>
        <v>5238</v>
      </c>
      <c r="I228" s="923">
        <v>5700</v>
      </c>
      <c r="J228" s="305">
        <f>H228-I228</f>
        <v>-462</v>
      </c>
      <c r="K228" s="1205"/>
      <c r="L228" s="1214"/>
      <c r="M228" s="1383">
        <f>M230+M231</f>
        <v>5238</v>
      </c>
    </row>
    <row r="229" spans="1:20" s="1201" customFormat="1" ht="16.5">
      <c r="A229" s="1195"/>
      <c r="B229" s="1196"/>
      <c r="C229" s="1202"/>
      <c r="D229" s="1197"/>
      <c r="E229" s="1197"/>
      <c r="F229" s="1196"/>
      <c r="G229" s="1202"/>
      <c r="H229" s="924"/>
      <c r="I229" s="924"/>
      <c r="J229" s="306"/>
      <c r="K229" s="2012" t="s">
        <v>665</v>
      </c>
      <c r="L229" s="1203"/>
      <c r="M229" s="1389"/>
    </row>
    <row r="230" spans="1:20" s="1201" customFormat="1" ht="16.5">
      <c r="A230" s="1195"/>
      <c r="B230" s="1196"/>
      <c r="C230" s="1202"/>
      <c r="D230" s="1197"/>
      <c r="E230" s="1197"/>
      <c r="F230" s="1196"/>
      <c r="G230" s="1202"/>
      <c r="H230" s="924"/>
      <c r="I230" s="924"/>
      <c r="J230" s="306"/>
      <c r="K230" s="931" t="s">
        <v>2277</v>
      </c>
      <c r="L230" s="2624" t="s">
        <v>292</v>
      </c>
      <c r="M230" s="1554">
        <v>5040</v>
      </c>
    </row>
    <row r="231" spans="1:20" s="1201" customFormat="1" ht="16.5">
      <c r="A231" s="1195"/>
      <c r="B231" s="1196"/>
      <c r="C231" s="1202"/>
      <c r="D231" s="1197"/>
      <c r="E231" s="1197"/>
      <c r="F231" s="2018"/>
      <c r="G231" s="1202"/>
      <c r="H231" s="924"/>
      <c r="I231" s="924"/>
      <c r="J231" s="926"/>
      <c r="K231" s="1053" t="s">
        <v>1799</v>
      </c>
      <c r="L231" s="2059" t="s">
        <v>292</v>
      </c>
      <c r="M231" s="322">
        <v>198</v>
      </c>
    </row>
    <row r="232" spans="1:20" s="1201" customFormat="1" ht="16.5" customHeight="1">
      <c r="A232" s="1195"/>
      <c r="B232" s="1215"/>
      <c r="C232" s="1216"/>
      <c r="D232" s="1197"/>
      <c r="E232" s="1197"/>
      <c r="F232" s="2993" t="s">
        <v>341</v>
      </c>
      <c r="G232" s="2994"/>
      <c r="H232" s="2019">
        <f>H233</f>
        <v>1200</v>
      </c>
      <c r="I232" s="2019">
        <v>1800</v>
      </c>
      <c r="J232" s="2020">
        <f>H232-I232</f>
        <v>-600</v>
      </c>
      <c r="K232" s="2625"/>
      <c r="L232" s="2060"/>
      <c r="M232" s="2626"/>
    </row>
    <row r="233" spans="1:20" s="1201" customFormat="1" ht="16.5">
      <c r="A233" s="1195"/>
      <c r="B233" s="1215"/>
      <c r="C233" s="1215"/>
      <c r="D233" s="1197"/>
      <c r="E233" s="1197"/>
      <c r="F233" s="2995"/>
      <c r="G233" s="2997" t="s">
        <v>1800</v>
      </c>
      <c r="H233" s="2021">
        <f>M233</f>
        <v>1200</v>
      </c>
      <c r="I233" s="2021">
        <v>1800</v>
      </c>
      <c r="J233" s="2020">
        <f>H233-I233</f>
        <v>-600</v>
      </c>
      <c r="K233" s="710" t="s">
        <v>359</v>
      </c>
      <c r="L233" s="2006"/>
      <c r="M233" s="2627">
        <f>M234</f>
        <v>1200</v>
      </c>
    </row>
    <row r="234" spans="1:20" s="1201" customFormat="1" ht="16.5">
      <c r="A234" s="1195"/>
      <c r="B234" s="1215"/>
      <c r="C234" s="1216"/>
      <c r="D234" s="1197"/>
      <c r="E234" s="1197"/>
      <c r="F234" s="2996"/>
      <c r="G234" s="2998"/>
      <c r="H234" s="2022"/>
      <c r="I234" s="2022"/>
      <c r="J234" s="2023"/>
      <c r="K234" s="2628" t="s">
        <v>2278</v>
      </c>
      <c r="L234" s="2629" t="s">
        <v>292</v>
      </c>
      <c r="M234" s="2630">
        <v>1200</v>
      </c>
    </row>
    <row r="235" spans="1:20" s="1201" customFormat="1" ht="16.5" customHeight="1">
      <c r="A235" s="1195"/>
      <c r="B235" s="1215"/>
      <c r="C235" s="1216"/>
      <c r="D235" s="1197"/>
      <c r="E235" s="1197"/>
      <c r="F235" s="2993" t="s">
        <v>346</v>
      </c>
      <c r="G235" s="2994"/>
      <c r="H235" s="1217">
        <f>H236</f>
        <v>1200</v>
      </c>
      <c r="I235" s="2024">
        <v>1200</v>
      </c>
      <c r="J235" s="1218">
        <f>H235-I235</f>
        <v>0</v>
      </c>
      <c r="K235" s="1062"/>
      <c r="L235" s="1219"/>
      <c r="M235" s="2025"/>
    </row>
    <row r="236" spans="1:20" s="1201" customFormat="1" ht="16.5">
      <c r="A236" s="1195"/>
      <c r="B236" s="1215"/>
      <c r="C236" s="1216"/>
      <c r="D236" s="1197"/>
      <c r="E236" s="1197"/>
      <c r="F236" s="1215"/>
      <c r="G236" s="1220" t="s">
        <v>347</v>
      </c>
      <c r="H236" s="2026">
        <f>M236</f>
        <v>1200</v>
      </c>
      <c r="I236" s="2026">
        <v>1200</v>
      </c>
      <c r="J236" s="2027">
        <f>H236-I236</f>
        <v>0</v>
      </c>
      <c r="K236" s="1221" t="s">
        <v>483</v>
      </c>
      <c r="L236" s="1054"/>
      <c r="M236" s="2028">
        <f>M237</f>
        <v>1200</v>
      </c>
    </row>
    <row r="237" spans="1:20" s="1201" customFormat="1" ht="17.25" customHeight="1" thickBot="1">
      <c r="A237" s="1195"/>
      <c r="B237" s="1215"/>
      <c r="C237" s="1215"/>
      <c r="D237" s="1197"/>
      <c r="E237" s="1712"/>
      <c r="F237" s="1215"/>
      <c r="G237" s="1215"/>
      <c r="H237" s="2029"/>
      <c r="I237" s="2029"/>
      <c r="J237" s="2030"/>
      <c r="K237" s="2031" t="s">
        <v>1801</v>
      </c>
      <c r="L237" s="1182" t="s">
        <v>292</v>
      </c>
      <c r="M237" s="2032">
        <v>1200</v>
      </c>
    </row>
    <row r="238" spans="1:20" s="2035" customFormat="1" ht="21" customHeight="1">
      <c r="A238" s="1709" t="s">
        <v>205</v>
      </c>
      <c r="B238" s="1019"/>
      <c r="C238" s="1020"/>
      <c r="D238" s="1020"/>
      <c r="E238" s="1020"/>
      <c r="F238" s="1020"/>
      <c r="G238" s="1021"/>
      <c r="H238" s="968">
        <f>H239+H249</f>
        <v>707000</v>
      </c>
      <c r="I238" s="968">
        <f>I239</f>
        <v>665113</v>
      </c>
      <c r="J238" s="480">
        <f t="shared" ref="J238:J244" si="48">H238-I238</f>
        <v>41887</v>
      </c>
      <c r="K238" s="2033"/>
      <c r="L238" s="1082"/>
      <c r="M238" s="1083"/>
      <c r="N238" s="2034"/>
      <c r="O238" s="2008"/>
      <c r="P238" s="2008"/>
      <c r="Q238" s="2008"/>
      <c r="R238" s="2008"/>
      <c r="S238" s="2008"/>
      <c r="T238" s="700"/>
    </row>
    <row r="239" spans="1:20" s="2035" customFormat="1" ht="21" customHeight="1">
      <c r="A239" s="64"/>
      <c r="B239" s="1026" t="s">
        <v>590</v>
      </c>
      <c r="C239" s="1026"/>
      <c r="D239" s="1027"/>
      <c r="E239" s="1027"/>
      <c r="F239" s="1027"/>
      <c r="G239" s="1028"/>
      <c r="H239" s="829">
        <f>H240</f>
        <v>707000</v>
      </c>
      <c r="I239" s="829">
        <v>665113</v>
      </c>
      <c r="J239" s="830">
        <f t="shared" si="48"/>
        <v>41887</v>
      </c>
      <c r="K239" s="1938"/>
      <c r="L239" s="679"/>
      <c r="M239" s="680"/>
      <c r="N239" s="2034"/>
      <c r="O239" s="2008"/>
      <c r="P239" s="2008"/>
      <c r="Q239" s="2008"/>
      <c r="R239" s="2008"/>
      <c r="S239" s="2007"/>
      <c r="T239" s="708"/>
    </row>
    <row r="240" spans="1:20" s="2035" customFormat="1" ht="21" customHeight="1">
      <c r="A240" s="64"/>
      <c r="B240" s="22"/>
      <c r="C240" s="1451" t="s">
        <v>913</v>
      </c>
      <c r="D240" s="1027"/>
      <c r="E240" s="1027"/>
      <c r="F240" s="1027"/>
      <c r="G240" s="1028"/>
      <c r="H240" s="829">
        <f>H241+H249</f>
        <v>707000</v>
      </c>
      <c r="I240" s="829">
        <v>665113</v>
      </c>
      <c r="J240" s="830">
        <f t="shared" si="48"/>
        <v>41887</v>
      </c>
      <c r="K240" s="1938"/>
      <c r="L240" s="679"/>
      <c r="M240" s="680"/>
      <c r="N240" s="2034"/>
      <c r="O240" s="2008"/>
      <c r="P240" s="2008"/>
      <c r="Q240" s="2008"/>
      <c r="R240" s="2008"/>
      <c r="S240" s="2036"/>
      <c r="T240" s="2037"/>
    </row>
    <row r="241" spans="1:20" s="2035" customFormat="1" ht="21" customHeight="1">
      <c r="A241" s="64"/>
      <c r="B241" s="22"/>
      <c r="C241" s="25"/>
      <c r="D241" s="1026" t="s">
        <v>1019</v>
      </c>
      <c r="E241" s="1027"/>
      <c r="F241" s="1027"/>
      <c r="G241" s="1028"/>
      <c r="H241" s="1029">
        <f t="shared" ref="H241:H243" si="49">H242</f>
        <v>707000</v>
      </c>
      <c r="I241" s="1029">
        <v>635000</v>
      </c>
      <c r="J241" s="51">
        <f t="shared" si="48"/>
        <v>72000</v>
      </c>
      <c r="K241" s="684"/>
      <c r="L241" s="1030"/>
      <c r="M241" s="680"/>
      <c r="N241" s="2038"/>
      <c r="O241" s="2007"/>
      <c r="P241" s="2007"/>
      <c r="Q241" s="2007"/>
      <c r="R241" s="2007"/>
      <c r="S241" s="2039"/>
      <c r="T241" s="1210"/>
    </row>
    <row r="242" spans="1:20" s="2035" customFormat="1" ht="21" customHeight="1">
      <c r="A242" s="64"/>
      <c r="B242" s="22"/>
      <c r="C242" s="832"/>
      <c r="D242" s="1032"/>
      <c r="E242" s="1026" t="s">
        <v>795</v>
      </c>
      <c r="F242" s="1027"/>
      <c r="G242" s="1028"/>
      <c r="H242" s="825">
        <f t="shared" si="49"/>
        <v>707000</v>
      </c>
      <c r="I242" s="825">
        <v>635000</v>
      </c>
      <c r="J242" s="826">
        <f t="shared" si="48"/>
        <v>72000</v>
      </c>
      <c r="K242" s="728"/>
      <c r="L242" s="827"/>
      <c r="M242" s="694">
        <f>M243+M337+M343+M346+M401</f>
        <v>0</v>
      </c>
      <c r="N242" s="2040"/>
      <c r="O242" s="2036"/>
      <c r="P242" s="2036"/>
      <c r="Q242" s="2036"/>
      <c r="R242" s="2036"/>
      <c r="S242" s="2041"/>
      <c r="T242" s="2042"/>
    </row>
    <row r="243" spans="1:20" s="2035" customFormat="1" ht="21" customHeight="1">
      <c r="A243" s="501"/>
      <c r="B243" s="503"/>
      <c r="C243" s="503"/>
      <c r="D243" s="503"/>
      <c r="E243" s="502"/>
      <c r="F243" s="1144" t="s">
        <v>893</v>
      </c>
      <c r="G243" s="1144"/>
      <c r="H243" s="1145">
        <f t="shared" si="49"/>
        <v>707000</v>
      </c>
      <c r="I243" s="1145">
        <v>635000</v>
      </c>
      <c r="J243" s="520">
        <f t="shared" si="48"/>
        <v>72000</v>
      </c>
      <c r="K243" s="512"/>
      <c r="L243" s="513"/>
      <c r="M243" s="514"/>
      <c r="N243" s="2043"/>
      <c r="O243" s="2039"/>
      <c r="P243" s="2039"/>
      <c r="Q243" s="2039"/>
      <c r="R243" s="2039"/>
      <c r="S243" s="334"/>
      <c r="T243" s="2044"/>
    </row>
    <row r="244" spans="1:20" s="2035" customFormat="1" ht="21" customHeight="1">
      <c r="A244" s="501"/>
      <c r="B244" s="503"/>
      <c r="C244" s="503"/>
      <c r="D244" s="503"/>
      <c r="E244" s="503"/>
      <c r="F244" s="1052"/>
      <c r="G244" s="522" t="s">
        <v>894</v>
      </c>
      <c r="H244" s="1146">
        <f>M244</f>
        <v>707000</v>
      </c>
      <c r="I244" s="1146">
        <v>635000</v>
      </c>
      <c r="J244" s="520">
        <f t="shared" si="48"/>
        <v>72000</v>
      </c>
      <c r="K244" s="919"/>
      <c r="L244" s="920"/>
      <c r="M244" s="1207">
        <f>M245</f>
        <v>707000</v>
      </c>
      <c r="N244" s="1980"/>
      <c r="O244" s="1981"/>
      <c r="P244" s="1981"/>
      <c r="Q244" s="2041"/>
      <c r="R244" s="2041"/>
      <c r="S244" s="334"/>
      <c r="T244" s="2044"/>
    </row>
    <row r="245" spans="1:20" s="2035" customFormat="1" ht="21" customHeight="1">
      <c r="A245" s="501"/>
      <c r="B245" s="503"/>
      <c r="C245" s="503"/>
      <c r="D245" s="503"/>
      <c r="E245" s="503"/>
      <c r="F245" s="1052"/>
      <c r="G245" s="521"/>
      <c r="H245" s="1147"/>
      <c r="I245" s="1147"/>
      <c r="J245" s="515"/>
      <c r="K245" s="308" t="s">
        <v>1802</v>
      </c>
      <c r="L245" s="332"/>
      <c r="M245" s="339">
        <f>SUM(M246:M248)</f>
        <v>707000</v>
      </c>
      <c r="N245" s="1980"/>
      <c r="O245" s="1981"/>
      <c r="P245" s="1981"/>
      <c r="Q245" s="334"/>
      <c r="R245" s="334"/>
      <c r="S245" s="334"/>
      <c r="T245" s="2044"/>
    </row>
    <row r="246" spans="1:20" s="2035" customFormat="1" ht="21" customHeight="1">
      <c r="A246" s="501"/>
      <c r="B246" s="503"/>
      <c r="C246" s="503"/>
      <c r="D246" s="503"/>
      <c r="E246" s="503"/>
      <c r="F246" s="1052"/>
      <c r="G246" s="521"/>
      <c r="H246" s="1147"/>
      <c r="I246" s="1147"/>
      <c r="J246" s="515"/>
      <c r="K246" s="308" t="s">
        <v>2418</v>
      </c>
      <c r="L246" s="332" t="s">
        <v>6</v>
      </c>
      <c r="M246" s="331">
        <f>R246</f>
        <v>471000</v>
      </c>
      <c r="N246" s="1980"/>
      <c r="O246" s="1981">
        <v>157000000</v>
      </c>
      <c r="P246" s="1981">
        <v>3</v>
      </c>
      <c r="Q246" s="334">
        <v>1</v>
      </c>
      <c r="R246" s="2041">
        <f t="shared" ref="R246:R248" si="50">ROUNDUP(O246*P246*Q246/1000,0)</f>
        <v>471000</v>
      </c>
      <c r="S246" s="334"/>
      <c r="T246" s="2044"/>
    </row>
    <row r="247" spans="1:20" s="2035" customFormat="1" ht="21" customHeight="1">
      <c r="A247" s="501"/>
      <c r="B247" s="503"/>
      <c r="C247" s="503"/>
      <c r="D247" s="503"/>
      <c r="E247" s="503"/>
      <c r="F247" s="1052"/>
      <c r="G247" s="521"/>
      <c r="H247" s="1147"/>
      <c r="I247" s="1147"/>
      <c r="J247" s="515"/>
      <c r="K247" s="1619" t="s">
        <v>2419</v>
      </c>
      <c r="L247" s="332" t="s">
        <v>6</v>
      </c>
      <c r="M247" s="2045">
        <f t="shared" ref="M247:M248" si="51">R247</f>
        <v>151000</v>
      </c>
      <c r="N247" s="1980"/>
      <c r="O247" s="1981">
        <v>151000000</v>
      </c>
      <c r="P247" s="1981">
        <v>1</v>
      </c>
      <c r="Q247" s="334">
        <v>1</v>
      </c>
      <c r="R247" s="2041">
        <f t="shared" si="50"/>
        <v>151000</v>
      </c>
      <c r="S247" s="334"/>
      <c r="T247" s="2044"/>
    </row>
    <row r="248" spans="1:20" s="2035" customFormat="1" ht="21" customHeight="1">
      <c r="A248" s="501"/>
      <c r="B248" s="503"/>
      <c r="C248" s="503"/>
      <c r="D248" s="503"/>
      <c r="E248" s="503"/>
      <c r="F248" s="1052"/>
      <c r="G248" s="521"/>
      <c r="H248" s="1147"/>
      <c r="I248" s="1147"/>
      <c r="J248" s="515"/>
      <c r="K248" s="1619" t="s">
        <v>2420</v>
      </c>
      <c r="L248" s="332" t="s">
        <v>292</v>
      </c>
      <c r="M248" s="2045">
        <f t="shared" si="51"/>
        <v>85000</v>
      </c>
      <c r="N248" s="1980"/>
      <c r="O248" s="1981">
        <v>85000000</v>
      </c>
      <c r="P248" s="1981">
        <v>1</v>
      </c>
      <c r="Q248" s="334">
        <v>1</v>
      </c>
      <c r="R248" s="2041">
        <f t="shared" si="50"/>
        <v>85000</v>
      </c>
      <c r="S248" s="2008"/>
      <c r="T248" s="700"/>
    </row>
    <row r="249" spans="1:20" s="2035" customFormat="1" ht="21" customHeight="1">
      <c r="A249" s="64"/>
      <c r="B249" s="22"/>
      <c r="C249" s="22"/>
      <c r="D249" s="1026" t="s">
        <v>1020</v>
      </c>
      <c r="E249" s="1027"/>
      <c r="F249" s="1027"/>
      <c r="G249" s="1028"/>
      <c r="H249" s="825">
        <f t="shared" ref="H249:H251" si="52">H250</f>
        <v>0</v>
      </c>
      <c r="I249" s="825">
        <v>30113</v>
      </c>
      <c r="J249" s="826">
        <f>H249-I249</f>
        <v>-30113</v>
      </c>
      <c r="K249" s="1122"/>
      <c r="L249" s="1056"/>
      <c r="M249" s="1057"/>
      <c r="N249" s="2038"/>
      <c r="O249" s="2007"/>
      <c r="P249" s="2007"/>
      <c r="Q249" s="2007"/>
      <c r="R249" s="2007"/>
      <c r="S249" s="2046"/>
      <c r="T249" s="2047"/>
    </row>
    <row r="250" spans="1:20" s="2035" customFormat="1" ht="21" customHeight="1">
      <c r="A250" s="64"/>
      <c r="B250" s="22"/>
      <c r="C250" s="832"/>
      <c r="D250" s="1032"/>
      <c r="E250" s="1026" t="s">
        <v>795</v>
      </c>
      <c r="F250" s="1027"/>
      <c r="G250" s="1028"/>
      <c r="H250" s="825">
        <f t="shared" si="52"/>
        <v>0</v>
      </c>
      <c r="I250" s="825">
        <v>30113</v>
      </c>
      <c r="J250" s="826">
        <f>H250-I250</f>
        <v>-30113</v>
      </c>
      <c r="K250" s="728"/>
      <c r="L250" s="827"/>
      <c r="M250" s="694">
        <f>M251+M351+M357+M360+M415</f>
        <v>0</v>
      </c>
      <c r="N250" s="2040"/>
      <c r="O250" s="2036"/>
      <c r="P250" s="2036"/>
      <c r="Q250" s="2036"/>
      <c r="R250" s="2036"/>
      <c r="S250" s="2048"/>
      <c r="T250" s="2044"/>
    </row>
    <row r="251" spans="1:20" s="2" customFormat="1" ht="21" customHeight="1">
      <c r="A251" s="501"/>
      <c r="B251" s="503"/>
      <c r="C251" s="503"/>
      <c r="D251" s="503"/>
      <c r="E251" s="502"/>
      <c r="F251" s="1144" t="s">
        <v>893</v>
      </c>
      <c r="G251" s="1144"/>
      <c r="H251" s="1145">
        <f t="shared" si="52"/>
        <v>0</v>
      </c>
      <c r="I251" s="1145">
        <v>30113</v>
      </c>
      <c r="J251" s="520">
        <f>H251-I251</f>
        <v>-30113</v>
      </c>
      <c r="K251" s="512"/>
      <c r="L251" s="513"/>
      <c r="M251" s="514"/>
      <c r="N251" s="2049"/>
      <c r="O251" s="2046"/>
      <c r="P251" s="2046"/>
      <c r="Q251" s="2046"/>
      <c r="R251" s="2046"/>
      <c r="S251" s="2048"/>
      <c r="T251" s="2044"/>
    </row>
    <row r="252" spans="1:20" s="2" customFormat="1" ht="21" customHeight="1">
      <c r="A252" s="501"/>
      <c r="B252" s="503"/>
      <c r="C252" s="503"/>
      <c r="D252" s="503"/>
      <c r="E252" s="503"/>
      <c r="F252" s="1052"/>
      <c r="G252" s="522" t="s">
        <v>894</v>
      </c>
      <c r="H252" s="1146">
        <f>M252</f>
        <v>0</v>
      </c>
      <c r="I252" s="1146">
        <v>30113</v>
      </c>
      <c r="J252" s="520">
        <f>H252-I252</f>
        <v>-30113</v>
      </c>
      <c r="K252" s="500"/>
      <c r="L252" s="500"/>
      <c r="M252" s="1222">
        <f>SUM(M253:M253)</f>
        <v>0</v>
      </c>
      <c r="N252" s="2049"/>
      <c r="O252" s="2046"/>
      <c r="P252" s="2046"/>
      <c r="Q252" s="2048"/>
      <c r="R252" s="2048"/>
      <c r="S252" s="2041"/>
      <c r="T252" s="2042"/>
    </row>
    <row r="253" spans="1:20" s="2" customFormat="1" ht="21" customHeight="1">
      <c r="A253" s="501"/>
      <c r="B253" s="503"/>
      <c r="C253" s="504"/>
      <c r="D253" s="504"/>
      <c r="E253" s="504"/>
      <c r="F253" s="1192"/>
      <c r="G253" s="2050"/>
      <c r="H253" s="1173"/>
      <c r="I253" s="1173"/>
      <c r="J253" s="519"/>
      <c r="K253" s="338"/>
      <c r="L253" s="338"/>
      <c r="M253" s="2051">
        <f>R253</f>
        <v>0</v>
      </c>
      <c r="N253" s="2049"/>
      <c r="O253" s="2048">
        <v>0</v>
      </c>
      <c r="P253" s="2048">
        <v>1</v>
      </c>
      <c r="Q253" s="2048">
        <v>1</v>
      </c>
      <c r="R253" s="2041">
        <f t="shared" ref="R253" si="53">ROUNDUP(O253*P253*Q253/1000,0)</f>
        <v>0</v>
      </c>
      <c r="S253" s="334"/>
      <c r="T253" s="2044"/>
    </row>
    <row r="254" spans="1:20" s="1201" customFormat="1" ht="16.5">
      <c r="A254" s="64"/>
      <c r="B254" s="22"/>
      <c r="C254" s="1339" t="s">
        <v>916</v>
      </c>
      <c r="D254" s="1027"/>
      <c r="E254" s="1027"/>
      <c r="F254" s="1027"/>
      <c r="G254" s="1028"/>
      <c r="H254" s="755">
        <f>H255</f>
        <v>0</v>
      </c>
      <c r="I254" s="755">
        <f>I255</f>
        <v>0</v>
      </c>
      <c r="J254" s="477">
        <f t="shared" ref="J254" si="54">H254-I254</f>
        <v>0</v>
      </c>
      <c r="K254" s="1622"/>
      <c r="L254" s="1112"/>
      <c r="M254" s="1057"/>
    </row>
    <row r="255" spans="1:20" s="1201" customFormat="1" ht="16.5">
      <c r="A255" s="64"/>
      <c r="B255" s="22"/>
      <c r="C255" s="22"/>
      <c r="D255" s="1026" t="s">
        <v>895</v>
      </c>
      <c r="E255" s="1027"/>
      <c r="F255" s="1027"/>
      <c r="G255" s="1028"/>
      <c r="H255" s="755">
        <f t="shared" ref="H255:I257" si="55">H256</f>
        <v>0</v>
      </c>
      <c r="I255" s="755">
        <f t="shared" si="55"/>
        <v>0</v>
      </c>
      <c r="J255" s="477">
        <f>H255-I255</f>
        <v>0</v>
      </c>
      <c r="K255" s="1122"/>
      <c r="L255" s="827"/>
      <c r="M255" s="694">
        <f>M258</f>
        <v>0</v>
      </c>
    </row>
    <row r="256" spans="1:20" s="1201" customFormat="1" ht="16.5">
      <c r="A256" s="64"/>
      <c r="B256" s="22"/>
      <c r="C256" s="832"/>
      <c r="D256" s="1032"/>
      <c r="E256" s="1026" t="s">
        <v>795</v>
      </c>
      <c r="F256" s="1027"/>
      <c r="G256" s="1028"/>
      <c r="H256" s="825">
        <f t="shared" si="55"/>
        <v>0</v>
      </c>
      <c r="I256" s="825">
        <f t="shared" si="55"/>
        <v>0</v>
      </c>
      <c r="J256" s="826">
        <f>H256-I256</f>
        <v>0</v>
      </c>
      <c r="K256" s="728"/>
      <c r="L256" s="513"/>
      <c r="M256" s="514"/>
    </row>
    <row r="257" spans="1:86" s="1201" customFormat="1" ht="16.5">
      <c r="A257" s="501"/>
      <c r="B257" s="503"/>
      <c r="C257" s="503"/>
      <c r="D257" s="503"/>
      <c r="E257" s="502"/>
      <c r="F257" s="1144" t="s">
        <v>893</v>
      </c>
      <c r="G257" s="1144"/>
      <c r="H257" s="1145">
        <f t="shared" si="55"/>
        <v>0</v>
      </c>
      <c r="I257" s="1145">
        <f t="shared" si="55"/>
        <v>0</v>
      </c>
      <c r="J257" s="520">
        <f>H257-I257</f>
        <v>0</v>
      </c>
      <c r="K257" s="512"/>
      <c r="L257" s="2052"/>
      <c r="M257" s="2053"/>
    </row>
    <row r="258" spans="1:86" s="1201" customFormat="1" ht="16.5">
      <c r="A258" s="501"/>
      <c r="B258" s="503"/>
      <c r="C258" s="503"/>
      <c r="D258" s="503"/>
      <c r="E258" s="503"/>
      <c r="F258" s="1052"/>
      <c r="G258" s="522" t="s">
        <v>894</v>
      </c>
      <c r="H258" s="2054">
        <f>M258</f>
        <v>0</v>
      </c>
      <c r="I258" s="2054">
        <v>0</v>
      </c>
      <c r="J258" s="2055">
        <f>H258-I258</f>
        <v>0</v>
      </c>
      <c r="K258" s="2761"/>
      <c r="L258" s="2762"/>
      <c r="M258" s="2763"/>
    </row>
    <row r="259" spans="1:86" s="1201" customFormat="1" ht="17.25" thickBot="1">
      <c r="A259" s="1616"/>
      <c r="B259" s="506"/>
      <c r="C259" s="506"/>
      <c r="D259" s="506"/>
      <c r="E259" s="506"/>
      <c r="F259" s="1223"/>
      <c r="G259" s="1224"/>
      <c r="H259" s="1225"/>
      <c r="I259" s="1225"/>
      <c r="J259" s="1226"/>
      <c r="K259" s="929"/>
      <c r="L259" s="1227"/>
      <c r="M259" s="930"/>
    </row>
    <row r="260" spans="1:86" ht="23.25" customHeight="1">
      <c r="AX260" s="500"/>
      <c r="AY260" s="500"/>
      <c r="AZ260" s="500"/>
      <c r="BA260" s="500"/>
      <c r="BB260" s="500"/>
      <c r="BC260" s="500"/>
      <c r="BD260" s="500"/>
      <c r="BE260" s="500"/>
      <c r="BF260" s="500"/>
      <c r="BG260" s="500"/>
      <c r="BH260" s="500"/>
      <c r="BI260" s="500"/>
      <c r="BJ260" s="500"/>
      <c r="BK260" s="500"/>
      <c r="BL260" s="500"/>
      <c r="BM260" s="500"/>
      <c r="BN260" s="500"/>
      <c r="BO260" s="500"/>
      <c r="BP260" s="500"/>
      <c r="BQ260" s="500"/>
    </row>
    <row r="261" spans="1:86" s="2058" customFormat="1" ht="23.25" customHeight="1">
      <c r="A261" s="517"/>
      <c r="B261" s="517"/>
      <c r="C261" s="517"/>
      <c r="D261" s="517"/>
      <c r="E261" s="517"/>
      <c r="F261" s="517"/>
      <c r="G261" s="517"/>
      <c r="H261" s="639"/>
      <c r="I261" s="639"/>
      <c r="J261" s="336"/>
      <c r="K261" s="2056"/>
      <c r="L261" s="337"/>
      <c r="M261" s="335"/>
      <c r="N261" s="2057"/>
      <c r="O261" s="337"/>
      <c r="P261" s="337"/>
      <c r="Q261" s="337"/>
      <c r="R261" s="337"/>
      <c r="S261" s="337"/>
      <c r="T261" s="337"/>
      <c r="U261" s="497"/>
      <c r="V261" s="497"/>
      <c r="W261" s="497"/>
      <c r="X261" s="497"/>
      <c r="Y261" s="497"/>
      <c r="Z261" s="497"/>
      <c r="AA261" s="497"/>
      <c r="AB261" s="497"/>
      <c r="AC261" s="497"/>
      <c r="AD261" s="497"/>
      <c r="AE261" s="497"/>
      <c r="AF261" s="497"/>
      <c r="AG261" s="497"/>
      <c r="AH261" s="497"/>
      <c r="AI261" s="497"/>
      <c r="AJ261" s="497"/>
      <c r="AK261" s="497"/>
      <c r="AL261" s="497"/>
      <c r="AM261" s="497"/>
      <c r="AN261" s="497"/>
      <c r="AO261" s="497"/>
      <c r="AP261" s="497"/>
      <c r="AQ261" s="497"/>
      <c r="AR261" s="497"/>
      <c r="AS261" s="497"/>
      <c r="AT261" s="497"/>
      <c r="AU261" s="497"/>
      <c r="AV261" s="497"/>
      <c r="AW261" s="497"/>
      <c r="AX261" s="497"/>
      <c r="AY261" s="497"/>
      <c r="AZ261" s="497"/>
      <c r="BA261" s="497"/>
      <c r="BB261" s="497"/>
      <c r="BC261" s="497"/>
      <c r="BD261" s="497"/>
      <c r="BE261" s="497"/>
      <c r="BF261" s="497"/>
      <c r="BG261" s="497"/>
      <c r="BH261" s="497"/>
      <c r="BI261" s="497"/>
      <c r="BJ261" s="497"/>
      <c r="BK261" s="497"/>
      <c r="BL261" s="497"/>
      <c r="BM261" s="497"/>
      <c r="BN261" s="497"/>
      <c r="BO261" s="497"/>
      <c r="BP261" s="497"/>
      <c r="BQ261" s="497"/>
      <c r="BR261" s="497"/>
      <c r="BS261" s="497"/>
      <c r="BT261" s="497"/>
      <c r="BU261" s="497"/>
      <c r="BV261" s="497"/>
      <c r="BW261" s="497"/>
      <c r="BX261" s="497"/>
      <c r="BY261" s="497"/>
      <c r="BZ261" s="497"/>
      <c r="CA261" s="497"/>
      <c r="CB261" s="497"/>
      <c r="CC261" s="497"/>
      <c r="CD261" s="497"/>
      <c r="CE261" s="497"/>
      <c r="CF261" s="497"/>
      <c r="CG261" s="497"/>
      <c r="CH261" s="497"/>
    </row>
    <row r="262" spans="1:86" s="2058" customFormat="1" ht="23.25" customHeight="1">
      <c r="A262" s="517"/>
      <c r="B262" s="517"/>
      <c r="C262" s="517"/>
      <c r="D262" s="517"/>
      <c r="E262" s="517"/>
      <c r="F262" s="517"/>
      <c r="G262" s="517"/>
      <c r="H262" s="639"/>
      <c r="I262" s="639"/>
      <c r="J262" s="336"/>
      <c r="K262" s="2056"/>
      <c r="L262" s="337"/>
      <c r="M262" s="335"/>
      <c r="N262" s="2057"/>
      <c r="O262" s="337"/>
      <c r="P262" s="337"/>
      <c r="Q262" s="337"/>
      <c r="R262" s="337"/>
      <c r="S262" s="337"/>
      <c r="T262" s="337"/>
      <c r="U262" s="497"/>
      <c r="V262" s="497"/>
      <c r="W262" s="497"/>
      <c r="X262" s="497"/>
      <c r="Y262" s="497"/>
      <c r="Z262" s="497"/>
      <c r="AA262" s="497"/>
      <c r="AB262" s="497"/>
      <c r="AC262" s="497"/>
      <c r="AD262" s="497"/>
      <c r="AE262" s="497"/>
      <c r="AF262" s="497"/>
      <c r="AG262" s="497"/>
      <c r="AH262" s="497"/>
      <c r="AI262" s="497"/>
      <c r="AJ262" s="497"/>
      <c r="AK262" s="497"/>
      <c r="AL262" s="497"/>
      <c r="AM262" s="497"/>
      <c r="AN262" s="497"/>
      <c r="AO262" s="497"/>
      <c r="AP262" s="497"/>
      <c r="AQ262" s="497"/>
      <c r="AR262" s="497"/>
      <c r="AS262" s="497"/>
      <c r="AT262" s="497"/>
      <c r="AU262" s="497"/>
      <c r="AV262" s="497"/>
      <c r="AW262" s="497"/>
      <c r="AX262" s="497"/>
      <c r="AY262" s="497"/>
      <c r="AZ262" s="497"/>
      <c r="BA262" s="497"/>
      <c r="BB262" s="497"/>
      <c r="BC262" s="497"/>
      <c r="BD262" s="497"/>
      <c r="BE262" s="497"/>
      <c r="BF262" s="497"/>
      <c r="BG262" s="497"/>
      <c r="BH262" s="497"/>
      <c r="BI262" s="497"/>
      <c r="BJ262" s="497"/>
      <c r="BK262" s="497"/>
      <c r="BL262" s="497"/>
      <c r="BM262" s="497"/>
      <c r="BN262" s="497"/>
      <c r="BO262" s="497"/>
      <c r="BP262" s="497"/>
      <c r="BQ262" s="497"/>
      <c r="BR262" s="497"/>
      <c r="BS262" s="497"/>
      <c r="BT262" s="497"/>
      <c r="BU262" s="497"/>
      <c r="BV262" s="497"/>
      <c r="BW262" s="497"/>
      <c r="BX262" s="497"/>
      <c r="BY262" s="497"/>
      <c r="BZ262" s="497"/>
      <c r="CA262" s="497"/>
      <c r="CB262" s="497"/>
      <c r="CC262" s="497"/>
      <c r="CD262" s="497"/>
      <c r="CE262" s="497"/>
      <c r="CF262" s="497"/>
      <c r="CG262" s="497"/>
      <c r="CH262" s="497"/>
    </row>
    <row r="263" spans="1:86" s="2058" customFormat="1" ht="23.25" customHeight="1">
      <c r="A263" s="517"/>
      <c r="B263" s="517"/>
      <c r="C263" s="517"/>
      <c r="D263" s="517"/>
      <c r="E263" s="517"/>
      <c r="F263" s="517"/>
      <c r="G263" s="517"/>
      <c r="H263" s="639"/>
      <c r="I263" s="639"/>
      <c r="J263" s="336"/>
      <c r="K263" s="2056"/>
      <c r="L263" s="337"/>
      <c r="M263" s="335"/>
      <c r="N263" s="2057"/>
      <c r="O263" s="337"/>
      <c r="P263" s="337"/>
      <c r="Q263" s="337"/>
      <c r="R263" s="337"/>
      <c r="S263" s="337"/>
      <c r="T263" s="337"/>
      <c r="U263" s="497"/>
      <c r="V263" s="497"/>
      <c r="W263" s="497"/>
      <c r="X263" s="497"/>
      <c r="Y263" s="497"/>
      <c r="Z263" s="497"/>
      <c r="AA263" s="497"/>
      <c r="AB263" s="497"/>
      <c r="AC263" s="497"/>
      <c r="AD263" s="497"/>
      <c r="AE263" s="497"/>
      <c r="AF263" s="497"/>
      <c r="AG263" s="497"/>
      <c r="AH263" s="497"/>
      <c r="AI263" s="497"/>
      <c r="AJ263" s="497"/>
      <c r="AK263" s="497"/>
      <c r="AL263" s="497"/>
      <c r="AM263" s="497"/>
      <c r="AN263" s="497"/>
      <c r="AO263" s="497"/>
      <c r="AP263" s="497"/>
      <c r="AQ263" s="497"/>
      <c r="AR263" s="497"/>
      <c r="AS263" s="497"/>
      <c r="AT263" s="497"/>
      <c r="AU263" s="497"/>
      <c r="AV263" s="497"/>
      <c r="AW263" s="497"/>
      <c r="AX263" s="497"/>
      <c r="AY263" s="497"/>
      <c r="AZ263" s="497"/>
      <c r="BA263" s="497"/>
      <c r="BB263" s="497"/>
      <c r="BC263" s="497"/>
      <c r="BD263" s="497"/>
      <c r="BE263" s="497"/>
      <c r="BF263" s="497"/>
      <c r="BG263" s="497"/>
      <c r="BH263" s="497"/>
      <c r="BI263" s="497"/>
      <c r="BJ263" s="497"/>
      <c r="BK263" s="497"/>
      <c r="BL263" s="497"/>
      <c r="BM263" s="497"/>
      <c r="BN263" s="497"/>
      <c r="BO263" s="497"/>
      <c r="BP263" s="497"/>
      <c r="BQ263" s="497"/>
      <c r="BR263" s="497"/>
      <c r="BS263" s="497"/>
      <c r="BT263" s="497"/>
      <c r="BU263" s="497"/>
      <c r="BV263" s="497"/>
      <c r="BW263" s="497"/>
      <c r="BX263" s="497"/>
      <c r="BY263" s="497"/>
      <c r="BZ263" s="497"/>
      <c r="CA263" s="497"/>
      <c r="CB263" s="497"/>
      <c r="CC263" s="497"/>
      <c r="CD263" s="497"/>
      <c r="CE263" s="497"/>
      <c r="CF263" s="497"/>
      <c r="CG263" s="497"/>
      <c r="CH263" s="497"/>
    </row>
    <row r="264" spans="1:86" s="2058" customFormat="1" ht="23.25" customHeight="1">
      <c r="A264" s="517"/>
      <c r="B264" s="517"/>
      <c r="C264" s="517"/>
      <c r="D264" s="517"/>
      <c r="E264" s="517"/>
      <c r="F264" s="517"/>
      <c r="G264" s="517"/>
      <c r="H264" s="639"/>
      <c r="I264" s="639"/>
      <c r="J264" s="336"/>
      <c r="K264" s="2056"/>
      <c r="L264" s="337"/>
      <c r="M264" s="335"/>
      <c r="N264" s="2057"/>
      <c r="O264" s="337"/>
      <c r="P264" s="337"/>
      <c r="Q264" s="337"/>
      <c r="R264" s="337"/>
      <c r="S264" s="337"/>
      <c r="T264" s="337"/>
      <c r="U264" s="497"/>
      <c r="V264" s="497"/>
      <c r="W264" s="497"/>
      <c r="X264" s="497"/>
      <c r="Y264" s="497"/>
      <c r="Z264" s="497"/>
      <c r="AA264" s="497"/>
      <c r="AB264" s="497"/>
      <c r="AC264" s="497"/>
      <c r="AD264" s="497"/>
      <c r="AE264" s="497"/>
      <c r="AF264" s="497"/>
      <c r="AG264" s="497"/>
      <c r="AH264" s="497"/>
      <c r="AI264" s="497"/>
      <c r="AJ264" s="497"/>
      <c r="AK264" s="497"/>
      <c r="AL264" s="497"/>
      <c r="AM264" s="497"/>
      <c r="AN264" s="497"/>
      <c r="AO264" s="497"/>
      <c r="AP264" s="497"/>
      <c r="AQ264" s="497"/>
      <c r="AR264" s="497"/>
      <c r="AS264" s="497"/>
      <c r="AT264" s="497"/>
      <c r="AU264" s="497"/>
      <c r="AV264" s="497"/>
      <c r="AW264" s="497"/>
      <c r="AX264" s="497"/>
      <c r="AY264" s="497"/>
      <c r="AZ264" s="497"/>
      <c r="BA264" s="497"/>
      <c r="BB264" s="497"/>
      <c r="BC264" s="497"/>
      <c r="BD264" s="497"/>
      <c r="BE264" s="497"/>
      <c r="BF264" s="497"/>
      <c r="BG264" s="497"/>
      <c r="BH264" s="497"/>
      <c r="BI264" s="497"/>
      <c r="BJ264" s="497"/>
      <c r="BK264" s="497"/>
      <c r="BL264" s="497"/>
      <c r="BM264" s="497"/>
      <c r="BN264" s="497"/>
      <c r="BO264" s="497"/>
      <c r="BP264" s="497"/>
      <c r="BQ264" s="497"/>
      <c r="BR264" s="497"/>
      <c r="BS264" s="497"/>
      <c r="BT264" s="497"/>
      <c r="BU264" s="497"/>
      <c r="BV264" s="497"/>
      <c r="BW264" s="497"/>
      <c r="BX264" s="497"/>
      <c r="BY264" s="497"/>
      <c r="BZ264" s="497"/>
      <c r="CA264" s="497"/>
      <c r="CB264" s="497"/>
      <c r="CC264" s="497"/>
      <c r="CD264" s="497"/>
      <c r="CE264" s="497"/>
      <c r="CF264" s="497"/>
      <c r="CG264" s="497"/>
      <c r="CH264" s="497"/>
    </row>
    <row r="265" spans="1:86" s="2058" customFormat="1" ht="23.25" customHeight="1">
      <c r="A265" s="517"/>
      <c r="B265" s="517"/>
      <c r="C265" s="517"/>
      <c r="D265" s="517"/>
      <c r="E265" s="517"/>
      <c r="F265" s="517"/>
      <c r="G265" s="517"/>
      <c r="H265" s="639"/>
      <c r="I265" s="639"/>
      <c r="J265" s="336"/>
      <c r="K265" s="2056"/>
      <c r="L265" s="337"/>
      <c r="M265" s="335"/>
      <c r="N265" s="2057"/>
      <c r="O265" s="337"/>
      <c r="P265" s="337"/>
      <c r="Q265" s="337"/>
      <c r="R265" s="337"/>
      <c r="S265" s="337"/>
      <c r="T265" s="337"/>
      <c r="U265" s="497"/>
      <c r="V265" s="497"/>
      <c r="W265" s="497"/>
      <c r="X265" s="497"/>
      <c r="Y265" s="497"/>
      <c r="Z265" s="497"/>
      <c r="AA265" s="497"/>
      <c r="AB265" s="497"/>
      <c r="AC265" s="497"/>
      <c r="AD265" s="497"/>
      <c r="AE265" s="497"/>
      <c r="AF265" s="497"/>
      <c r="AG265" s="497"/>
      <c r="AH265" s="497"/>
      <c r="AI265" s="497"/>
      <c r="AJ265" s="497"/>
      <c r="AK265" s="497"/>
      <c r="AL265" s="497"/>
      <c r="AM265" s="497"/>
      <c r="AN265" s="497"/>
      <c r="AO265" s="497"/>
      <c r="AP265" s="497"/>
      <c r="AQ265" s="497"/>
      <c r="AR265" s="497"/>
      <c r="AS265" s="497"/>
      <c r="AT265" s="497"/>
      <c r="AU265" s="497"/>
      <c r="AV265" s="497"/>
      <c r="AW265" s="497"/>
      <c r="AX265" s="497"/>
      <c r="AY265" s="497"/>
      <c r="AZ265" s="497"/>
      <c r="BA265" s="497"/>
      <c r="BB265" s="497"/>
      <c r="BC265" s="497"/>
      <c r="BD265" s="497"/>
      <c r="BE265" s="497"/>
      <c r="BF265" s="497"/>
      <c r="BG265" s="497"/>
      <c r="BH265" s="497"/>
      <c r="BI265" s="497"/>
      <c r="BJ265" s="497"/>
      <c r="BK265" s="497"/>
      <c r="BL265" s="497"/>
      <c r="BM265" s="497"/>
      <c r="BN265" s="497"/>
      <c r="BO265" s="497"/>
      <c r="BP265" s="497"/>
      <c r="BQ265" s="497"/>
      <c r="BR265" s="497"/>
      <c r="BS265" s="497"/>
      <c r="BT265" s="497"/>
      <c r="BU265" s="497"/>
      <c r="BV265" s="497"/>
      <c r="BW265" s="497"/>
      <c r="BX265" s="497"/>
      <c r="BY265" s="497"/>
      <c r="BZ265" s="497"/>
      <c r="CA265" s="497"/>
      <c r="CB265" s="497"/>
      <c r="CC265" s="497"/>
      <c r="CD265" s="497"/>
      <c r="CE265" s="497"/>
      <c r="CF265" s="497"/>
      <c r="CG265" s="497"/>
      <c r="CH265" s="497"/>
    </row>
    <row r="266" spans="1:86" s="2058" customFormat="1">
      <c r="A266" s="517"/>
      <c r="B266" s="517"/>
      <c r="C266" s="517"/>
      <c r="D266" s="517"/>
      <c r="E266" s="517"/>
      <c r="F266" s="517"/>
      <c r="G266" s="517"/>
      <c r="H266" s="639"/>
      <c r="I266" s="639"/>
      <c r="J266" s="336"/>
      <c r="K266" s="2056"/>
      <c r="L266" s="337"/>
      <c r="M266" s="335"/>
      <c r="N266" s="2057"/>
      <c r="O266" s="337"/>
      <c r="P266" s="337"/>
      <c r="Q266" s="337"/>
      <c r="R266" s="337"/>
      <c r="S266" s="337"/>
      <c r="T266" s="337"/>
      <c r="U266" s="497"/>
      <c r="V266" s="497"/>
      <c r="W266" s="497"/>
      <c r="X266" s="497"/>
      <c r="Y266" s="497"/>
      <c r="Z266" s="497"/>
      <c r="AA266" s="497"/>
      <c r="AB266" s="497"/>
      <c r="AC266" s="497"/>
      <c r="AD266" s="497"/>
      <c r="AE266" s="497"/>
      <c r="AF266" s="497"/>
      <c r="AG266" s="497"/>
      <c r="AH266" s="497"/>
      <c r="AI266" s="497"/>
      <c r="AJ266" s="497"/>
      <c r="AK266" s="497"/>
      <c r="AL266" s="497"/>
      <c r="AM266" s="497"/>
      <c r="AN266" s="497"/>
      <c r="AO266" s="497"/>
      <c r="AP266" s="497"/>
      <c r="AQ266" s="497"/>
      <c r="AR266" s="497"/>
      <c r="AS266" s="497"/>
      <c r="AT266" s="497"/>
      <c r="AU266" s="497"/>
      <c r="AV266" s="497"/>
      <c r="AW266" s="497"/>
      <c r="AX266" s="497"/>
      <c r="AY266" s="497"/>
      <c r="AZ266" s="497"/>
      <c r="BA266" s="497"/>
      <c r="BB266" s="497"/>
      <c r="BC266" s="497"/>
      <c r="BD266" s="497"/>
      <c r="BE266" s="497"/>
      <c r="BF266" s="497"/>
      <c r="BG266" s="497"/>
      <c r="BH266" s="497"/>
      <c r="BI266" s="497"/>
      <c r="BJ266" s="497"/>
      <c r="BK266" s="497"/>
      <c r="BL266" s="497"/>
      <c r="BM266" s="497"/>
      <c r="BN266" s="497"/>
      <c r="BO266" s="497"/>
      <c r="BP266" s="497"/>
      <c r="BQ266" s="497"/>
      <c r="BR266" s="497"/>
      <c r="BS266" s="497"/>
      <c r="BT266" s="497"/>
      <c r="BU266" s="497"/>
      <c r="BV266" s="497"/>
      <c r="BW266" s="497"/>
      <c r="BX266" s="497"/>
      <c r="BY266" s="497"/>
      <c r="BZ266" s="497"/>
      <c r="CA266" s="497"/>
      <c r="CB266" s="497"/>
      <c r="CC266" s="497"/>
      <c r="CD266" s="497"/>
      <c r="CE266" s="497"/>
      <c r="CF266" s="497"/>
      <c r="CG266" s="497"/>
      <c r="CH266" s="497"/>
    </row>
    <row r="267" spans="1:86" s="2058" customFormat="1">
      <c r="A267" s="517"/>
      <c r="B267" s="517"/>
      <c r="C267" s="517"/>
      <c r="D267" s="517"/>
      <c r="E267" s="517"/>
      <c r="F267" s="517"/>
      <c r="G267" s="517"/>
      <c r="H267" s="639"/>
      <c r="I267" s="639"/>
      <c r="J267" s="336"/>
      <c r="K267" s="2056"/>
      <c r="L267" s="337"/>
      <c r="M267" s="335"/>
      <c r="N267" s="2057"/>
      <c r="O267" s="337"/>
      <c r="P267" s="337"/>
      <c r="Q267" s="337"/>
      <c r="R267" s="337"/>
      <c r="S267" s="337"/>
      <c r="T267" s="337"/>
      <c r="U267" s="497"/>
      <c r="V267" s="497"/>
      <c r="W267" s="497"/>
      <c r="X267" s="497"/>
      <c r="Y267" s="497"/>
      <c r="Z267" s="497"/>
      <c r="AA267" s="497"/>
      <c r="AB267" s="497"/>
      <c r="AC267" s="497"/>
      <c r="AD267" s="497"/>
      <c r="AE267" s="497"/>
      <c r="AF267" s="497"/>
      <c r="AG267" s="497"/>
      <c r="AH267" s="497"/>
      <c r="AI267" s="497"/>
      <c r="AJ267" s="497"/>
      <c r="AK267" s="497"/>
      <c r="AL267" s="497"/>
      <c r="AM267" s="497"/>
      <c r="AN267" s="497"/>
      <c r="AO267" s="497"/>
      <c r="AP267" s="497"/>
      <c r="AQ267" s="497"/>
      <c r="AR267" s="497"/>
      <c r="AS267" s="497"/>
      <c r="AT267" s="497"/>
      <c r="AU267" s="497"/>
      <c r="AV267" s="497"/>
      <c r="AW267" s="497"/>
      <c r="AX267" s="500"/>
      <c r="AY267" s="500"/>
      <c r="AZ267" s="500"/>
      <c r="BA267" s="500"/>
      <c r="BB267" s="500"/>
      <c r="BC267" s="500"/>
      <c r="BD267" s="500"/>
      <c r="BE267" s="500"/>
      <c r="BF267" s="500"/>
      <c r="BG267" s="500"/>
      <c r="BH267" s="500"/>
      <c r="BI267" s="500"/>
      <c r="BJ267" s="500"/>
      <c r="BK267" s="500"/>
      <c r="BL267" s="500"/>
      <c r="BM267" s="500"/>
      <c r="BN267" s="500"/>
      <c r="BO267" s="500"/>
      <c r="BP267" s="500"/>
      <c r="BQ267" s="500"/>
      <c r="BR267" s="497"/>
      <c r="BS267" s="497"/>
      <c r="BT267" s="497"/>
      <c r="BU267" s="497"/>
      <c r="BV267" s="497"/>
      <c r="BW267" s="497"/>
      <c r="BX267" s="497"/>
      <c r="BY267" s="497"/>
      <c r="BZ267" s="497"/>
      <c r="CA267" s="497"/>
      <c r="CB267" s="497"/>
      <c r="CC267" s="497"/>
      <c r="CD267" s="497"/>
      <c r="CE267" s="497"/>
      <c r="CF267" s="497"/>
      <c r="CG267" s="497"/>
      <c r="CH267" s="497"/>
    </row>
    <row r="268" spans="1:86" s="2058" customFormat="1">
      <c r="A268" s="517"/>
      <c r="B268" s="517"/>
      <c r="C268" s="517"/>
      <c r="D268" s="517"/>
      <c r="E268" s="517"/>
      <c r="F268" s="517"/>
      <c r="G268" s="517"/>
      <c r="H268" s="639"/>
      <c r="I268" s="639"/>
      <c r="J268" s="336"/>
      <c r="K268" s="2056"/>
      <c r="L268" s="337"/>
      <c r="M268" s="335"/>
      <c r="N268" s="2057"/>
      <c r="O268" s="337"/>
      <c r="P268" s="337"/>
      <c r="Q268" s="337"/>
      <c r="R268" s="337"/>
      <c r="S268" s="337"/>
      <c r="T268" s="337"/>
      <c r="U268" s="497"/>
      <c r="V268" s="497"/>
      <c r="W268" s="497"/>
      <c r="X268" s="497"/>
      <c r="Y268" s="497"/>
      <c r="Z268" s="497"/>
      <c r="AA268" s="497"/>
      <c r="AB268" s="497"/>
      <c r="AC268" s="497"/>
      <c r="AD268" s="497"/>
      <c r="AE268" s="497"/>
      <c r="AF268" s="497"/>
      <c r="AG268" s="497"/>
      <c r="AH268" s="497"/>
      <c r="AI268" s="497"/>
      <c r="AJ268" s="497"/>
      <c r="AK268" s="497"/>
      <c r="AL268" s="497"/>
      <c r="AM268" s="497"/>
      <c r="AN268" s="497"/>
      <c r="AO268" s="497"/>
      <c r="AP268" s="497"/>
      <c r="AQ268" s="497"/>
      <c r="AR268" s="497"/>
      <c r="AS268" s="497"/>
      <c r="AT268" s="497"/>
      <c r="AU268" s="497"/>
      <c r="AV268" s="497"/>
      <c r="AW268" s="497"/>
      <c r="AX268" s="497"/>
      <c r="AY268" s="497"/>
      <c r="AZ268" s="497"/>
      <c r="BA268" s="497"/>
      <c r="BB268" s="497"/>
      <c r="BC268" s="497"/>
      <c r="BD268" s="497"/>
      <c r="BE268" s="497"/>
      <c r="BF268" s="497"/>
      <c r="BG268" s="497"/>
      <c r="BH268" s="497"/>
      <c r="BI268" s="497"/>
      <c r="BJ268" s="497"/>
      <c r="BK268" s="497"/>
      <c r="BL268" s="497"/>
      <c r="BM268" s="497"/>
      <c r="BN268" s="497"/>
      <c r="BO268" s="497"/>
      <c r="BP268" s="497"/>
      <c r="BQ268" s="497"/>
      <c r="BR268" s="497"/>
      <c r="BS268" s="497"/>
      <c r="BT268" s="497"/>
      <c r="BU268" s="497"/>
      <c r="BV268" s="497"/>
      <c r="BW268" s="497"/>
      <c r="BX268" s="497"/>
      <c r="BY268" s="497"/>
      <c r="BZ268" s="497"/>
      <c r="CA268" s="497"/>
      <c r="CB268" s="497"/>
      <c r="CC268" s="497"/>
      <c r="CD268" s="497"/>
      <c r="CE268" s="497"/>
      <c r="CF268" s="497"/>
      <c r="CG268" s="497"/>
      <c r="CH268" s="497"/>
    </row>
    <row r="269" spans="1:86" s="2058" customFormat="1">
      <c r="A269" s="517"/>
      <c r="B269" s="517"/>
      <c r="C269" s="517"/>
      <c r="D269" s="517"/>
      <c r="E269" s="517"/>
      <c r="F269" s="517"/>
      <c r="G269" s="517"/>
      <c r="H269" s="639"/>
      <c r="I269" s="639"/>
      <c r="J269" s="336"/>
      <c r="K269" s="2056"/>
      <c r="L269" s="337"/>
      <c r="M269" s="335"/>
      <c r="N269" s="2057"/>
      <c r="O269" s="337"/>
      <c r="P269" s="337"/>
      <c r="Q269" s="337"/>
      <c r="R269" s="337"/>
      <c r="S269" s="337"/>
      <c r="T269" s="337"/>
      <c r="U269" s="497"/>
      <c r="V269" s="497"/>
      <c r="W269" s="497"/>
      <c r="X269" s="497"/>
      <c r="Y269" s="497"/>
      <c r="Z269" s="497"/>
      <c r="AA269" s="497"/>
      <c r="AB269" s="497"/>
      <c r="AC269" s="497"/>
      <c r="AD269" s="497"/>
      <c r="AE269" s="497"/>
      <c r="AF269" s="497"/>
      <c r="AG269" s="497"/>
      <c r="AH269" s="497"/>
      <c r="AI269" s="497"/>
      <c r="AJ269" s="497"/>
      <c r="AK269" s="497"/>
      <c r="AL269" s="497"/>
      <c r="AM269" s="497"/>
      <c r="AN269" s="497"/>
      <c r="AO269" s="497"/>
      <c r="AP269" s="497"/>
      <c r="AQ269" s="497"/>
      <c r="AR269" s="497"/>
      <c r="AS269" s="497"/>
      <c r="AT269" s="497"/>
      <c r="AU269" s="497"/>
      <c r="AV269" s="497"/>
      <c r="AW269" s="497"/>
      <c r="AX269" s="497"/>
      <c r="AY269" s="497"/>
      <c r="AZ269" s="497"/>
      <c r="BA269" s="497"/>
      <c r="BB269" s="497"/>
      <c r="BC269" s="497"/>
      <c r="BD269" s="497"/>
      <c r="BE269" s="497"/>
      <c r="BF269" s="497"/>
      <c r="BG269" s="497"/>
      <c r="BH269" s="497"/>
      <c r="BI269" s="497"/>
      <c r="BJ269" s="497"/>
      <c r="BK269" s="497"/>
      <c r="BL269" s="497"/>
      <c r="BM269" s="497"/>
      <c r="BN269" s="497"/>
      <c r="BO269" s="497"/>
      <c r="BP269" s="497"/>
      <c r="BQ269" s="497"/>
      <c r="BR269" s="497"/>
      <c r="BS269" s="497"/>
      <c r="BT269" s="497"/>
      <c r="BU269" s="497"/>
      <c r="BV269" s="497"/>
      <c r="BW269" s="497"/>
      <c r="BX269" s="497"/>
      <c r="BY269" s="497"/>
      <c r="BZ269" s="497"/>
      <c r="CA269" s="497"/>
      <c r="CB269" s="497"/>
      <c r="CC269" s="497"/>
      <c r="CD269" s="497"/>
      <c r="CE269" s="497"/>
      <c r="CF269" s="497"/>
      <c r="CG269" s="497"/>
      <c r="CH269" s="497"/>
    </row>
    <row r="270" spans="1:86" s="2058" customFormat="1">
      <c r="A270" s="517"/>
      <c r="B270" s="517"/>
      <c r="C270" s="517"/>
      <c r="D270" s="517"/>
      <c r="E270" s="517"/>
      <c r="F270" s="517"/>
      <c r="G270" s="517"/>
      <c r="H270" s="639"/>
      <c r="I270" s="639"/>
      <c r="J270" s="336"/>
      <c r="K270" s="2056"/>
      <c r="L270" s="337"/>
      <c r="M270" s="335"/>
      <c r="N270" s="2057"/>
      <c r="O270" s="337"/>
      <c r="P270" s="337"/>
      <c r="Q270" s="337"/>
      <c r="R270" s="337"/>
      <c r="S270" s="337"/>
      <c r="T270" s="337"/>
      <c r="U270" s="497"/>
      <c r="V270" s="497"/>
      <c r="W270" s="497"/>
      <c r="X270" s="497"/>
      <c r="Y270" s="497"/>
      <c r="Z270" s="497"/>
      <c r="AA270" s="497"/>
      <c r="AB270" s="497"/>
      <c r="AC270" s="497"/>
      <c r="AD270" s="497"/>
      <c r="AE270" s="497"/>
      <c r="AF270" s="497"/>
      <c r="AG270" s="497"/>
      <c r="AH270" s="497"/>
      <c r="AI270" s="497"/>
      <c r="AJ270" s="497"/>
      <c r="AK270" s="497"/>
      <c r="AL270" s="497"/>
      <c r="AM270" s="497"/>
      <c r="AN270" s="497"/>
      <c r="AO270" s="497"/>
      <c r="AP270" s="497"/>
      <c r="AQ270" s="497"/>
      <c r="AR270" s="497"/>
      <c r="AS270" s="497"/>
      <c r="AT270" s="497"/>
      <c r="AU270" s="497"/>
      <c r="AV270" s="497"/>
      <c r="AW270" s="497"/>
      <c r="AX270" s="497"/>
      <c r="AY270" s="497"/>
      <c r="AZ270" s="497"/>
      <c r="BA270" s="497"/>
      <c r="BB270" s="497"/>
      <c r="BC270" s="497"/>
      <c r="BD270" s="497"/>
      <c r="BE270" s="497"/>
      <c r="BF270" s="497"/>
      <c r="BG270" s="497"/>
      <c r="BH270" s="497"/>
      <c r="BI270" s="497"/>
      <c r="BJ270" s="497"/>
      <c r="BK270" s="497"/>
      <c r="BL270" s="497"/>
      <c r="BM270" s="497"/>
      <c r="BN270" s="497"/>
      <c r="BO270" s="497"/>
      <c r="BP270" s="497"/>
      <c r="BQ270" s="497"/>
      <c r="BR270" s="497"/>
      <c r="BS270" s="497"/>
      <c r="BT270" s="497"/>
      <c r="BU270" s="497"/>
      <c r="BV270" s="497"/>
      <c r="BW270" s="497"/>
      <c r="BX270" s="497"/>
      <c r="BY270" s="497"/>
      <c r="BZ270" s="497"/>
      <c r="CA270" s="497"/>
      <c r="CB270" s="497"/>
      <c r="CC270" s="497"/>
      <c r="CD270" s="497"/>
      <c r="CE270" s="497"/>
      <c r="CF270" s="497"/>
      <c r="CG270" s="497"/>
      <c r="CH270" s="497"/>
    </row>
    <row r="271" spans="1:86" s="2058" customFormat="1">
      <c r="A271" s="517"/>
      <c r="B271" s="517"/>
      <c r="C271" s="517"/>
      <c r="D271" s="517"/>
      <c r="E271" s="517"/>
      <c r="F271" s="517"/>
      <c r="G271" s="517"/>
      <c r="H271" s="639"/>
      <c r="I271" s="639"/>
      <c r="J271" s="336"/>
      <c r="K271" s="2056"/>
      <c r="L271" s="337"/>
      <c r="M271" s="335"/>
      <c r="N271" s="2057"/>
      <c r="O271" s="337"/>
      <c r="P271" s="337"/>
      <c r="Q271" s="337"/>
      <c r="R271" s="337"/>
      <c r="S271" s="337"/>
      <c r="T271" s="337"/>
      <c r="U271" s="497"/>
      <c r="V271" s="497"/>
      <c r="W271" s="497"/>
      <c r="X271" s="497"/>
      <c r="Y271" s="497"/>
      <c r="Z271" s="497"/>
      <c r="AA271" s="497"/>
      <c r="AB271" s="497"/>
      <c r="AC271" s="497"/>
      <c r="AD271" s="497"/>
      <c r="AE271" s="497"/>
      <c r="AF271" s="497"/>
      <c r="AG271" s="497"/>
      <c r="AH271" s="497"/>
      <c r="AI271" s="497"/>
      <c r="AJ271" s="497"/>
      <c r="AK271" s="497"/>
      <c r="AL271" s="497"/>
      <c r="AM271" s="497"/>
      <c r="AN271" s="497"/>
      <c r="AO271" s="497"/>
      <c r="AP271" s="497"/>
      <c r="AQ271" s="497"/>
      <c r="AR271" s="497"/>
      <c r="AS271" s="497"/>
      <c r="AT271" s="497"/>
      <c r="AU271" s="497"/>
      <c r="AV271" s="497"/>
      <c r="AW271" s="497"/>
      <c r="AX271" s="497"/>
      <c r="AY271" s="497"/>
      <c r="AZ271" s="497"/>
      <c r="BA271" s="497"/>
      <c r="BB271" s="497"/>
      <c r="BC271" s="497"/>
      <c r="BD271" s="497"/>
      <c r="BE271" s="497"/>
      <c r="BF271" s="497"/>
      <c r="BG271" s="497"/>
      <c r="BH271" s="497"/>
      <c r="BI271" s="497"/>
      <c r="BJ271" s="497"/>
      <c r="BK271" s="497"/>
      <c r="BL271" s="497"/>
      <c r="BM271" s="497"/>
      <c r="BN271" s="497"/>
      <c r="BO271" s="497"/>
      <c r="BP271" s="497"/>
      <c r="BQ271" s="497"/>
      <c r="BR271" s="497"/>
      <c r="BS271" s="497"/>
      <c r="BT271" s="497"/>
      <c r="BU271" s="497"/>
      <c r="BV271" s="497"/>
      <c r="BW271" s="497"/>
      <c r="BX271" s="497"/>
      <c r="BY271" s="497"/>
      <c r="BZ271" s="497"/>
      <c r="CA271" s="497"/>
      <c r="CB271" s="497"/>
      <c r="CC271" s="497"/>
      <c r="CD271" s="497"/>
      <c r="CE271" s="497"/>
      <c r="CF271" s="497"/>
      <c r="CG271" s="497"/>
      <c r="CH271" s="497"/>
    </row>
    <row r="272" spans="1:86" s="2058" customFormat="1">
      <c r="A272" s="517"/>
      <c r="B272" s="517"/>
      <c r="C272" s="517"/>
      <c r="D272" s="517"/>
      <c r="E272" s="517"/>
      <c r="F272" s="517"/>
      <c r="G272" s="517"/>
      <c r="H272" s="639"/>
      <c r="I272" s="639"/>
      <c r="J272" s="336"/>
      <c r="K272" s="2056"/>
      <c r="L272" s="337"/>
      <c r="M272" s="335"/>
      <c r="N272" s="2057"/>
      <c r="O272" s="337"/>
      <c r="P272" s="337"/>
      <c r="Q272" s="337"/>
      <c r="R272" s="337"/>
      <c r="S272" s="337"/>
      <c r="T272" s="337"/>
      <c r="U272" s="497"/>
      <c r="V272" s="497"/>
      <c r="W272" s="497"/>
      <c r="X272" s="497"/>
      <c r="Y272" s="497"/>
      <c r="Z272" s="497"/>
      <c r="AA272" s="497"/>
      <c r="AB272" s="497"/>
      <c r="AC272" s="497"/>
      <c r="AD272" s="497"/>
      <c r="AE272" s="497"/>
      <c r="AF272" s="497"/>
      <c r="AG272" s="497"/>
      <c r="AH272" s="497"/>
      <c r="AI272" s="497"/>
      <c r="AJ272" s="497"/>
      <c r="AK272" s="497"/>
      <c r="AL272" s="497"/>
      <c r="AM272" s="497"/>
      <c r="AN272" s="497"/>
      <c r="AO272" s="497"/>
      <c r="AP272" s="497"/>
      <c r="AQ272" s="497"/>
      <c r="AR272" s="497"/>
      <c r="AS272" s="497"/>
      <c r="AT272" s="497"/>
      <c r="AU272" s="497"/>
      <c r="AV272" s="497"/>
      <c r="AW272" s="497"/>
      <c r="AX272" s="497"/>
      <c r="AY272" s="497"/>
      <c r="AZ272" s="497"/>
      <c r="BA272" s="497"/>
      <c r="BB272" s="497"/>
      <c r="BC272" s="497"/>
      <c r="BD272" s="497"/>
      <c r="BE272" s="497"/>
      <c r="BF272" s="497"/>
      <c r="BG272" s="497"/>
      <c r="BH272" s="497"/>
      <c r="BI272" s="497"/>
      <c r="BJ272" s="497"/>
      <c r="BK272" s="497"/>
      <c r="BL272" s="497"/>
      <c r="BM272" s="497"/>
      <c r="BN272" s="497"/>
      <c r="BO272" s="497"/>
      <c r="BP272" s="497"/>
      <c r="BQ272" s="497"/>
      <c r="BR272" s="497"/>
      <c r="BS272" s="497"/>
      <c r="BT272" s="497"/>
      <c r="BU272" s="497"/>
      <c r="BV272" s="497"/>
      <c r="BW272" s="497"/>
      <c r="BX272" s="497"/>
      <c r="BY272" s="497"/>
      <c r="BZ272" s="497"/>
      <c r="CA272" s="497"/>
      <c r="CB272" s="497"/>
      <c r="CC272" s="497"/>
      <c r="CD272" s="497"/>
      <c r="CE272" s="497"/>
      <c r="CF272" s="497"/>
      <c r="CG272" s="497"/>
      <c r="CH272" s="497"/>
    </row>
    <row r="273" spans="1:86" s="2058" customFormat="1">
      <c r="A273" s="517"/>
      <c r="B273" s="517"/>
      <c r="C273" s="517"/>
      <c r="D273" s="517"/>
      <c r="E273" s="517"/>
      <c r="F273" s="517"/>
      <c r="G273" s="517"/>
      <c r="H273" s="639"/>
      <c r="I273" s="639"/>
      <c r="J273" s="336"/>
      <c r="K273" s="2056"/>
      <c r="L273" s="337"/>
      <c r="M273" s="335"/>
      <c r="N273" s="2057"/>
      <c r="O273" s="337"/>
      <c r="P273" s="337"/>
      <c r="Q273" s="337"/>
      <c r="R273" s="337"/>
      <c r="S273" s="337"/>
      <c r="T273" s="337"/>
      <c r="U273" s="497"/>
      <c r="V273" s="497"/>
      <c r="W273" s="497"/>
      <c r="X273" s="497"/>
      <c r="Y273" s="497"/>
      <c r="Z273" s="497"/>
      <c r="AA273" s="497"/>
      <c r="AB273" s="497"/>
      <c r="AC273" s="497"/>
      <c r="AD273" s="497"/>
      <c r="AE273" s="497"/>
      <c r="AF273" s="497"/>
      <c r="AG273" s="497"/>
      <c r="AH273" s="497"/>
      <c r="AI273" s="497"/>
      <c r="AJ273" s="497"/>
      <c r="AK273" s="497"/>
      <c r="AL273" s="497"/>
      <c r="AM273" s="497"/>
      <c r="AN273" s="497"/>
      <c r="AO273" s="497"/>
      <c r="AP273" s="497"/>
      <c r="AQ273" s="497"/>
      <c r="AR273" s="497"/>
      <c r="AS273" s="497"/>
      <c r="AT273" s="497"/>
      <c r="AU273" s="497"/>
      <c r="AV273" s="497"/>
      <c r="AW273" s="497"/>
      <c r="AX273" s="497"/>
      <c r="AY273" s="497"/>
      <c r="AZ273" s="497"/>
      <c r="BA273" s="497"/>
      <c r="BB273" s="497"/>
      <c r="BC273" s="497"/>
      <c r="BD273" s="497"/>
      <c r="BE273" s="497"/>
      <c r="BF273" s="497"/>
      <c r="BG273" s="497"/>
      <c r="BH273" s="497"/>
      <c r="BI273" s="497"/>
      <c r="BJ273" s="497"/>
      <c r="BK273" s="497"/>
      <c r="BL273" s="497"/>
      <c r="BM273" s="497"/>
      <c r="BN273" s="497"/>
      <c r="BO273" s="497"/>
      <c r="BP273" s="497"/>
      <c r="BQ273" s="497"/>
      <c r="BR273" s="497"/>
      <c r="BS273" s="497"/>
      <c r="BT273" s="497"/>
      <c r="BU273" s="497"/>
      <c r="BV273" s="497"/>
      <c r="BW273" s="497"/>
      <c r="BX273" s="497"/>
      <c r="BY273" s="497"/>
      <c r="BZ273" s="497"/>
      <c r="CA273" s="497"/>
      <c r="CB273" s="497"/>
      <c r="CC273" s="497"/>
      <c r="CD273" s="497"/>
      <c r="CE273" s="497"/>
      <c r="CF273" s="497"/>
      <c r="CG273" s="497"/>
      <c r="CH273" s="497"/>
    </row>
    <row r="274" spans="1:86" s="2058" customFormat="1">
      <c r="A274" s="517"/>
      <c r="B274" s="517"/>
      <c r="C274" s="517"/>
      <c r="D274" s="517"/>
      <c r="E274" s="517"/>
      <c r="F274" s="517"/>
      <c r="G274" s="517"/>
      <c r="H274" s="639"/>
      <c r="I274" s="639"/>
      <c r="J274" s="336"/>
      <c r="K274" s="2056"/>
      <c r="L274" s="337"/>
      <c r="M274" s="335"/>
      <c r="N274" s="2057"/>
      <c r="O274" s="337"/>
      <c r="P274" s="337"/>
      <c r="Q274" s="337"/>
      <c r="R274" s="337"/>
      <c r="S274" s="337"/>
      <c r="T274" s="337"/>
      <c r="U274" s="497"/>
      <c r="V274" s="497"/>
      <c r="W274" s="497"/>
      <c r="X274" s="497"/>
      <c r="Y274" s="497"/>
      <c r="Z274" s="497"/>
      <c r="AA274" s="497"/>
      <c r="AB274" s="497"/>
      <c r="AC274" s="497"/>
      <c r="AD274" s="497"/>
      <c r="AE274" s="497"/>
      <c r="AF274" s="497"/>
      <c r="AG274" s="497"/>
      <c r="AH274" s="497"/>
      <c r="AI274" s="497"/>
      <c r="AJ274" s="497"/>
      <c r="AK274" s="497"/>
      <c r="AL274" s="497"/>
      <c r="AM274" s="497"/>
      <c r="AN274" s="497"/>
      <c r="AO274" s="497"/>
      <c r="AP274" s="497"/>
      <c r="AQ274" s="497"/>
      <c r="AR274" s="497"/>
      <c r="AS274" s="497"/>
      <c r="AT274" s="497"/>
      <c r="AU274" s="497"/>
      <c r="AV274" s="497"/>
      <c r="AW274" s="497"/>
      <c r="AX274" s="497"/>
      <c r="AY274" s="497"/>
      <c r="AZ274" s="497"/>
      <c r="BA274" s="497"/>
      <c r="BB274" s="497"/>
      <c r="BC274" s="497"/>
      <c r="BD274" s="497"/>
      <c r="BE274" s="497"/>
      <c r="BF274" s="497"/>
      <c r="BG274" s="497"/>
      <c r="BH274" s="497"/>
      <c r="BI274" s="497"/>
      <c r="BJ274" s="497"/>
      <c r="BK274" s="497"/>
      <c r="BL274" s="497"/>
      <c r="BM274" s="497"/>
      <c r="BN274" s="497"/>
      <c r="BO274" s="497"/>
      <c r="BP274" s="497"/>
      <c r="BQ274" s="497"/>
      <c r="BR274" s="497"/>
      <c r="BS274" s="497"/>
      <c r="BT274" s="497"/>
      <c r="BU274" s="497"/>
      <c r="BV274" s="497"/>
      <c r="BW274" s="497"/>
      <c r="BX274" s="497"/>
      <c r="BY274" s="497"/>
      <c r="BZ274" s="497"/>
      <c r="CA274" s="497"/>
      <c r="CB274" s="497"/>
      <c r="CC274" s="497"/>
      <c r="CD274" s="497"/>
      <c r="CE274" s="497"/>
      <c r="CF274" s="497"/>
      <c r="CG274" s="497"/>
      <c r="CH274" s="497"/>
    </row>
    <row r="275" spans="1:86" s="2058" customFormat="1">
      <c r="A275" s="517"/>
      <c r="B275" s="517"/>
      <c r="C275" s="517"/>
      <c r="D275" s="517"/>
      <c r="E275" s="517"/>
      <c r="F275" s="517"/>
      <c r="G275" s="517"/>
      <c r="H275" s="639"/>
      <c r="I275" s="639"/>
      <c r="J275" s="336"/>
      <c r="K275" s="2056"/>
      <c r="L275" s="337"/>
      <c r="M275" s="335"/>
      <c r="N275" s="2057"/>
      <c r="O275" s="337"/>
      <c r="P275" s="337"/>
      <c r="Q275" s="337"/>
      <c r="R275" s="337"/>
      <c r="S275" s="337"/>
      <c r="T275" s="337"/>
      <c r="U275" s="497"/>
      <c r="V275" s="497"/>
      <c r="W275" s="497"/>
      <c r="X275" s="497"/>
      <c r="Y275" s="497"/>
      <c r="Z275" s="497"/>
      <c r="AA275" s="497"/>
      <c r="AB275" s="497"/>
      <c r="AC275" s="497"/>
      <c r="AD275" s="497"/>
      <c r="AE275" s="497"/>
      <c r="AF275" s="497"/>
      <c r="AG275" s="497"/>
      <c r="AH275" s="497"/>
      <c r="AI275" s="497"/>
      <c r="AJ275" s="497"/>
      <c r="AK275" s="497"/>
      <c r="AL275" s="497"/>
      <c r="AM275" s="497"/>
      <c r="AN275" s="497"/>
      <c r="AO275" s="497"/>
      <c r="AP275" s="497"/>
      <c r="AQ275" s="497"/>
      <c r="AR275" s="497"/>
      <c r="AS275" s="497"/>
      <c r="AT275" s="497"/>
      <c r="AU275" s="497"/>
      <c r="AV275" s="497"/>
      <c r="AW275" s="497"/>
      <c r="AX275" s="497"/>
      <c r="AY275" s="497"/>
      <c r="AZ275" s="497"/>
      <c r="BA275" s="497"/>
      <c r="BB275" s="497"/>
      <c r="BC275" s="497"/>
      <c r="BD275" s="497"/>
      <c r="BE275" s="497"/>
      <c r="BF275" s="497"/>
      <c r="BG275" s="497"/>
      <c r="BH275" s="497"/>
      <c r="BI275" s="497"/>
      <c r="BJ275" s="497"/>
      <c r="BK275" s="497"/>
      <c r="BL275" s="497"/>
      <c r="BM275" s="497"/>
      <c r="BN275" s="497"/>
      <c r="BO275" s="497"/>
      <c r="BP275" s="497"/>
      <c r="BQ275" s="497"/>
      <c r="BR275" s="497"/>
      <c r="BS275" s="497"/>
      <c r="BT275" s="497"/>
      <c r="BU275" s="497"/>
      <c r="BV275" s="497"/>
      <c r="BW275" s="497"/>
      <c r="BX275" s="497"/>
      <c r="BY275" s="497"/>
      <c r="BZ275" s="497"/>
      <c r="CA275" s="497"/>
      <c r="CB275" s="497"/>
      <c r="CC275" s="497"/>
      <c r="CD275" s="497"/>
      <c r="CE275" s="497"/>
      <c r="CF275" s="497"/>
      <c r="CG275" s="497"/>
      <c r="CH275" s="497"/>
    </row>
    <row r="276" spans="1:86" s="2058" customFormat="1">
      <c r="A276" s="517"/>
      <c r="B276" s="517"/>
      <c r="C276" s="517"/>
      <c r="D276" s="517"/>
      <c r="E276" s="517"/>
      <c r="F276" s="517"/>
      <c r="G276" s="517"/>
      <c r="H276" s="639"/>
      <c r="I276" s="639"/>
      <c r="J276" s="336"/>
      <c r="K276" s="2056"/>
      <c r="L276" s="337"/>
      <c r="M276" s="335"/>
      <c r="N276" s="2057"/>
      <c r="O276" s="337"/>
      <c r="P276" s="337"/>
      <c r="Q276" s="337"/>
      <c r="R276" s="337"/>
      <c r="S276" s="337"/>
      <c r="T276" s="337"/>
      <c r="U276" s="497"/>
      <c r="V276" s="497"/>
      <c r="W276" s="497"/>
      <c r="X276" s="497"/>
      <c r="Y276" s="497"/>
      <c r="Z276" s="497"/>
      <c r="AA276" s="497"/>
      <c r="AB276" s="497"/>
      <c r="AC276" s="497"/>
      <c r="AD276" s="497"/>
      <c r="AE276" s="497"/>
      <c r="AF276" s="497"/>
      <c r="AG276" s="497"/>
      <c r="AH276" s="497"/>
      <c r="AI276" s="497"/>
      <c r="AJ276" s="497"/>
      <c r="AK276" s="497"/>
      <c r="AL276" s="497"/>
      <c r="AM276" s="497"/>
      <c r="AN276" s="497"/>
      <c r="AO276" s="497"/>
      <c r="AP276" s="497"/>
      <c r="AQ276" s="497"/>
      <c r="AR276" s="497"/>
      <c r="AS276" s="497"/>
      <c r="AT276" s="497"/>
      <c r="AU276" s="497"/>
      <c r="AV276" s="497"/>
      <c r="AW276" s="497"/>
      <c r="AX276" s="497"/>
      <c r="AY276" s="497"/>
      <c r="AZ276" s="497"/>
      <c r="BA276" s="497"/>
      <c r="BB276" s="497"/>
      <c r="BC276" s="497"/>
      <c r="BD276" s="497"/>
      <c r="BE276" s="497"/>
      <c r="BF276" s="497"/>
      <c r="BG276" s="497"/>
      <c r="BH276" s="497"/>
      <c r="BI276" s="497"/>
      <c r="BJ276" s="497"/>
      <c r="BK276" s="497"/>
      <c r="BL276" s="497"/>
      <c r="BM276" s="497"/>
      <c r="BN276" s="497"/>
      <c r="BO276" s="497"/>
      <c r="BP276" s="497"/>
      <c r="BQ276" s="497"/>
      <c r="BR276" s="497"/>
      <c r="BS276" s="497"/>
      <c r="BT276" s="497"/>
      <c r="BU276" s="497"/>
      <c r="BV276" s="497"/>
      <c r="BW276" s="497"/>
      <c r="BX276" s="497"/>
      <c r="BY276" s="497"/>
      <c r="BZ276" s="497"/>
      <c r="CA276" s="497"/>
      <c r="CB276" s="497"/>
      <c r="CC276" s="497"/>
      <c r="CD276" s="497"/>
      <c r="CE276" s="497"/>
      <c r="CF276" s="497"/>
      <c r="CG276" s="497"/>
      <c r="CH276" s="497"/>
    </row>
    <row r="277" spans="1:86" s="2058" customFormat="1">
      <c r="A277" s="517"/>
      <c r="B277" s="517"/>
      <c r="C277" s="517"/>
      <c r="D277" s="517"/>
      <c r="E277" s="517"/>
      <c r="F277" s="517"/>
      <c r="G277" s="517"/>
      <c r="H277" s="639"/>
      <c r="I277" s="639"/>
      <c r="J277" s="336"/>
      <c r="K277" s="2056"/>
      <c r="L277" s="337"/>
      <c r="M277" s="335"/>
      <c r="N277" s="2057"/>
      <c r="O277" s="337"/>
      <c r="P277" s="337"/>
      <c r="Q277" s="337"/>
      <c r="R277" s="337"/>
      <c r="S277" s="337"/>
      <c r="T277" s="337"/>
      <c r="U277" s="497"/>
      <c r="V277" s="497"/>
      <c r="W277" s="497"/>
      <c r="X277" s="497"/>
      <c r="Y277" s="497"/>
      <c r="Z277" s="497"/>
      <c r="AA277" s="497"/>
      <c r="AB277" s="497"/>
      <c r="AC277" s="497"/>
      <c r="AD277" s="497"/>
      <c r="AE277" s="497"/>
      <c r="AF277" s="497"/>
      <c r="AG277" s="497"/>
      <c r="AH277" s="497"/>
      <c r="AI277" s="497"/>
      <c r="AJ277" s="497"/>
      <c r="AK277" s="497"/>
      <c r="AL277" s="497"/>
      <c r="AM277" s="497"/>
      <c r="AN277" s="497"/>
      <c r="AO277" s="497"/>
      <c r="AP277" s="497"/>
      <c r="AQ277" s="497"/>
      <c r="AR277" s="497"/>
      <c r="AS277" s="497"/>
      <c r="AT277" s="497"/>
      <c r="AU277" s="497"/>
      <c r="AV277" s="497"/>
      <c r="AW277" s="497"/>
      <c r="AX277" s="497"/>
      <c r="AY277" s="497"/>
      <c r="AZ277" s="497"/>
      <c r="BA277" s="497"/>
      <c r="BB277" s="497"/>
      <c r="BC277" s="497"/>
      <c r="BD277" s="497"/>
      <c r="BE277" s="497"/>
      <c r="BF277" s="497"/>
      <c r="BG277" s="497"/>
      <c r="BH277" s="497"/>
      <c r="BI277" s="497"/>
      <c r="BJ277" s="497"/>
      <c r="BK277" s="497"/>
      <c r="BL277" s="497"/>
      <c r="BM277" s="497"/>
      <c r="BN277" s="497"/>
      <c r="BO277" s="497"/>
      <c r="BP277" s="497"/>
      <c r="BQ277" s="497"/>
      <c r="BR277" s="497"/>
      <c r="BS277" s="497"/>
      <c r="BT277" s="497"/>
      <c r="BU277" s="497"/>
      <c r="BV277" s="497"/>
      <c r="BW277" s="497"/>
      <c r="BX277" s="497"/>
      <c r="BY277" s="497"/>
      <c r="BZ277" s="497"/>
      <c r="CA277" s="497"/>
      <c r="CB277" s="497"/>
      <c r="CC277" s="497"/>
      <c r="CD277" s="497"/>
      <c r="CE277" s="497"/>
      <c r="CF277" s="497"/>
      <c r="CG277" s="497"/>
      <c r="CH277" s="497"/>
    </row>
    <row r="278" spans="1:86" s="2058" customFormat="1">
      <c r="A278" s="517"/>
      <c r="B278" s="517"/>
      <c r="C278" s="517"/>
      <c r="D278" s="517"/>
      <c r="E278" s="517"/>
      <c r="F278" s="517"/>
      <c r="G278" s="517"/>
      <c r="H278" s="639"/>
      <c r="I278" s="639"/>
      <c r="J278" s="336"/>
      <c r="K278" s="2056"/>
      <c r="L278" s="337"/>
      <c r="M278" s="335"/>
      <c r="N278" s="2057"/>
      <c r="O278" s="337"/>
      <c r="P278" s="337"/>
      <c r="Q278" s="337"/>
      <c r="R278" s="337"/>
      <c r="S278" s="337"/>
      <c r="T278" s="337"/>
      <c r="U278" s="497"/>
      <c r="V278" s="497"/>
      <c r="W278" s="497"/>
      <c r="X278" s="497"/>
      <c r="Y278" s="497"/>
      <c r="Z278" s="497"/>
      <c r="AA278" s="497"/>
      <c r="AB278" s="497"/>
      <c r="AC278" s="497"/>
      <c r="AD278" s="497"/>
      <c r="AE278" s="497"/>
      <c r="AF278" s="497"/>
      <c r="AG278" s="497"/>
      <c r="AH278" s="497"/>
      <c r="AI278" s="497"/>
      <c r="AJ278" s="497"/>
      <c r="AK278" s="497"/>
      <c r="AL278" s="497"/>
      <c r="AM278" s="497"/>
      <c r="AN278" s="497"/>
      <c r="AO278" s="497"/>
      <c r="AP278" s="497"/>
      <c r="AQ278" s="497"/>
      <c r="AR278" s="497"/>
      <c r="AS278" s="497"/>
      <c r="AT278" s="497"/>
      <c r="AU278" s="497"/>
      <c r="AV278" s="497"/>
      <c r="AW278" s="497"/>
      <c r="AX278" s="497"/>
      <c r="AY278" s="497"/>
      <c r="AZ278" s="497"/>
      <c r="BA278" s="497"/>
      <c r="BB278" s="497"/>
      <c r="BC278" s="497"/>
      <c r="BD278" s="497"/>
      <c r="BE278" s="497"/>
      <c r="BF278" s="497"/>
      <c r="BG278" s="497"/>
      <c r="BH278" s="497"/>
      <c r="BI278" s="497"/>
      <c r="BJ278" s="497"/>
      <c r="BK278" s="497"/>
      <c r="BL278" s="497"/>
      <c r="BM278" s="497"/>
      <c r="BN278" s="497"/>
      <c r="BO278" s="497"/>
      <c r="BP278" s="497"/>
      <c r="BQ278" s="497"/>
      <c r="BR278" s="497"/>
      <c r="BS278" s="497"/>
      <c r="BT278" s="497"/>
      <c r="BU278" s="497"/>
      <c r="BV278" s="497"/>
      <c r="BW278" s="497"/>
      <c r="BX278" s="497"/>
      <c r="BY278" s="497"/>
      <c r="BZ278" s="497"/>
      <c r="CA278" s="497"/>
      <c r="CB278" s="497"/>
      <c r="CC278" s="497"/>
      <c r="CD278" s="497"/>
      <c r="CE278" s="497"/>
      <c r="CF278" s="497"/>
      <c r="CG278" s="497"/>
      <c r="CH278" s="497"/>
    </row>
    <row r="279" spans="1:86" s="2058" customFormat="1">
      <c r="A279" s="517"/>
      <c r="B279" s="517"/>
      <c r="C279" s="517"/>
      <c r="D279" s="517"/>
      <c r="E279" s="517"/>
      <c r="F279" s="517"/>
      <c r="G279" s="517"/>
      <c r="H279" s="639"/>
      <c r="I279" s="639"/>
      <c r="J279" s="336"/>
      <c r="K279" s="2056"/>
      <c r="L279" s="337"/>
      <c r="M279" s="335"/>
      <c r="N279" s="2057"/>
      <c r="O279" s="337"/>
      <c r="P279" s="337"/>
      <c r="Q279" s="337"/>
      <c r="R279" s="337"/>
      <c r="S279" s="337"/>
      <c r="T279" s="337"/>
      <c r="U279" s="497"/>
      <c r="V279" s="497"/>
      <c r="W279" s="497"/>
      <c r="X279" s="497"/>
      <c r="Y279" s="497"/>
      <c r="Z279" s="497"/>
      <c r="AA279" s="497"/>
      <c r="AB279" s="497"/>
      <c r="AC279" s="497"/>
      <c r="AD279" s="497"/>
      <c r="AE279" s="497"/>
      <c r="AF279" s="497"/>
      <c r="AG279" s="497"/>
      <c r="AH279" s="497"/>
      <c r="AI279" s="497"/>
      <c r="AJ279" s="497"/>
      <c r="AK279" s="497"/>
      <c r="AL279" s="497"/>
      <c r="AM279" s="497"/>
      <c r="AN279" s="497"/>
      <c r="AO279" s="497"/>
      <c r="AP279" s="497"/>
      <c r="AQ279" s="497"/>
      <c r="AR279" s="497"/>
      <c r="AS279" s="497"/>
      <c r="AT279" s="497"/>
      <c r="AU279" s="497"/>
      <c r="AV279" s="497"/>
      <c r="AW279" s="497"/>
      <c r="AX279" s="497"/>
      <c r="AY279" s="497"/>
      <c r="AZ279" s="497"/>
      <c r="BA279" s="497"/>
      <c r="BB279" s="497"/>
      <c r="BC279" s="497"/>
      <c r="BD279" s="497"/>
      <c r="BE279" s="497"/>
      <c r="BF279" s="497"/>
      <c r="BG279" s="497"/>
      <c r="BH279" s="497"/>
      <c r="BI279" s="497"/>
      <c r="BJ279" s="497"/>
      <c r="BK279" s="497"/>
      <c r="BL279" s="497"/>
      <c r="BM279" s="497"/>
      <c r="BN279" s="497"/>
      <c r="BO279" s="497"/>
      <c r="BP279" s="497"/>
      <c r="BQ279" s="497"/>
      <c r="BR279" s="497"/>
      <c r="BS279" s="497"/>
      <c r="BT279" s="497"/>
      <c r="BU279" s="497"/>
      <c r="BV279" s="497"/>
      <c r="BW279" s="497"/>
      <c r="BX279" s="497"/>
      <c r="BY279" s="497"/>
      <c r="BZ279" s="497"/>
      <c r="CA279" s="497"/>
      <c r="CB279" s="497"/>
      <c r="CC279" s="497"/>
      <c r="CD279" s="497"/>
      <c r="CE279" s="497"/>
      <c r="CF279" s="497"/>
      <c r="CG279" s="497"/>
      <c r="CH279" s="497"/>
    </row>
    <row r="280" spans="1:86" s="2058" customFormat="1">
      <c r="A280" s="517"/>
      <c r="B280" s="517"/>
      <c r="C280" s="517"/>
      <c r="D280" s="517"/>
      <c r="E280" s="517"/>
      <c r="F280" s="517"/>
      <c r="G280" s="517"/>
      <c r="H280" s="639"/>
      <c r="I280" s="639"/>
      <c r="J280" s="336"/>
      <c r="K280" s="2056"/>
      <c r="L280" s="337"/>
      <c r="M280" s="335"/>
      <c r="N280" s="2057"/>
      <c r="O280" s="337"/>
      <c r="P280" s="337"/>
      <c r="Q280" s="337"/>
      <c r="R280" s="337"/>
      <c r="S280" s="337"/>
      <c r="T280" s="337"/>
      <c r="U280" s="497"/>
      <c r="V280" s="497"/>
      <c r="W280" s="497"/>
      <c r="X280" s="497"/>
      <c r="Y280" s="497"/>
      <c r="Z280" s="497"/>
      <c r="AA280" s="497"/>
      <c r="AB280" s="497"/>
      <c r="AC280" s="497"/>
      <c r="AD280" s="497"/>
      <c r="AE280" s="497"/>
      <c r="AF280" s="497"/>
      <c r="AG280" s="497"/>
      <c r="AH280" s="497"/>
      <c r="AI280" s="497"/>
      <c r="AJ280" s="497"/>
      <c r="AK280" s="497"/>
      <c r="AL280" s="497"/>
      <c r="AM280" s="497"/>
      <c r="AN280" s="497"/>
      <c r="AO280" s="497"/>
      <c r="AP280" s="497"/>
      <c r="AQ280" s="497"/>
      <c r="AR280" s="497"/>
      <c r="AS280" s="497"/>
      <c r="AT280" s="497"/>
      <c r="AU280" s="497"/>
      <c r="AV280" s="497"/>
      <c r="AW280" s="497"/>
      <c r="AX280" s="497"/>
      <c r="AY280" s="497"/>
      <c r="AZ280" s="497"/>
      <c r="BA280" s="497"/>
      <c r="BB280" s="497"/>
      <c r="BC280" s="497"/>
      <c r="BD280" s="497"/>
      <c r="BE280" s="497"/>
      <c r="BF280" s="497"/>
      <c r="BG280" s="497"/>
      <c r="BH280" s="497"/>
      <c r="BI280" s="497"/>
      <c r="BJ280" s="497"/>
      <c r="BK280" s="497"/>
      <c r="BL280" s="497"/>
      <c r="BM280" s="497"/>
      <c r="BN280" s="497"/>
      <c r="BO280" s="497"/>
      <c r="BP280" s="497"/>
      <c r="BQ280" s="497"/>
      <c r="BR280" s="497"/>
      <c r="BS280" s="497"/>
      <c r="BT280" s="497"/>
      <c r="BU280" s="497"/>
      <c r="BV280" s="497"/>
      <c r="BW280" s="497"/>
      <c r="BX280" s="497"/>
      <c r="BY280" s="497"/>
      <c r="BZ280" s="497"/>
      <c r="CA280" s="497"/>
      <c r="CB280" s="497"/>
      <c r="CC280" s="497"/>
      <c r="CD280" s="497"/>
      <c r="CE280" s="497"/>
      <c r="CF280" s="497"/>
      <c r="CG280" s="497"/>
      <c r="CH280" s="497"/>
    </row>
    <row r="281" spans="1:86" s="2058" customFormat="1">
      <c r="A281" s="517"/>
      <c r="B281" s="517"/>
      <c r="C281" s="517"/>
      <c r="D281" s="517"/>
      <c r="E281" s="517"/>
      <c r="F281" s="517"/>
      <c r="G281" s="517"/>
      <c r="H281" s="639"/>
      <c r="I281" s="639"/>
      <c r="J281" s="336"/>
      <c r="K281" s="2056"/>
      <c r="L281" s="337"/>
      <c r="M281" s="335"/>
      <c r="N281" s="2057"/>
      <c r="O281" s="337"/>
      <c r="P281" s="337"/>
      <c r="Q281" s="337"/>
      <c r="R281" s="337"/>
      <c r="S281" s="337"/>
      <c r="T281" s="337"/>
      <c r="U281" s="497"/>
      <c r="V281" s="497"/>
      <c r="W281" s="497"/>
      <c r="X281" s="497"/>
      <c r="Y281" s="497"/>
      <c r="Z281" s="497"/>
      <c r="AA281" s="497"/>
      <c r="AB281" s="497"/>
      <c r="AC281" s="497"/>
      <c r="AD281" s="497"/>
      <c r="AE281" s="497"/>
      <c r="AF281" s="497"/>
      <c r="AG281" s="497"/>
      <c r="AH281" s="497"/>
      <c r="AI281" s="497"/>
      <c r="AJ281" s="497"/>
      <c r="AK281" s="497"/>
      <c r="AL281" s="497"/>
      <c r="AM281" s="497"/>
      <c r="AN281" s="497"/>
      <c r="AO281" s="497"/>
      <c r="AP281" s="497"/>
      <c r="AQ281" s="497"/>
      <c r="AR281" s="497"/>
      <c r="AS281" s="497"/>
      <c r="AT281" s="497"/>
      <c r="AU281" s="497"/>
      <c r="AV281" s="497"/>
      <c r="AW281" s="497"/>
      <c r="AX281" s="497"/>
      <c r="AY281" s="497"/>
      <c r="AZ281" s="497"/>
      <c r="BA281" s="497"/>
      <c r="BB281" s="497"/>
      <c r="BC281" s="497"/>
      <c r="BD281" s="497"/>
      <c r="BE281" s="497"/>
      <c r="BF281" s="497"/>
      <c r="BG281" s="497"/>
      <c r="BH281" s="497"/>
      <c r="BI281" s="497"/>
      <c r="BJ281" s="497"/>
      <c r="BK281" s="497"/>
      <c r="BL281" s="497"/>
      <c r="BM281" s="497"/>
      <c r="BN281" s="497"/>
      <c r="BO281" s="497"/>
      <c r="BP281" s="497"/>
      <c r="BQ281" s="497"/>
      <c r="BR281" s="497"/>
      <c r="BS281" s="497"/>
      <c r="BT281" s="497"/>
      <c r="BU281" s="497"/>
      <c r="BV281" s="497"/>
      <c r="BW281" s="497"/>
      <c r="BX281" s="497"/>
      <c r="BY281" s="497"/>
      <c r="BZ281" s="497"/>
      <c r="CA281" s="497"/>
      <c r="CB281" s="497"/>
      <c r="CC281" s="497"/>
      <c r="CD281" s="497"/>
      <c r="CE281" s="497"/>
      <c r="CF281" s="497"/>
      <c r="CG281" s="497"/>
      <c r="CH281" s="497"/>
    </row>
    <row r="282" spans="1:86" s="2058" customFormat="1">
      <c r="A282" s="517"/>
      <c r="B282" s="517"/>
      <c r="C282" s="517"/>
      <c r="D282" s="517"/>
      <c r="E282" s="517"/>
      <c r="F282" s="517"/>
      <c r="G282" s="517"/>
      <c r="H282" s="639"/>
      <c r="I282" s="639"/>
      <c r="J282" s="336"/>
      <c r="K282" s="2056"/>
      <c r="L282" s="337"/>
      <c r="M282" s="335"/>
      <c r="N282" s="2057"/>
      <c r="O282" s="337"/>
      <c r="P282" s="337"/>
      <c r="Q282" s="337"/>
      <c r="R282" s="337"/>
      <c r="S282" s="337"/>
      <c r="T282" s="337"/>
      <c r="U282" s="497"/>
      <c r="V282" s="497"/>
      <c r="W282" s="497"/>
      <c r="X282" s="497"/>
      <c r="Y282" s="497"/>
      <c r="Z282" s="497"/>
      <c r="AA282" s="497"/>
      <c r="AB282" s="497"/>
      <c r="AC282" s="497"/>
      <c r="AD282" s="497"/>
      <c r="AE282" s="497"/>
      <c r="AF282" s="497"/>
      <c r="AG282" s="497"/>
      <c r="AH282" s="497"/>
      <c r="AI282" s="497"/>
      <c r="AJ282" s="497"/>
      <c r="AK282" s="497"/>
      <c r="AL282" s="497"/>
      <c r="AM282" s="497"/>
      <c r="AN282" s="497"/>
      <c r="AO282" s="497"/>
      <c r="AP282" s="497"/>
      <c r="AQ282" s="497"/>
      <c r="AR282" s="497"/>
      <c r="AS282" s="497"/>
      <c r="AT282" s="497"/>
      <c r="AU282" s="497"/>
      <c r="AV282" s="497"/>
      <c r="AW282" s="497"/>
      <c r="AX282" s="497"/>
      <c r="AY282" s="497"/>
      <c r="AZ282" s="497"/>
      <c r="BA282" s="497"/>
      <c r="BB282" s="497"/>
      <c r="BC282" s="497"/>
      <c r="BD282" s="497"/>
      <c r="BE282" s="497"/>
      <c r="BF282" s="497"/>
      <c r="BG282" s="497"/>
      <c r="BH282" s="497"/>
      <c r="BI282" s="497"/>
      <c r="BJ282" s="497"/>
      <c r="BK282" s="497"/>
      <c r="BL282" s="497"/>
      <c r="BM282" s="497"/>
      <c r="BN282" s="497"/>
      <c r="BO282" s="497"/>
      <c r="BP282" s="497"/>
      <c r="BQ282" s="497"/>
      <c r="BR282" s="497"/>
      <c r="BS282" s="497"/>
      <c r="BT282" s="497"/>
      <c r="BU282" s="497"/>
      <c r="BV282" s="497"/>
      <c r="BW282" s="497"/>
      <c r="BX282" s="497"/>
      <c r="BY282" s="497"/>
      <c r="BZ282" s="497"/>
      <c r="CA282" s="497"/>
      <c r="CB282" s="497"/>
      <c r="CC282" s="497"/>
      <c r="CD282" s="497"/>
      <c r="CE282" s="497"/>
      <c r="CF282" s="497"/>
      <c r="CG282" s="497"/>
      <c r="CH282" s="497"/>
    </row>
    <row r="283" spans="1:86" s="2058" customFormat="1">
      <c r="A283" s="517"/>
      <c r="B283" s="517"/>
      <c r="C283" s="517"/>
      <c r="D283" s="517"/>
      <c r="E283" s="517"/>
      <c r="F283" s="517"/>
      <c r="G283" s="517"/>
      <c r="H283" s="639"/>
      <c r="I283" s="639"/>
      <c r="J283" s="336"/>
      <c r="K283" s="2056"/>
      <c r="L283" s="337"/>
      <c r="M283" s="335"/>
      <c r="N283" s="2057"/>
      <c r="O283" s="337"/>
      <c r="P283" s="337"/>
      <c r="Q283" s="337"/>
      <c r="R283" s="337"/>
      <c r="S283" s="337"/>
      <c r="T283" s="337"/>
      <c r="U283" s="497"/>
      <c r="V283" s="497"/>
      <c r="W283" s="497"/>
      <c r="X283" s="497"/>
      <c r="Y283" s="497"/>
      <c r="Z283" s="497"/>
      <c r="AA283" s="497"/>
      <c r="AB283" s="497"/>
      <c r="AC283" s="497"/>
      <c r="AD283" s="497"/>
      <c r="AE283" s="497"/>
      <c r="AF283" s="497"/>
      <c r="AG283" s="497"/>
      <c r="AH283" s="497"/>
      <c r="AI283" s="497"/>
      <c r="AJ283" s="497"/>
      <c r="AK283" s="497"/>
      <c r="AL283" s="497"/>
      <c r="AM283" s="497"/>
      <c r="AN283" s="497"/>
      <c r="AO283" s="497"/>
      <c r="AP283" s="497"/>
      <c r="AQ283" s="497"/>
      <c r="AR283" s="497"/>
      <c r="AS283" s="497"/>
      <c r="AT283" s="497"/>
      <c r="AU283" s="497"/>
      <c r="AV283" s="497"/>
      <c r="AW283" s="497"/>
      <c r="AX283" s="497"/>
      <c r="AY283" s="497"/>
      <c r="AZ283" s="497"/>
      <c r="BA283" s="497"/>
      <c r="BB283" s="497"/>
      <c r="BC283" s="497"/>
      <c r="BD283" s="497"/>
      <c r="BE283" s="497"/>
      <c r="BF283" s="497"/>
      <c r="BG283" s="497"/>
      <c r="BH283" s="497"/>
      <c r="BI283" s="497"/>
      <c r="BJ283" s="497"/>
      <c r="BK283" s="497"/>
      <c r="BL283" s="497"/>
      <c r="BM283" s="497"/>
      <c r="BN283" s="497"/>
      <c r="BO283" s="497"/>
      <c r="BP283" s="497"/>
      <c r="BQ283" s="497"/>
      <c r="BR283" s="497"/>
      <c r="BS283" s="497"/>
      <c r="BT283" s="497"/>
      <c r="BU283" s="497"/>
      <c r="BV283" s="497"/>
      <c r="BW283" s="497"/>
      <c r="BX283" s="497"/>
      <c r="BY283" s="497"/>
      <c r="BZ283" s="497"/>
      <c r="CA283" s="497"/>
      <c r="CB283" s="497"/>
      <c r="CC283" s="497"/>
      <c r="CD283" s="497"/>
      <c r="CE283" s="497"/>
      <c r="CF283" s="497"/>
      <c r="CG283" s="497"/>
      <c r="CH283" s="497"/>
    </row>
    <row r="284" spans="1:86" s="2058" customFormat="1">
      <c r="A284" s="517"/>
      <c r="B284" s="517"/>
      <c r="C284" s="517"/>
      <c r="D284" s="517"/>
      <c r="E284" s="517"/>
      <c r="F284" s="517"/>
      <c r="G284" s="517"/>
      <c r="H284" s="639"/>
      <c r="I284" s="639"/>
      <c r="J284" s="336"/>
      <c r="K284" s="2056"/>
      <c r="L284" s="337"/>
      <c r="M284" s="335"/>
      <c r="N284" s="2057"/>
      <c r="O284" s="337"/>
      <c r="P284" s="337"/>
      <c r="Q284" s="337"/>
      <c r="R284" s="337"/>
      <c r="S284" s="337"/>
      <c r="T284" s="337"/>
      <c r="U284" s="497"/>
      <c r="V284" s="497"/>
      <c r="W284" s="497"/>
      <c r="X284" s="497"/>
      <c r="Y284" s="497"/>
      <c r="Z284" s="497"/>
      <c r="AA284" s="497"/>
      <c r="AB284" s="497"/>
      <c r="AC284" s="497"/>
      <c r="AD284" s="497"/>
      <c r="AE284" s="497"/>
      <c r="AF284" s="497"/>
      <c r="AG284" s="497"/>
      <c r="AH284" s="497"/>
      <c r="AI284" s="497"/>
      <c r="AJ284" s="497"/>
      <c r="AK284" s="497"/>
      <c r="AL284" s="497"/>
      <c r="AM284" s="497"/>
      <c r="AN284" s="497"/>
      <c r="AO284" s="497"/>
      <c r="AP284" s="497"/>
      <c r="AQ284" s="497"/>
      <c r="AR284" s="497"/>
      <c r="AS284" s="497"/>
      <c r="AT284" s="497"/>
      <c r="AU284" s="497"/>
      <c r="AV284" s="497"/>
      <c r="AW284" s="497"/>
      <c r="AX284" s="497"/>
      <c r="AY284" s="497"/>
      <c r="AZ284" s="497"/>
      <c r="BA284" s="497"/>
      <c r="BB284" s="497"/>
      <c r="BC284" s="497"/>
      <c r="BD284" s="497"/>
      <c r="BE284" s="497"/>
      <c r="BF284" s="497"/>
      <c r="BG284" s="497"/>
      <c r="BH284" s="497"/>
      <c r="BI284" s="497"/>
      <c r="BJ284" s="497"/>
      <c r="BK284" s="497"/>
      <c r="BL284" s="497"/>
      <c r="BM284" s="497"/>
      <c r="BN284" s="497"/>
      <c r="BO284" s="497"/>
      <c r="BP284" s="497"/>
      <c r="BQ284" s="497"/>
      <c r="BR284" s="497"/>
      <c r="BS284" s="497"/>
      <c r="BT284" s="497"/>
      <c r="BU284" s="497"/>
      <c r="BV284" s="497"/>
      <c r="BW284" s="497"/>
      <c r="BX284" s="497"/>
      <c r="BY284" s="497"/>
      <c r="BZ284" s="497"/>
      <c r="CA284" s="497"/>
      <c r="CB284" s="497"/>
      <c r="CC284" s="497"/>
      <c r="CD284" s="497"/>
      <c r="CE284" s="497"/>
      <c r="CF284" s="497"/>
      <c r="CG284" s="497"/>
      <c r="CH284" s="497"/>
    </row>
    <row r="285" spans="1:86" s="2058" customFormat="1">
      <c r="A285" s="517"/>
      <c r="B285" s="517"/>
      <c r="C285" s="517"/>
      <c r="D285" s="517"/>
      <c r="E285" s="517"/>
      <c r="F285" s="517"/>
      <c r="G285" s="517"/>
      <c r="H285" s="639"/>
      <c r="I285" s="639"/>
      <c r="J285" s="336"/>
      <c r="K285" s="2056"/>
      <c r="L285" s="337"/>
      <c r="M285" s="335"/>
      <c r="N285" s="2057"/>
      <c r="O285" s="337"/>
      <c r="P285" s="337"/>
      <c r="Q285" s="337"/>
      <c r="R285" s="337"/>
      <c r="S285" s="337"/>
      <c r="T285" s="337"/>
      <c r="U285" s="497"/>
      <c r="V285" s="497"/>
      <c r="W285" s="497"/>
      <c r="X285" s="497"/>
      <c r="Y285" s="497"/>
      <c r="Z285" s="497"/>
      <c r="AA285" s="497"/>
      <c r="AB285" s="497"/>
      <c r="AC285" s="497"/>
      <c r="AD285" s="497"/>
      <c r="AE285" s="497"/>
      <c r="AF285" s="497"/>
      <c r="AG285" s="497"/>
      <c r="AH285" s="497"/>
      <c r="AI285" s="497"/>
      <c r="AJ285" s="497"/>
      <c r="AK285" s="497"/>
      <c r="AL285" s="497"/>
      <c r="AM285" s="497"/>
      <c r="AN285" s="497"/>
      <c r="AO285" s="497"/>
      <c r="AP285" s="497"/>
      <c r="AQ285" s="497"/>
      <c r="AR285" s="497"/>
      <c r="AS285" s="497"/>
      <c r="AT285" s="497"/>
      <c r="AU285" s="497"/>
      <c r="AV285" s="497"/>
      <c r="AW285" s="497"/>
      <c r="AX285" s="497"/>
      <c r="AY285" s="497"/>
      <c r="AZ285" s="497"/>
      <c r="BA285" s="497"/>
      <c r="BB285" s="497"/>
      <c r="BC285" s="497"/>
      <c r="BD285" s="497"/>
      <c r="BE285" s="497"/>
      <c r="BF285" s="497"/>
      <c r="BG285" s="497"/>
      <c r="BH285" s="497"/>
      <c r="BI285" s="497"/>
      <c r="BJ285" s="497"/>
      <c r="BK285" s="497"/>
      <c r="BL285" s="497"/>
      <c r="BM285" s="497"/>
      <c r="BN285" s="497"/>
      <c r="BO285" s="497"/>
      <c r="BP285" s="497"/>
      <c r="BQ285" s="497"/>
      <c r="BR285" s="497"/>
      <c r="BS285" s="497"/>
      <c r="BT285" s="497"/>
      <c r="BU285" s="497"/>
      <c r="BV285" s="497"/>
      <c r="BW285" s="497"/>
      <c r="BX285" s="497"/>
      <c r="BY285" s="497"/>
      <c r="BZ285" s="497"/>
      <c r="CA285" s="497"/>
      <c r="CB285" s="497"/>
      <c r="CC285" s="497"/>
      <c r="CD285" s="497"/>
      <c r="CE285" s="497"/>
      <c r="CF285" s="497"/>
      <c r="CG285" s="497"/>
      <c r="CH285" s="497"/>
    </row>
    <row r="286" spans="1:86" s="2058" customFormat="1">
      <c r="A286" s="517"/>
      <c r="B286" s="517"/>
      <c r="C286" s="517"/>
      <c r="D286" s="517"/>
      <c r="E286" s="517"/>
      <c r="F286" s="517"/>
      <c r="G286" s="517"/>
      <c r="H286" s="639"/>
      <c r="I286" s="639"/>
      <c r="J286" s="336"/>
      <c r="K286" s="2056"/>
      <c r="L286" s="337"/>
      <c r="M286" s="335"/>
      <c r="N286" s="2057"/>
      <c r="O286" s="337"/>
      <c r="P286" s="337"/>
      <c r="Q286" s="337"/>
      <c r="R286" s="337"/>
      <c r="S286" s="337"/>
      <c r="T286" s="337"/>
      <c r="U286" s="497"/>
      <c r="V286" s="497"/>
      <c r="W286" s="497"/>
      <c r="X286" s="497"/>
      <c r="Y286" s="497"/>
      <c r="Z286" s="497"/>
      <c r="AA286" s="497"/>
      <c r="AB286" s="497"/>
      <c r="AC286" s="497"/>
      <c r="AD286" s="497"/>
      <c r="AE286" s="497"/>
      <c r="AF286" s="497"/>
      <c r="AG286" s="497"/>
      <c r="AH286" s="497"/>
      <c r="AI286" s="497"/>
      <c r="AJ286" s="497"/>
      <c r="AK286" s="497"/>
      <c r="AL286" s="497"/>
      <c r="AM286" s="497"/>
      <c r="AN286" s="497"/>
      <c r="AO286" s="497"/>
      <c r="AP286" s="497"/>
      <c r="AQ286" s="497"/>
      <c r="AR286" s="497"/>
      <c r="AS286" s="497"/>
      <c r="AT286" s="497"/>
      <c r="AU286" s="497"/>
      <c r="AV286" s="497"/>
      <c r="AW286" s="497"/>
      <c r="AX286" s="497"/>
      <c r="AY286" s="497"/>
      <c r="AZ286" s="497"/>
      <c r="BA286" s="497"/>
      <c r="BB286" s="497"/>
      <c r="BC286" s="497"/>
      <c r="BD286" s="497"/>
      <c r="BE286" s="497"/>
      <c r="BF286" s="497"/>
      <c r="BG286" s="497"/>
      <c r="BH286" s="497"/>
      <c r="BI286" s="497"/>
      <c r="BJ286" s="497"/>
      <c r="BK286" s="497"/>
      <c r="BL286" s="497"/>
      <c r="BM286" s="497"/>
      <c r="BN286" s="497"/>
      <c r="BO286" s="497"/>
      <c r="BP286" s="497"/>
      <c r="BQ286" s="497"/>
      <c r="BR286" s="497"/>
      <c r="BS286" s="497"/>
      <c r="BT286" s="497"/>
      <c r="BU286" s="497"/>
      <c r="BV286" s="497"/>
      <c r="BW286" s="497"/>
      <c r="BX286" s="497"/>
      <c r="BY286" s="497"/>
      <c r="BZ286" s="497"/>
      <c r="CA286" s="497"/>
      <c r="CB286" s="497"/>
      <c r="CC286" s="497"/>
      <c r="CD286" s="497"/>
      <c r="CE286" s="497"/>
      <c r="CF286" s="497"/>
      <c r="CG286" s="497"/>
      <c r="CH286" s="497"/>
    </row>
    <row r="287" spans="1:86" s="2058" customFormat="1">
      <c r="A287" s="517"/>
      <c r="B287" s="517"/>
      <c r="C287" s="517"/>
      <c r="D287" s="517"/>
      <c r="E287" s="517"/>
      <c r="F287" s="517"/>
      <c r="G287" s="517"/>
      <c r="H287" s="639"/>
      <c r="I287" s="639"/>
      <c r="J287" s="336"/>
      <c r="K287" s="2056"/>
      <c r="L287" s="337"/>
      <c r="M287" s="335"/>
      <c r="N287" s="2057"/>
      <c r="O287" s="337"/>
      <c r="P287" s="337"/>
      <c r="Q287" s="337"/>
      <c r="R287" s="337"/>
      <c r="S287" s="337"/>
      <c r="T287" s="337"/>
      <c r="U287" s="497"/>
      <c r="V287" s="497"/>
      <c r="W287" s="497"/>
      <c r="X287" s="497"/>
      <c r="Y287" s="497"/>
      <c r="Z287" s="497"/>
      <c r="AA287" s="497"/>
      <c r="AB287" s="497"/>
      <c r="AC287" s="497"/>
      <c r="AD287" s="497"/>
      <c r="AE287" s="497"/>
      <c r="AF287" s="497"/>
      <c r="AG287" s="497"/>
      <c r="AH287" s="497"/>
      <c r="AI287" s="497"/>
      <c r="AJ287" s="497"/>
      <c r="AK287" s="497"/>
      <c r="AL287" s="497"/>
      <c r="AM287" s="497"/>
      <c r="AN287" s="497"/>
      <c r="AO287" s="497"/>
      <c r="AP287" s="497"/>
      <c r="AQ287" s="497"/>
      <c r="AR287" s="497"/>
      <c r="AS287" s="497"/>
      <c r="AT287" s="497"/>
      <c r="AU287" s="497"/>
      <c r="AV287" s="497"/>
      <c r="AW287" s="497"/>
      <c r="AX287" s="497"/>
      <c r="AY287" s="497"/>
      <c r="AZ287" s="497"/>
      <c r="BA287" s="497"/>
      <c r="BB287" s="497"/>
      <c r="BC287" s="497"/>
      <c r="BD287" s="497"/>
      <c r="BE287" s="497"/>
      <c r="BF287" s="497"/>
      <c r="BG287" s="497"/>
      <c r="BH287" s="497"/>
      <c r="BI287" s="497"/>
      <c r="BJ287" s="497"/>
      <c r="BK287" s="497"/>
      <c r="BL287" s="497"/>
      <c r="BM287" s="497"/>
      <c r="BN287" s="497"/>
      <c r="BO287" s="497"/>
      <c r="BP287" s="497"/>
      <c r="BQ287" s="497"/>
      <c r="BR287" s="497"/>
      <c r="BS287" s="497"/>
      <c r="BT287" s="497"/>
      <c r="BU287" s="497"/>
      <c r="BV287" s="497"/>
      <c r="BW287" s="497"/>
      <c r="BX287" s="497"/>
      <c r="BY287" s="497"/>
      <c r="BZ287" s="497"/>
      <c r="CA287" s="497"/>
      <c r="CB287" s="497"/>
      <c r="CC287" s="497"/>
      <c r="CD287" s="497"/>
      <c r="CE287" s="497"/>
      <c r="CF287" s="497"/>
      <c r="CG287" s="497"/>
      <c r="CH287" s="497"/>
    </row>
    <row r="288" spans="1:86" s="2058" customFormat="1">
      <c r="A288" s="517"/>
      <c r="B288" s="517"/>
      <c r="C288" s="517"/>
      <c r="D288" s="517"/>
      <c r="E288" s="517"/>
      <c r="F288" s="517"/>
      <c r="G288" s="517"/>
      <c r="H288" s="639"/>
      <c r="I288" s="639"/>
      <c r="J288" s="336"/>
      <c r="K288" s="2056"/>
      <c r="L288" s="337"/>
      <c r="M288" s="335"/>
      <c r="N288" s="2057"/>
      <c r="O288" s="337"/>
      <c r="P288" s="337"/>
      <c r="Q288" s="337"/>
      <c r="R288" s="337"/>
      <c r="S288" s="337"/>
      <c r="T288" s="337"/>
      <c r="U288" s="497"/>
      <c r="V288" s="497"/>
      <c r="W288" s="497"/>
      <c r="X288" s="497"/>
      <c r="Y288" s="497"/>
      <c r="Z288" s="497"/>
      <c r="AA288" s="497"/>
      <c r="AB288" s="497"/>
      <c r="AC288" s="497"/>
      <c r="AD288" s="497"/>
      <c r="AE288" s="497"/>
      <c r="AF288" s="497"/>
      <c r="AG288" s="497"/>
      <c r="AH288" s="497"/>
      <c r="AI288" s="497"/>
      <c r="AJ288" s="497"/>
      <c r="AK288" s="497"/>
      <c r="AL288" s="497"/>
      <c r="AM288" s="497"/>
      <c r="AN288" s="497"/>
      <c r="AO288" s="497"/>
      <c r="AP288" s="497"/>
      <c r="AQ288" s="497"/>
      <c r="AR288" s="497"/>
      <c r="AS288" s="497"/>
      <c r="AT288" s="497"/>
      <c r="AU288" s="497"/>
      <c r="AV288" s="497"/>
      <c r="AW288" s="497"/>
      <c r="AX288" s="497"/>
      <c r="AY288" s="497"/>
      <c r="AZ288" s="497"/>
      <c r="BA288" s="497"/>
      <c r="BB288" s="497"/>
      <c r="BC288" s="497"/>
      <c r="BD288" s="497"/>
      <c r="BE288" s="497"/>
      <c r="BF288" s="497"/>
      <c r="BG288" s="497"/>
      <c r="BH288" s="497"/>
      <c r="BI288" s="497"/>
      <c r="BJ288" s="497"/>
      <c r="BK288" s="497"/>
      <c r="BL288" s="497"/>
      <c r="BM288" s="497"/>
      <c r="BN288" s="497"/>
      <c r="BO288" s="497"/>
      <c r="BP288" s="497"/>
      <c r="BQ288" s="497"/>
      <c r="BR288" s="497"/>
      <c r="BS288" s="497"/>
      <c r="BT288" s="497"/>
      <c r="BU288" s="497"/>
      <c r="BV288" s="497"/>
      <c r="BW288" s="497"/>
      <c r="BX288" s="497"/>
      <c r="BY288" s="497"/>
      <c r="BZ288" s="497"/>
      <c r="CA288" s="497"/>
      <c r="CB288" s="497"/>
      <c r="CC288" s="497"/>
      <c r="CD288" s="497"/>
      <c r="CE288" s="497"/>
      <c r="CF288" s="497"/>
      <c r="CG288" s="497"/>
      <c r="CH288" s="497"/>
    </row>
    <row r="289" spans="1:86" s="2058" customFormat="1">
      <c r="A289" s="517"/>
      <c r="B289" s="517"/>
      <c r="C289" s="517"/>
      <c r="D289" s="517"/>
      <c r="E289" s="517"/>
      <c r="F289" s="517"/>
      <c r="G289" s="517"/>
      <c r="H289" s="639"/>
      <c r="I289" s="639"/>
      <c r="J289" s="336"/>
      <c r="K289" s="2056"/>
      <c r="L289" s="337"/>
      <c r="M289" s="335"/>
      <c r="N289" s="2057"/>
      <c r="O289" s="337"/>
      <c r="P289" s="337"/>
      <c r="Q289" s="337"/>
      <c r="R289" s="337"/>
      <c r="S289" s="337"/>
      <c r="T289" s="337"/>
      <c r="U289" s="497"/>
      <c r="V289" s="497"/>
      <c r="W289" s="497"/>
      <c r="X289" s="497"/>
      <c r="Y289" s="497"/>
      <c r="Z289" s="497"/>
      <c r="AA289" s="497"/>
      <c r="AB289" s="497"/>
      <c r="AC289" s="497"/>
      <c r="AD289" s="497"/>
      <c r="AE289" s="497"/>
      <c r="AF289" s="497"/>
      <c r="AG289" s="497"/>
      <c r="AH289" s="497"/>
      <c r="AI289" s="497"/>
      <c r="AJ289" s="497"/>
      <c r="AK289" s="497"/>
      <c r="AL289" s="497"/>
      <c r="AM289" s="497"/>
      <c r="AN289" s="497"/>
      <c r="AO289" s="497"/>
      <c r="AP289" s="497"/>
      <c r="AQ289" s="497"/>
      <c r="AR289" s="497"/>
      <c r="AS289" s="497"/>
      <c r="AT289" s="497"/>
      <c r="AU289" s="497"/>
      <c r="AV289" s="497"/>
      <c r="AW289" s="497"/>
      <c r="AX289" s="497"/>
      <c r="AY289" s="497"/>
      <c r="AZ289" s="497"/>
      <c r="BA289" s="497"/>
      <c r="BB289" s="497"/>
      <c r="BC289" s="497"/>
      <c r="BD289" s="497"/>
      <c r="BE289" s="497"/>
      <c r="BF289" s="497"/>
      <c r="BG289" s="497"/>
      <c r="BH289" s="497"/>
      <c r="BI289" s="497"/>
      <c r="BJ289" s="497"/>
      <c r="BK289" s="497"/>
      <c r="BL289" s="497"/>
      <c r="BM289" s="497"/>
      <c r="BN289" s="497"/>
      <c r="BO289" s="497"/>
      <c r="BP289" s="497"/>
      <c r="BQ289" s="497"/>
      <c r="BR289" s="497"/>
      <c r="BS289" s="497"/>
      <c r="BT289" s="497"/>
      <c r="BU289" s="497"/>
      <c r="BV289" s="497"/>
      <c r="BW289" s="497"/>
      <c r="BX289" s="497"/>
      <c r="BY289" s="497"/>
      <c r="BZ289" s="497"/>
      <c r="CA289" s="497"/>
      <c r="CB289" s="497"/>
      <c r="CC289" s="497"/>
      <c r="CD289" s="497"/>
      <c r="CE289" s="497"/>
      <c r="CF289" s="497"/>
      <c r="CG289" s="497"/>
      <c r="CH289" s="497"/>
    </row>
    <row r="290" spans="1:86" s="2058" customFormat="1">
      <c r="A290" s="517"/>
      <c r="B290" s="517"/>
      <c r="C290" s="517"/>
      <c r="D290" s="517"/>
      <c r="E290" s="517"/>
      <c r="F290" s="517"/>
      <c r="G290" s="517"/>
      <c r="H290" s="639"/>
      <c r="I290" s="639"/>
      <c r="J290" s="336"/>
      <c r="K290" s="2056"/>
      <c r="L290" s="337"/>
      <c r="M290" s="335"/>
      <c r="N290" s="2057"/>
      <c r="O290" s="337"/>
      <c r="P290" s="337"/>
      <c r="Q290" s="337"/>
      <c r="R290" s="337"/>
      <c r="S290" s="337"/>
      <c r="T290" s="337"/>
      <c r="U290" s="497"/>
      <c r="V290" s="497"/>
      <c r="W290" s="497"/>
      <c r="X290" s="497"/>
      <c r="Y290" s="497"/>
      <c r="Z290" s="497"/>
      <c r="AA290" s="497"/>
      <c r="AB290" s="497"/>
      <c r="AC290" s="497"/>
      <c r="AD290" s="497"/>
      <c r="AE290" s="497"/>
      <c r="AF290" s="497"/>
      <c r="AG290" s="497"/>
      <c r="AH290" s="497"/>
      <c r="AI290" s="497"/>
      <c r="AJ290" s="497"/>
      <c r="AK290" s="497"/>
      <c r="AL290" s="497"/>
      <c r="AM290" s="497"/>
      <c r="AN290" s="497"/>
      <c r="AO290" s="497"/>
      <c r="AP290" s="497"/>
      <c r="AQ290" s="497"/>
      <c r="AR290" s="497"/>
      <c r="AS290" s="497"/>
      <c r="AT290" s="497"/>
      <c r="AU290" s="497"/>
      <c r="AV290" s="497"/>
      <c r="AW290" s="497"/>
      <c r="AX290" s="497"/>
      <c r="AY290" s="497"/>
      <c r="AZ290" s="497"/>
      <c r="BA290" s="497"/>
      <c r="BB290" s="497"/>
      <c r="BC290" s="497"/>
      <c r="BD290" s="497"/>
      <c r="BE290" s="497"/>
      <c r="BF290" s="497"/>
      <c r="BG290" s="497"/>
      <c r="BH290" s="497"/>
      <c r="BI290" s="497"/>
      <c r="BJ290" s="497"/>
      <c r="BK290" s="497"/>
      <c r="BL290" s="497"/>
      <c r="BM290" s="497"/>
      <c r="BN290" s="497"/>
      <c r="BO290" s="497"/>
      <c r="BP290" s="497"/>
      <c r="BQ290" s="497"/>
      <c r="BR290" s="497"/>
      <c r="BS290" s="497"/>
      <c r="BT290" s="497"/>
      <c r="BU290" s="497"/>
      <c r="BV290" s="497"/>
      <c r="BW290" s="497"/>
      <c r="BX290" s="497"/>
      <c r="BY290" s="497"/>
      <c r="BZ290" s="497"/>
      <c r="CA290" s="497"/>
      <c r="CB290" s="497"/>
      <c r="CC290" s="497"/>
      <c r="CD290" s="497"/>
      <c r="CE290" s="497"/>
      <c r="CF290" s="497"/>
      <c r="CG290" s="497"/>
      <c r="CH290" s="497"/>
    </row>
    <row r="291" spans="1:86" s="2058" customFormat="1">
      <c r="A291" s="517"/>
      <c r="B291" s="517"/>
      <c r="C291" s="517"/>
      <c r="D291" s="517"/>
      <c r="E291" s="517"/>
      <c r="F291" s="517"/>
      <c r="G291" s="517"/>
      <c r="H291" s="639"/>
      <c r="I291" s="639"/>
      <c r="J291" s="336"/>
      <c r="K291" s="2056"/>
      <c r="L291" s="337"/>
      <c r="M291" s="335"/>
      <c r="N291" s="2057"/>
      <c r="O291" s="337"/>
      <c r="P291" s="337"/>
      <c r="Q291" s="337"/>
      <c r="R291" s="337"/>
      <c r="S291" s="337"/>
      <c r="T291" s="337"/>
      <c r="U291" s="497"/>
      <c r="V291" s="497"/>
      <c r="W291" s="497"/>
      <c r="X291" s="497"/>
      <c r="Y291" s="497"/>
      <c r="Z291" s="497"/>
      <c r="AA291" s="497"/>
      <c r="AB291" s="497"/>
      <c r="AC291" s="497"/>
      <c r="AD291" s="497"/>
      <c r="AE291" s="497"/>
      <c r="AF291" s="497"/>
      <c r="AG291" s="497"/>
      <c r="AH291" s="497"/>
      <c r="AI291" s="497"/>
      <c r="AJ291" s="497"/>
      <c r="AK291" s="497"/>
      <c r="AL291" s="497"/>
      <c r="AM291" s="497"/>
      <c r="AN291" s="497"/>
      <c r="AO291" s="497"/>
      <c r="AP291" s="497"/>
      <c r="AQ291" s="497"/>
      <c r="AR291" s="497"/>
      <c r="AS291" s="497"/>
      <c r="AT291" s="497"/>
      <c r="AU291" s="497"/>
      <c r="AV291" s="497"/>
      <c r="AW291" s="497"/>
      <c r="AX291" s="497"/>
      <c r="AY291" s="497"/>
      <c r="AZ291" s="497"/>
      <c r="BA291" s="497"/>
      <c r="BB291" s="497"/>
      <c r="BC291" s="497"/>
      <c r="BD291" s="497"/>
      <c r="BE291" s="497"/>
      <c r="BF291" s="497"/>
      <c r="BG291" s="497"/>
      <c r="BH291" s="497"/>
      <c r="BI291" s="497"/>
      <c r="BJ291" s="497"/>
      <c r="BK291" s="497"/>
      <c r="BL291" s="497"/>
      <c r="BM291" s="497"/>
      <c r="BN291" s="497"/>
      <c r="BO291" s="497"/>
      <c r="BP291" s="497"/>
      <c r="BQ291" s="497"/>
      <c r="BR291" s="497"/>
      <c r="BS291" s="497"/>
      <c r="BT291" s="497"/>
      <c r="BU291" s="497"/>
      <c r="BV291" s="497"/>
      <c r="BW291" s="497"/>
      <c r="BX291" s="497"/>
      <c r="BY291" s="497"/>
      <c r="BZ291" s="497"/>
      <c r="CA291" s="497"/>
      <c r="CB291" s="497"/>
      <c r="CC291" s="497"/>
      <c r="CD291" s="497"/>
      <c r="CE291" s="497"/>
      <c r="CF291" s="497"/>
      <c r="CG291" s="497"/>
      <c r="CH291" s="497"/>
    </row>
    <row r="292" spans="1:86" s="2058" customFormat="1">
      <c r="A292" s="517"/>
      <c r="B292" s="517"/>
      <c r="C292" s="517"/>
      <c r="D292" s="517"/>
      <c r="E292" s="517"/>
      <c r="F292" s="517"/>
      <c r="G292" s="517"/>
      <c r="H292" s="639"/>
      <c r="I292" s="639"/>
      <c r="J292" s="336"/>
      <c r="K292" s="2056"/>
      <c r="L292" s="337"/>
      <c r="M292" s="335"/>
      <c r="N292" s="2057"/>
      <c r="O292" s="337"/>
      <c r="P292" s="337"/>
      <c r="Q292" s="337"/>
      <c r="R292" s="337"/>
      <c r="S292" s="337"/>
      <c r="T292" s="337"/>
      <c r="U292" s="497"/>
      <c r="V292" s="497"/>
      <c r="W292" s="497"/>
      <c r="X292" s="497"/>
      <c r="Y292" s="497"/>
      <c r="Z292" s="497"/>
      <c r="AA292" s="497"/>
      <c r="AB292" s="497"/>
      <c r="AC292" s="497"/>
      <c r="AD292" s="497"/>
      <c r="AE292" s="497"/>
      <c r="AF292" s="497"/>
      <c r="AG292" s="497"/>
      <c r="AH292" s="497"/>
      <c r="AI292" s="497"/>
      <c r="AJ292" s="497"/>
      <c r="AK292" s="497"/>
      <c r="AL292" s="497"/>
      <c r="AM292" s="497"/>
      <c r="AN292" s="497"/>
      <c r="AO292" s="497"/>
      <c r="AP292" s="497"/>
      <c r="AQ292" s="497"/>
      <c r="AR292" s="497"/>
      <c r="AS292" s="497"/>
      <c r="AT292" s="497"/>
      <c r="AU292" s="497"/>
      <c r="AV292" s="497"/>
      <c r="AW292" s="497"/>
      <c r="AX292" s="497"/>
      <c r="AY292" s="497"/>
      <c r="AZ292" s="497"/>
      <c r="BA292" s="497"/>
      <c r="BB292" s="497"/>
      <c r="BC292" s="497"/>
      <c r="BD292" s="497"/>
      <c r="BE292" s="497"/>
      <c r="BF292" s="497"/>
      <c r="BG292" s="497"/>
      <c r="BH292" s="497"/>
      <c r="BI292" s="497"/>
      <c r="BJ292" s="497"/>
      <c r="BK292" s="497"/>
      <c r="BL292" s="497"/>
      <c r="BM292" s="497"/>
      <c r="BN292" s="497"/>
      <c r="BO292" s="497"/>
      <c r="BP292" s="497"/>
      <c r="BQ292" s="497"/>
      <c r="BR292" s="497"/>
      <c r="BS292" s="497"/>
      <c r="BT292" s="497"/>
      <c r="BU292" s="497"/>
      <c r="BV292" s="497"/>
      <c r="BW292" s="497"/>
      <c r="BX292" s="497"/>
      <c r="BY292" s="497"/>
      <c r="BZ292" s="497"/>
      <c r="CA292" s="497"/>
      <c r="CB292" s="497"/>
      <c r="CC292" s="497"/>
      <c r="CD292" s="497"/>
      <c r="CE292" s="497"/>
      <c r="CF292" s="497"/>
      <c r="CG292" s="497"/>
      <c r="CH292" s="497"/>
    </row>
    <row r="300" spans="1:86" s="325" customFormat="1">
      <c r="A300" s="517"/>
      <c r="B300" s="517"/>
      <c r="C300" s="517"/>
      <c r="D300" s="517"/>
      <c r="E300" s="517"/>
      <c r="F300" s="517"/>
      <c r="G300" s="517"/>
      <c r="H300" s="639"/>
      <c r="I300" s="639"/>
      <c r="J300" s="336"/>
      <c r="K300" s="2056"/>
      <c r="L300" s="337"/>
      <c r="M300" s="335"/>
      <c r="N300" s="2057"/>
      <c r="O300" s="337"/>
      <c r="P300" s="337"/>
      <c r="Q300" s="337"/>
      <c r="R300" s="337"/>
      <c r="S300" s="337"/>
      <c r="T300" s="337"/>
      <c r="U300" s="497"/>
      <c r="V300" s="497"/>
      <c r="W300" s="497"/>
      <c r="X300" s="497"/>
      <c r="Y300" s="497"/>
      <c r="Z300" s="497"/>
      <c r="AA300" s="497"/>
      <c r="AB300" s="497"/>
      <c r="AC300" s="497"/>
      <c r="AD300" s="497"/>
      <c r="AE300" s="497"/>
      <c r="AF300" s="497"/>
      <c r="AG300" s="497"/>
      <c r="AH300" s="497"/>
      <c r="AI300" s="497"/>
      <c r="AJ300" s="497"/>
      <c r="AK300" s="497"/>
      <c r="AL300" s="497"/>
      <c r="AM300" s="497"/>
      <c r="AN300" s="497"/>
      <c r="AO300" s="497"/>
      <c r="AP300" s="497"/>
      <c r="AQ300" s="497"/>
      <c r="AR300" s="497"/>
      <c r="AS300" s="497"/>
      <c r="AT300" s="497"/>
      <c r="AU300" s="497"/>
      <c r="AV300" s="497"/>
      <c r="AW300" s="497"/>
      <c r="AX300" s="497"/>
      <c r="AY300" s="497"/>
      <c r="AZ300" s="497"/>
      <c r="BA300" s="497"/>
      <c r="BB300" s="497"/>
      <c r="BC300" s="497"/>
      <c r="BD300" s="497"/>
      <c r="BE300" s="497"/>
      <c r="BF300" s="497"/>
      <c r="BG300" s="497"/>
      <c r="BH300" s="497"/>
      <c r="BI300" s="497"/>
      <c r="BJ300" s="497"/>
      <c r="BK300" s="497"/>
      <c r="BL300" s="497"/>
      <c r="BM300" s="497"/>
      <c r="BN300" s="497"/>
      <c r="BO300" s="497"/>
      <c r="BP300" s="497"/>
      <c r="BQ300" s="497"/>
      <c r="BR300" s="497"/>
      <c r="BS300" s="497"/>
      <c r="BT300" s="497"/>
      <c r="BU300" s="497"/>
      <c r="BV300" s="497"/>
      <c r="BW300" s="497"/>
      <c r="BX300" s="497"/>
      <c r="BY300" s="497"/>
      <c r="BZ300" s="497"/>
      <c r="CA300" s="497"/>
      <c r="CB300" s="497"/>
      <c r="CC300" s="497"/>
      <c r="CD300" s="497"/>
      <c r="CE300" s="497"/>
      <c r="CF300" s="497"/>
      <c r="CG300" s="497"/>
      <c r="CH300" s="497"/>
    </row>
    <row r="301" spans="1:86" s="325" customFormat="1">
      <c r="A301" s="517"/>
      <c r="B301" s="517"/>
      <c r="C301" s="517"/>
      <c r="D301" s="517"/>
      <c r="E301" s="517"/>
      <c r="F301" s="517"/>
      <c r="G301" s="517"/>
      <c r="H301" s="639"/>
      <c r="I301" s="639"/>
      <c r="J301" s="336"/>
      <c r="K301" s="2056"/>
      <c r="L301" s="337"/>
      <c r="M301" s="335"/>
      <c r="N301" s="2057"/>
      <c r="O301" s="337"/>
      <c r="P301" s="337"/>
      <c r="Q301" s="337"/>
      <c r="R301" s="337"/>
      <c r="S301" s="337"/>
      <c r="T301" s="337"/>
      <c r="U301" s="497"/>
      <c r="V301" s="497"/>
      <c r="W301" s="497"/>
      <c r="X301" s="497"/>
      <c r="Y301" s="497"/>
      <c r="Z301" s="497"/>
      <c r="AA301" s="497"/>
      <c r="AB301" s="497"/>
      <c r="AC301" s="497"/>
      <c r="AD301" s="497"/>
      <c r="AE301" s="497"/>
      <c r="AF301" s="497"/>
      <c r="AG301" s="497"/>
      <c r="AH301" s="497"/>
      <c r="AI301" s="497"/>
      <c r="AJ301" s="497"/>
      <c r="AK301" s="497"/>
      <c r="AL301" s="497"/>
      <c r="AM301" s="497"/>
      <c r="AN301" s="497"/>
      <c r="AO301" s="497"/>
      <c r="AP301" s="497"/>
      <c r="AQ301" s="497"/>
      <c r="AR301" s="497"/>
      <c r="AS301" s="497"/>
      <c r="AT301" s="497"/>
      <c r="AU301" s="497"/>
      <c r="AV301" s="497"/>
      <c r="AW301" s="497"/>
      <c r="AX301" s="497"/>
      <c r="AY301" s="497"/>
      <c r="AZ301" s="497"/>
      <c r="BA301" s="497"/>
      <c r="BB301" s="497"/>
      <c r="BC301" s="497"/>
      <c r="BD301" s="497"/>
      <c r="BE301" s="497"/>
      <c r="BF301" s="497"/>
      <c r="BG301" s="497"/>
      <c r="BH301" s="497"/>
      <c r="BI301" s="497"/>
      <c r="BJ301" s="497"/>
      <c r="BK301" s="497"/>
      <c r="BL301" s="497"/>
      <c r="BM301" s="497"/>
      <c r="BN301" s="497"/>
      <c r="BO301" s="497"/>
      <c r="BP301" s="497"/>
      <c r="BQ301" s="497"/>
      <c r="BR301" s="497"/>
      <c r="BS301" s="497"/>
      <c r="BT301" s="497"/>
      <c r="BU301" s="497"/>
      <c r="BV301" s="497"/>
      <c r="BW301" s="497"/>
      <c r="BX301" s="497"/>
      <c r="BY301" s="497"/>
      <c r="BZ301" s="497"/>
      <c r="CA301" s="497"/>
      <c r="CB301" s="497"/>
      <c r="CC301" s="497"/>
      <c r="CD301" s="497"/>
      <c r="CE301" s="497"/>
      <c r="CF301" s="497"/>
      <c r="CG301" s="497"/>
      <c r="CH301" s="497"/>
    </row>
    <row r="302" spans="1:86" s="325" customFormat="1">
      <c r="A302" s="517"/>
      <c r="B302" s="517"/>
      <c r="C302" s="517"/>
      <c r="D302" s="517"/>
      <c r="E302" s="517"/>
      <c r="F302" s="517"/>
      <c r="G302" s="517"/>
      <c r="H302" s="639"/>
      <c r="I302" s="639"/>
      <c r="J302" s="336"/>
      <c r="K302" s="2056"/>
      <c r="L302" s="337"/>
      <c r="M302" s="335"/>
      <c r="N302" s="2057"/>
      <c r="O302" s="337"/>
      <c r="P302" s="337"/>
      <c r="Q302" s="337"/>
      <c r="R302" s="337"/>
      <c r="S302" s="337"/>
      <c r="T302" s="337"/>
      <c r="U302" s="497"/>
      <c r="V302" s="497"/>
      <c r="W302" s="497"/>
      <c r="X302" s="497"/>
      <c r="Y302" s="497"/>
      <c r="Z302" s="497"/>
      <c r="AA302" s="497"/>
      <c r="AB302" s="497"/>
      <c r="AC302" s="497"/>
      <c r="AD302" s="497"/>
      <c r="AE302" s="497"/>
      <c r="AF302" s="497"/>
      <c r="AG302" s="497"/>
      <c r="AH302" s="497"/>
      <c r="AI302" s="497"/>
      <c r="AJ302" s="497"/>
      <c r="AK302" s="497"/>
      <c r="AL302" s="497"/>
      <c r="AM302" s="497"/>
      <c r="AN302" s="497"/>
      <c r="AO302" s="497"/>
      <c r="AP302" s="497"/>
      <c r="AQ302" s="497"/>
      <c r="AR302" s="497"/>
      <c r="AS302" s="497"/>
      <c r="AT302" s="497"/>
      <c r="AU302" s="497"/>
      <c r="AV302" s="497"/>
      <c r="AW302" s="497"/>
      <c r="AX302" s="497"/>
      <c r="AY302" s="497"/>
      <c r="AZ302" s="497"/>
      <c r="BA302" s="497"/>
      <c r="BB302" s="497"/>
      <c r="BC302" s="497"/>
      <c r="BD302" s="497"/>
      <c r="BE302" s="497"/>
      <c r="BF302" s="497"/>
      <c r="BG302" s="497"/>
      <c r="BH302" s="497"/>
      <c r="BI302" s="497"/>
      <c r="BJ302" s="497"/>
      <c r="BK302" s="497"/>
      <c r="BL302" s="497"/>
      <c r="BM302" s="497"/>
      <c r="BN302" s="497"/>
      <c r="BO302" s="497"/>
      <c r="BP302" s="497"/>
      <c r="BQ302" s="497"/>
      <c r="BR302" s="497"/>
      <c r="BS302" s="497"/>
      <c r="BT302" s="497"/>
      <c r="BU302" s="497"/>
      <c r="BV302" s="497"/>
      <c r="BW302" s="497"/>
      <c r="BX302" s="497"/>
      <c r="BY302" s="497"/>
      <c r="BZ302" s="497"/>
      <c r="CA302" s="497"/>
      <c r="CB302" s="497"/>
      <c r="CC302" s="497"/>
      <c r="CD302" s="497"/>
      <c r="CE302" s="497"/>
      <c r="CF302" s="497"/>
      <c r="CG302" s="497"/>
      <c r="CH302" s="497"/>
    </row>
    <row r="303" spans="1:86" s="325" customFormat="1">
      <c r="A303" s="517"/>
      <c r="B303" s="517"/>
      <c r="C303" s="517"/>
      <c r="D303" s="517"/>
      <c r="E303" s="517"/>
      <c r="F303" s="517"/>
      <c r="G303" s="517"/>
      <c r="H303" s="639"/>
      <c r="I303" s="639"/>
      <c r="J303" s="336"/>
      <c r="K303" s="2056"/>
      <c r="L303" s="337"/>
      <c r="M303" s="335"/>
      <c r="N303" s="2057"/>
      <c r="O303" s="337"/>
      <c r="P303" s="337"/>
      <c r="Q303" s="337"/>
      <c r="R303" s="337"/>
      <c r="S303" s="337"/>
      <c r="T303" s="337"/>
      <c r="U303" s="497"/>
      <c r="V303" s="497"/>
      <c r="W303" s="497"/>
      <c r="X303" s="497"/>
      <c r="Y303" s="497"/>
      <c r="Z303" s="497"/>
      <c r="AA303" s="497"/>
      <c r="AB303" s="497"/>
      <c r="AC303" s="497"/>
      <c r="AD303" s="497"/>
      <c r="AE303" s="497"/>
      <c r="AF303" s="497"/>
      <c r="AG303" s="497"/>
      <c r="AH303" s="497"/>
      <c r="AI303" s="497"/>
      <c r="AJ303" s="497"/>
      <c r="AK303" s="497"/>
      <c r="AL303" s="497"/>
      <c r="AM303" s="497"/>
      <c r="AN303" s="497"/>
      <c r="AO303" s="497"/>
      <c r="AP303" s="497"/>
      <c r="AQ303" s="497"/>
      <c r="AR303" s="497"/>
      <c r="AS303" s="497"/>
      <c r="AT303" s="497"/>
      <c r="AU303" s="497"/>
      <c r="AV303" s="497"/>
      <c r="AW303" s="497"/>
      <c r="AX303" s="497"/>
      <c r="AY303" s="497"/>
      <c r="AZ303" s="497"/>
      <c r="BA303" s="497"/>
      <c r="BB303" s="497"/>
      <c r="BC303" s="497"/>
      <c r="BD303" s="497"/>
      <c r="BE303" s="497"/>
      <c r="BF303" s="497"/>
      <c r="BG303" s="497"/>
      <c r="BH303" s="497"/>
      <c r="BI303" s="497"/>
      <c r="BJ303" s="497"/>
      <c r="BK303" s="497"/>
      <c r="BL303" s="497"/>
      <c r="BM303" s="497"/>
      <c r="BN303" s="497"/>
      <c r="BO303" s="497"/>
      <c r="BP303" s="497"/>
      <c r="BQ303" s="497"/>
      <c r="BR303" s="497"/>
      <c r="BS303" s="497"/>
      <c r="BT303" s="497"/>
      <c r="BU303" s="497"/>
      <c r="BV303" s="497"/>
      <c r="BW303" s="497"/>
      <c r="BX303" s="497"/>
      <c r="BY303" s="497"/>
      <c r="BZ303" s="497"/>
      <c r="CA303" s="497"/>
      <c r="CB303" s="497"/>
      <c r="CC303" s="497"/>
      <c r="CD303" s="497"/>
      <c r="CE303" s="497"/>
      <c r="CF303" s="497"/>
      <c r="CG303" s="497"/>
      <c r="CH303" s="497"/>
    </row>
    <row r="304" spans="1:86" s="325" customFormat="1">
      <c r="A304" s="517"/>
      <c r="B304" s="517"/>
      <c r="C304" s="517"/>
      <c r="D304" s="517"/>
      <c r="E304" s="517"/>
      <c r="F304" s="517"/>
      <c r="G304" s="517"/>
      <c r="H304" s="639"/>
      <c r="I304" s="639"/>
      <c r="J304" s="336"/>
      <c r="K304" s="2056"/>
      <c r="L304" s="337"/>
      <c r="M304" s="335"/>
      <c r="N304" s="2057"/>
      <c r="O304" s="337"/>
      <c r="P304" s="337"/>
      <c r="Q304" s="337"/>
      <c r="R304" s="337"/>
      <c r="S304" s="337"/>
      <c r="T304" s="337"/>
      <c r="U304" s="497"/>
      <c r="V304" s="497"/>
      <c r="W304" s="497"/>
      <c r="X304" s="497"/>
      <c r="Y304" s="497"/>
      <c r="Z304" s="497"/>
      <c r="AA304" s="497"/>
      <c r="AB304" s="497"/>
      <c r="AC304" s="497"/>
      <c r="AD304" s="497"/>
      <c r="AE304" s="497"/>
      <c r="AF304" s="497"/>
      <c r="AG304" s="497"/>
      <c r="AH304" s="497"/>
      <c r="AI304" s="497"/>
      <c r="AJ304" s="497"/>
      <c r="AK304" s="497"/>
      <c r="AL304" s="497"/>
      <c r="AM304" s="497"/>
      <c r="AN304" s="497"/>
      <c r="AO304" s="497"/>
      <c r="AP304" s="497"/>
      <c r="AQ304" s="497"/>
      <c r="AR304" s="497"/>
      <c r="AS304" s="497"/>
      <c r="AT304" s="497"/>
      <c r="AU304" s="497"/>
      <c r="AV304" s="497"/>
      <c r="AW304" s="497"/>
      <c r="AX304" s="497"/>
      <c r="AY304" s="497"/>
      <c r="AZ304" s="497"/>
      <c r="BA304" s="497"/>
      <c r="BB304" s="497"/>
      <c r="BC304" s="497"/>
      <c r="BD304" s="497"/>
      <c r="BE304" s="497"/>
      <c r="BF304" s="497"/>
      <c r="BG304" s="497"/>
      <c r="BH304" s="497"/>
      <c r="BI304" s="497"/>
      <c r="BJ304" s="497"/>
      <c r="BK304" s="497"/>
      <c r="BL304" s="497"/>
      <c r="BM304" s="497"/>
      <c r="BN304" s="497"/>
      <c r="BO304" s="497"/>
      <c r="BP304" s="497"/>
      <c r="BQ304" s="497"/>
      <c r="BR304" s="497"/>
      <c r="BS304" s="497"/>
      <c r="BT304" s="497"/>
      <c r="BU304" s="497"/>
      <c r="BV304" s="497"/>
      <c r="BW304" s="497"/>
      <c r="BX304" s="497"/>
      <c r="BY304" s="497"/>
      <c r="BZ304" s="497"/>
      <c r="CA304" s="497"/>
      <c r="CB304" s="497"/>
      <c r="CC304" s="497"/>
      <c r="CD304" s="497"/>
      <c r="CE304" s="497"/>
      <c r="CF304" s="497"/>
      <c r="CG304" s="497"/>
      <c r="CH304" s="497"/>
    </row>
    <row r="305" spans="1:86" s="325" customFormat="1">
      <c r="A305" s="517"/>
      <c r="B305" s="517"/>
      <c r="C305" s="517"/>
      <c r="D305" s="517"/>
      <c r="E305" s="517"/>
      <c r="F305" s="517"/>
      <c r="G305" s="517"/>
      <c r="H305" s="639"/>
      <c r="I305" s="639"/>
      <c r="J305" s="336"/>
      <c r="K305" s="2056"/>
      <c r="L305" s="337"/>
      <c r="M305" s="335"/>
      <c r="N305" s="2057"/>
      <c r="O305" s="337"/>
      <c r="P305" s="337"/>
      <c r="Q305" s="337"/>
      <c r="R305" s="337"/>
      <c r="S305" s="337"/>
      <c r="T305" s="337"/>
      <c r="U305" s="497"/>
      <c r="V305" s="497"/>
      <c r="W305" s="497"/>
      <c r="X305" s="497"/>
      <c r="Y305" s="497"/>
      <c r="Z305" s="497"/>
      <c r="AA305" s="497"/>
      <c r="AB305" s="497"/>
      <c r="AC305" s="497"/>
      <c r="AD305" s="497"/>
      <c r="AE305" s="497"/>
      <c r="AF305" s="497"/>
      <c r="AG305" s="497"/>
      <c r="AH305" s="497"/>
      <c r="AI305" s="497"/>
      <c r="AJ305" s="497"/>
      <c r="AK305" s="497"/>
      <c r="AL305" s="497"/>
      <c r="AM305" s="497"/>
      <c r="AN305" s="497"/>
      <c r="AO305" s="497"/>
      <c r="AP305" s="497"/>
      <c r="AQ305" s="497"/>
      <c r="AR305" s="497"/>
      <c r="AS305" s="497"/>
      <c r="AT305" s="497"/>
      <c r="AU305" s="497"/>
      <c r="AV305" s="497"/>
      <c r="AW305" s="497"/>
      <c r="AX305" s="497"/>
      <c r="AY305" s="497"/>
      <c r="AZ305" s="497"/>
      <c r="BA305" s="497"/>
      <c r="BB305" s="497"/>
      <c r="BC305" s="497"/>
      <c r="BD305" s="497"/>
      <c r="BE305" s="497"/>
      <c r="BF305" s="497"/>
      <c r="BG305" s="497"/>
      <c r="BH305" s="497"/>
      <c r="BI305" s="497"/>
      <c r="BJ305" s="497"/>
      <c r="BK305" s="497"/>
      <c r="BL305" s="497"/>
      <c r="BM305" s="497"/>
      <c r="BN305" s="497"/>
      <c r="BO305" s="497"/>
      <c r="BP305" s="497"/>
      <c r="BQ305" s="497"/>
      <c r="BR305" s="497"/>
      <c r="BS305" s="497"/>
      <c r="BT305" s="497"/>
      <c r="BU305" s="497"/>
      <c r="BV305" s="497"/>
      <c r="BW305" s="497"/>
      <c r="BX305" s="497"/>
      <c r="BY305" s="497"/>
      <c r="BZ305" s="497"/>
      <c r="CA305" s="497"/>
      <c r="CB305" s="497"/>
      <c r="CC305" s="497"/>
      <c r="CD305" s="497"/>
      <c r="CE305" s="497"/>
      <c r="CF305" s="497"/>
      <c r="CG305" s="497"/>
      <c r="CH305" s="497"/>
    </row>
    <row r="306" spans="1:86" s="325" customFormat="1">
      <c r="A306" s="517"/>
      <c r="B306" s="517"/>
      <c r="C306" s="517"/>
      <c r="D306" s="517"/>
      <c r="E306" s="517"/>
      <c r="F306" s="517"/>
      <c r="G306" s="517"/>
      <c r="H306" s="639"/>
      <c r="I306" s="639"/>
      <c r="J306" s="336"/>
      <c r="K306" s="2056"/>
      <c r="L306" s="337"/>
      <c r="M306" s="335"/>
      <c r="N306" s="2057"/>
      <c r="O306" s="337"/>
      <c r="P306" s="337"/>
      <c r="Q306" s="337"/>
      <c r="R306" s="337"/>
      <c r="S306" s="337"/>
      <c r="T306" s="337"/>
      <c r="U306" s="497"/>
      <c r="V306" s="497"/>
      <c r="W306" s="497"/>
      <c r="X306" s="497"/>
      <c r="Y306" s="497"/>
      <c r="Z306" s="497"/>
      <c r="AA306" s="497"/>
      <c r="AB306" s="497"/>
      <c r="AC306" s="497"/>
      <c r="AD306" s="497"/>
      <c r="AE306" s="497"/>
      <c r="AF306" s="497"/>
      <c r="AG306" s="497"/>
      <c r="AH306" s="497"/>
      <c r="AI306" s="497"/>
      <c r="AJ306" s="497"/>
      <c r="AK306" s="497"/>
      <c r="AL306" s="497"/>
      <c r="AM306" s="497"/>
      <c r="AN306" s="497"/>
      <c r="AO306" s="497"/>
      <c r="AP306" s="497"/>
      <c r="AQ306" s="497"/>
      <c r="AR306" s="497"/>
      <c r="AS306" s="497"/>
      <c r="AT306" s="497"/>
      <c r="AU306" s="497"/>
      <c r="AV306" s="497"/>
      <c r="AW306" s="497"/>
      <c r="AX306" s="497"/>
      <c r="AY306" s="497"/>
      <c r="AZ306" s="497"/>
      <c r="BA306" s="497"/>
      <c r="BB306" s="497"/>
      <c r="BC306" s="497"/>
      <c r="BD306" s="497"/>
      <c r="BE306" s="497"/>
      <c r="BF306" s="497"/>
      <c r="BG306" s="497"/>
      <c r="BH306" s="497"/>
      <c r="BI306" s="497"/>
      <c r="BJ306" s="497"/>
      <c r="BK306" s="497"/>
      <c r="BL306" s="497"/>
      <c r="BM306" s="497"/>
      <c r="BN306" s="497"/>
      <c r="BO306" s="497"/>
      <c r="BP306" s="497"/>
      <c r="BQ306" s="497"/>
      <c r="BR306" s="497"/>
      <c r="BS306" s="497"/>
      <c r="BT306" s="497"/>
      <c r="BU306" s="497"/>
      <c r="BV306" s="497"/>
      <c r="BW306" s="497"/>
      <c r="BX306" s="497"/>
      <c r="BY306" s="497"/>
      <c r="BZ306" s="497"/>
      <c r="CA306" s="497"/>
      <c r="CB306" s="497"/>
      <c r="CC306" s="497"/>
      <c r="CD306" s="497"/>
      <c r="CE306" s="497"/>
      <c r="CF306" s="497"/>
      <c r="CG306" s="497"/>
      <c r="CH306" s="497"/>
    </row>
    <row r="307" spans="1:86" s="325" customFormat="1">
      <c r="A307" s="517"/>
      <c r="B307" s="517"/>
      <c r="C307" s="517"/>
      <c r="D307" s="517"/>
      <c r="E307" s="517"/>
      <c r="F307" s="517"/>
      <c r="G307" s="517"/>
      <c r="H307" s="639"/>
      <c r="I307" s="639"/>
      <c r="J307" s="336"/>
      <c r="K307" s="2056"/>
      <c r="L307" s="337"/>
      <c r="M307" s="335"/>
      <c r="N307" s="2057"/>
      <c r="O307" s="337"/>
      <c r="P307" s="337"/>
      <c r="Q307" s="337"/>
      <c r="R307" s="337"/>
      <c r="S307" s="337"/>
      <c r="T307" s="337"/>
      <c r="U307" s="497"/>
      <c r="V307" s="497"/>
      <c r="W307" s="497"/>
      <c r="X307" s="497"/>
      <c r="Y307" s="497"/>
      <c r="Z307" s="497"/>
      <c r="AA307" s="497"/>
      <c r="AB307" s="497"/>
      <c r="AC307" s="497"/>
      <c r="AD307" s="497"/>
      <c r="AE307" s="497"/>
      <c r="AF307" s="497"/>
      <c r="AG307" s="497"/>
      <c r="AH307" s="497"/>
      <c r="AI307" s="497"/>
      <c r="AJ307" s="497"/>
      <c r="AK307" s="497"/>
      <c r="AL307" s="497"/>
      <c r="AM307" s="497"/>
      <c r="AN307" s="497"/>
      <c r="AO307" s="497"/>
      <c r="AP307" s="497"/>
      <c r="AQ307" s="497"/>
      <c r="AR307" s="497"/>
      <c r="AS307" s="497"/>
      <c r="AT307" s="497"/>
      <c r="AU307" s="497"/>
      <c r="AV307" s="497"/>
      <c r="AW307" s="497"/>
      <c r="AX307" s="497"/>
      <c r="AY307" s="497"/>
      <c r="AZ307" s="497"/>
      <c r="BA307" s="497"/>
      <c r="BB307" s="497"/>
      <c r="BC307" s="497"/>
      <c r="BD307" s="497"/>
      <c r="BE307" s="497"/>
      <c r="BF307" s="497"/>
      <c r="BG307" s="497"/>
      <c r="BH307" s="497"/>
      <c r="BI307" s="497"/>
      <c r="BJ307" s="497"/>
      <c r="BK307" s="497"/>
      <c r="BL307" s="497"/>
      <c r="BM307" s="497"/>
      <c r="BN307" s="497"/>
      <c r="BO307" s="497"/>
      <c r="BP307" s="497"/>
      <c r="BQ307" s="497"/>
      <c r="BR307" s="497"/>
      <c r="BS307" s="497"/>
      <c r="BT307" s="497"/>
      <c r="BU307" s="497"/>
      <c r="BV307" s="497"/>
      <c r="BW307" s="497"/>
      <c r="BX307" s="497"/>
      <c r="BY307" s="497"/>
      <c r="BZ307" s="497"/>
      <c r="CA307" s="497"/>
      <c r="CB307" s="497"/>
      <c r="CC307" s="497"/>
      <c r="CD307" s="497"/>
      <c r="CE307" s="497"/>
      <c r="CF307" s="497"/>
      <c r="CG307" s="497"/>
      <c r="CH307" s="497"/>
    </row>
    <row r="308" spans="1:86" s="325" customFormat="1">
      <c r="A308" s="517"/>
      <c r="B308" s="517"/>
      <c r="C308" s="517"/>
      <c r="D308" s="517"/>
      <c r="E308" s="517"/>
      <c r="F308" s="517"/>
      <c r="G308" s="517"/>
      <c r="H308" s="639"/>
      <c r="I308" s="639"/>
      <c r="J308" s="336"/>
      <c r="K308" s="2056"/>
      <c r="L308" s="337"/>
      <c r="M308" s="335"/>
      <c r="N308" s="2057"/>
      <c r="O308" s="337"/>
      <c r="P308" s="337"/>
      <c r="Q308" s="337"/>
      <c r="R308" s="337"/>
      <c r="S308" s="337"/>
      <c r="T308" s="337"/>
      <c r="U308" s="497"/>
      <c r="V308" s="497"/>
      <c r="W308" s="497"/>
      <c r="X308" s="497"/>
      <c r="Y308" s="497"/>
      <c r="Z308" s="497"/>
      <c r="AA308" s="497"/>
      <c r="AB308" s="497"/>
      <c r="AC308" s="497"/>
      <c r="AD308" s="497"/>
      <c r="AE308" s="497"/>
      <c r="AF308" s="497"/>
      <c r="AG308" s="497"/>
      <c r="AH308" s="497"/>
      <c r="AI308" s="497"/>
      <c r="AJ308" s="497"/>
      <c r="AK308" s="497"/>
      <c r="AL308" s="497"/>
      <c r="AM308" s="497"/>
      <c r="AN308" s="497"/>
      <c r="AO308" s="497"/>
      <c r="AP308" s="497"/>
      <c r="AQ308" s="497"/>
      <c r="AR308" s="497"/>
      <c r="AS308" s="497"/>
      <c r="AT308" s="497"/>
      <c r="AU308" s="497"/>
      <c r="AV308" s="497"/>
      <c r="AW308" s="497"/>
      <c r="AX308" s="497"/>
      <c r="AY308" s="497"/>
      <c r="AZ308" s="497"/>
      <c r="BA308" s="497"/>
      <c r="BB308" s="497"/>
      <c r="BC308" s="497"/>
      <c r="BD308" s="497"/>
      <c r="BE308" s="497"/>
      <c r="BF308" s="497"/>
      <c r="BG308" s="497"/>
      <c r="BH308" s="497"/>
      <c r="BI308" s="497"/>
      <c r="BJ308" s="497"/>
      <c r="BK308" s="497"/>
      <c r="BL308" s="497"/>
      <c r="BM308" s="497"/>
      <c r="BN308" s="497"/>
      <c r="BO308" s="497"/>
      <c r="BP308" s="497"/>
      <c r="BQ308" s="497"/>
      <c r="BR308" s="497"/>
      <c r="BS308" s="497"/>
      <c r="BT308" s="497"/>
      <c r="BU308" s="497"/>
      <c r="BV308" s="497"/>
      <c r="BW308" s="497"/>
      <c r="BX308" s="497"/>
      <c r="BY308" s="497"/>
      <c r="BZ308" s="497"/>
      <c r="CA308" s="497"/>
      <c r="CB308" s="497"/>
      <c r="CC308" s="497"/>
      <c r="CD308" s="497"/>
      <c r="CE308" s="497"/>
      <c r="CF308" s="497"/>
      <c r="CG308" s="497"/>
      <c r="CH308" s="497"/>
    </row>
    <row r="309" spans="1:86" s="325" customFormat="1">
      <c r="A309" s="517"/>
      <c r="B309" s="517"/>
      <c r="C309" s="517"/>
      <c r="D309" s="517"/>
      <c r="E309" s="517"/>
      <c r="F309" s="517"/>
      <c r="G309" s="517"/>
      <c r="H309" s="639"/>
      <c r="I309" s="639"/>
      <c r="J309" s="336"/>
      <c r="K309" s="2056"/>
      <c r="L309" s="337"/>
      <c r="M309" s="335"/>
      <c r="N309" s="2057"/>
      <c r="O309" s="337"/>
      <c r="P309" s="337"/>
      <c r="Q309" s="337"/>
      <c r="R309" s="337"/>
      <c r="S309" s="337"/>
      <c r="T309" s="337"/>
      <c r="U309" s="497"/>
      <c r="V309" s="497"/>
      <c r="W309" s="497"/>
      <c r="X309" s="497"/>
      <c r="Y309" s="497"/>
      <c r="Z309" s="497"/>
      <c r="AA309" s="497"/>
      <c r="AB309" s="497"/>
      <c r="AC309" s="497"/>
      <c r="AD309" s="497"/>
      <c r="AE309" s="497"/>
      <c r="AF309" s="497"/>
      <c r="AG309" s="497"/>
      <c r="AH309" s="497"/>
      <c r="AI309" s="497"/>
      <c r="AJ309" s="497"/>
      <c r="AK309" s="497"/>
      <c r="AL309" s="497"/>
      <c r="AM309" s="497"/>
      <c r="AN309" s="497"/>
      <c r="AO309" s="497"/>
      <c r="AP309" s="497"/>
      <c r="AQ309" s="497"/>
      <c r="AR309" s="497"/>
      <c r="AS309" s="497"/>
      <c r="AT309" s="497"/>
      <c r="AU309" s="497"/>
      <c r="AV309" s="497"/>
      <c r="AW309" s="497"/>
      <c r="AX309" s="497"/>
      <c r="AY309" s="497"/>
      <c r="AZ309" s="497"/>
      <c r="BA309" s="497"/>
      <c r="BB309" s="497"/>
      <c r="BC309" s="497"/>
      <c r="BD309" s="497"/>
      <c r="BE309" s="497"/>
      <c r="BF309" s="497"/>
      <c r="BG309" s="497"/>
      <c r="BH309" s="497"/>
      <c r="BI309" s="497"/>
      <c r="BJ309" s="497"/>
      <c r="BK309" s="497"/>
      <c r="BL309" s="497"/>
      <c r="BM309" s="497"/>
      <c r="BN309" s="497"/>
      <c r="BO309" s="497"/>
      <c r="BP309" s="497"/>
      <c r="BQ309" s="497"/>
      <c r="BR309" s="497"/>
      <c r="BS309" s="497"/>
      <c r="BT309" s="497"/>
      <c r="BU309" s="497"/>
      <c r="BV309" s="497"/>
      <c r="BW309" s="497"/>
      <c r="BX309" s="497"/>
      <c r="BY309" s="497"/>
      <c r="BZ309" s="497"/>
      <c r="CA309" s="497"/>
      <c r="CB309" s="497"/>
      <c r="CC309" s="497"/>
      <c r="CD309" s="497"/>
      <c r="CE309" s="497"/>
      <c r="CF309" s="497"/>
      <c r="CG309" s="497"/>
      <c r="CH309" s="497"/>
    </row>
    <row r="310" spans="1:86" s="325" customFormat="1">
      <c r="A310" s="517"/>
      <c r="B310" s="517"/>
      <c r="C310" s="517"/>
      <c r="D310" s="517"/>
      <c r="E310" s="517"/>
      <c r="F310" s="517"/>
      <c r="G310" s="517"/>
      <c r="H310" s="639"/>
      <c r="I310" s="639"/>
      <c r="J310" s="336"/>
      <c r="K310" s="2056"/>
      <c r="L310" s="337"/>
      <c r="M310" s="335"/>
      <c r="N310" s="2057"/>
      <c r="O310" s="337"/>
      <c r="P310" s="337"/>
      <c r="Q310" s="337"/>
      <c r="R310" s="337"/>
      <c r="S310" s="337"/>
      <c r="T310" s="337"/>
      <c r="U310" s="497"/>
      <c r="V310" s="497"/>
      <c r="W310" s="497"/>
      <c r="X310" s="497"/>
      <c r="Y310" s="497"/>
      <c r="Z310" s="497"/>
      <c r="AA310" s="497"/>
      <c r="AB310" s="497"/>
      <c r="AC310" s="497"/>
      <c r="AD310" s="497"/>
      <c r="AE310" s="497"/>
      <c r="AF310" s="497"/>
      <c r="AG310" s="497"/>
      <c r="AH310" s="497"/>
      <c r="AI310" s="497"/>
      <c r="AJ310" s="497"/>
      <c r="AK310" s="497"/>
      <c r="AL310" s="497"/>
      <c r="AM310" s="497"/>
      <c r="AN310" s="497"/>
      <c r="AO310" s="497"/>
      <c r="AP310" s="497"/>
      <c r="AQ310" s="497"/>
      <c r="AR310" s="497"/>
      <c r="AS310" s="497"/>
      <c r="AT310" s="497"/>
      <c r="AU310" s="497"/>
      <c r="AV310" s="497"/>
      <c r="AW310" s="497"/>
      <c r="AX310" s="497"/>
      <c r="AY310" s="497"/>
      <c r="AZ310" s="497"/>
      <c r="BA310" s="497"/>
      <c r="BB310" s="497"/>
      <c r="BC310" s="497"/>
      <c r="BD310" s="497"/>
      <c r="BE310" s="497"/>
      <c r="BF310" s="497"/>
      <c r="BG310" s="497"/>
      <c r="BH310" s="497"/>
      <c r="BI310" s="497"/>
      <c r="BJ310" s="497"/>
      <c r="BK310" s="497"/>
      <c r="BL310" s="497"/>
      <c r="BM310" s="497"/>
      <c r="BN310" s="497"/>
      <c r="BO310" s="497"/>
      <c r="BP310" s="497"/>
      <c r="BQ310" s="497"/>
      <c r="BR310" s="497"/>
      <c r="BS310" s="497"/>
      <c r="BT310" s="497"/>
      <c r="BU310" s="497"/>
      <c r="BV310" s="497"/>
      <c r="BW310" s="497"/>
      <c r="BX310" s="497"/>
      <c r="BY310" s="497"/>
      <c r="BZ310" s="497"/>
      <c r="CA310" s="497"/>
      <c r="CB310" s="497"/>
      <c r="CC310" s="497"/>
      <c r="CD310" s="497"/>
      <c r="CE310" s="497"/>
      <c r="CF310" s="497"/>
      <c r="CG310" s="497"/>
      <c r="CH310" s="497"/>
    </row>
    <row r="311" spans="1:86" s="325" customFormat="1">
      <c r="A311" s="517"/>
      <c r="B311" s="517"/>
      <c r="C311" s="517"/>
      <c r="D311" s="517"/>
      <c r="E311" s="517"/>
      <c r="F311" s="517"/>
      <c r="G311" s="517"/>
      <c r="H311" s="639"/>
      <c r="I311" s="639"/>
      <c r="J311" s="336"/>
      <c r="K311" s="2056"/>
      <c r="L311" s="337"/>
      <c r="M311" s="335"/>
      <c r="N311" s="2057"/>
      <c r="O311" s="337"/>
      <c r="P311" s="337"/>
      <c r="Q311" s="337"/>
      <c r="R311" s="337"/>
      <c r="S311" s="337"/>
      <c r="T311" s="337"/>
      <c r="U311" s="497"/>
      <c r="V311" s="497"/>
      <c r="W311" s="497"/>
      <c r="X311" s="497"/>
      <c r="Y311" s="497"/>
      <c r="Z311" s="497"/>
      <c r="AA311" s="497"/>
      <c r="AB311" s="497"/>
      <c r="AC311" s="497"/>
      <c r="AD311" s="497"/>
      <c r="AE311" s="497"/>
      <c r="AF311" s="497"/>
      <c r="AG311" s="497"/>
      <c r="AH311" s="497"/>
      <c r="AI311" s="497"/>
      <c r="AJ311" s="497"/>
      <c r="AK311" s="497"/>
      <c r="AL311" s="497"/>
      <c r="AM311" s="497"/>
      <c r="AN311" s="497"/>
      <c r="AO311" s="497"/>
      <c r="AP311" s="497"/>
      <c r="AQ311" s="497"/>
      <c r="AR311" s="497"/>
      <c r="AS311" s="497"/>
      <c r="AT311" s="497"/>
      <c r="AU311" s="497"/>
      <c r="AV311" s="497"/>
      <c r="AW311" s="497"/>
      <c r="AX311" s="497"/>
      <c r="AY311" s="497"/>
      <c r="AZ311" s="497"/>
      <c r="BA311" s="497"/>
      <c r="BB311" s="497"/>
      <c r="BC311" s="497"/>
      <c r="BD311" s="497"/>
      <c r="BE311" s="497"/>
      <c r="BF311" s="497"/>
      <c r="BG311" s="497"/>
      <c r="BH311" s="497"/>
      <c r="BI311" s="497"/>
      <c r="BJ311" s="497"/>
      <c r="BK311" s="497"/>
      <c r="BL311" s="497"/>
      <c r="BM311" s="497"/>
      <c r="BN311" s="497"/>
      <c r="BO311" s="497"/>
      <c r="BP311" s="497"/>
      <c r="BQ311" s="497"/>
      <c r="BR311" s="497"/>
      <c r="BS311" s="497"/>
      <c r="BT311" s="497"/>
      <c r="BU311" s="497"/>
      <c r="BV311" s="497"/>
      <c r="BW311" s="497"/>
      <c r="BX311" s="497"/>
      <c r="BY311" s="497"/>
      <c r="BZ311" s="497"/>
      <c r="CA311" s="497"/>
      <c r="CB311" s="497"/>
      <c r="CC311" s="497"/>
      <c r="CD311" s="497"/>
      <c r="CE311" s="497"/>
      <c r="CF311" s="497"/>
      <c r="CG311" s="497"/>
      <c r="CH311" s="497"/>
    </row>
    <row r="312" spans="1:86" s="325" customFormat="1">
      <c r="A312" s="517"/>
      <c r="B312" s="517"/>
      <c r="C312" s="517"/>
      <c r="D312" s="517"/>
      <c r="E312" s="517"/>
      <c r="F312" s="517"/>
      <c r="G312" s="517"/>
      <c r="H312" s="639"/>
      <c r="I312" s="639"/>
      <c r="J312" s="336"/>
      <c r="K312" s="2056"/>
      <c r="L312" s="337"/>
      <c r="M312" s="335"/>
      <c r="N312" s="2057"/>
      <c r="O312" s="337"/>
      <c r="P312" s="337"/>
      <c r="Q312" s="337"/>
      <c r="R312" s="337"/>
      <c r="S312" s="337"/>
      <c r="T312" s="337"/>
      <c r="U312" s="497"/>
      <c r="V312" s="497"/>
      <c r="W312" s="497"/>
      <c r="X312" s="497"/>
      <c r="Y312" s="497"/>
      <c r="Z312" s="497"/>
      <c r="AA312" s="497"/>
      <c r="AB312" s="497"/>
      <c r="AC312" s="497"/>
      <c r="AD312" s="497"/>
      <c r="AE312" s="497"/>
      <c r="AF312" s="497"/>
      <c r="AG312" s="497"/>
      <c r="AH312" s="497"/>
      <c r="AI312" s="497"/>
      <c r="AJ312" s="497"/>
      <c r="AK312" s="497"/>
      <c r="AL312" s="497"/>
      <c r="AM312" s="497"/>
      <c r="AN312" s="497"/>
      <c r="AO312" s="497"/>
      <c r="AP312" s="497"/>
      <c r="AQ312" s="497"/>
      <c r="AR312" s="497"/>
      <c r="AS312" s="497"/>
      <c r="AT312" s="497"/>
      <c r="AU312" s="497"/>
      <c r="AV312" s="497"/>
      <c r="AW312" s="497"/>
      <c r="AX312" s="497"/>
      <c r="AY312" s="497"/>
      <c r="AZ312" s="497"/>
      <c r="BA312" s="497"/>
      <c r="BB312" s="497"/>
      <c r="BC312" s="497"/>
      <c r="BD312" s="497"/>
      <c r="BE312" s="497"/>
      <c r="BF312" s="497"/>
      <c r="BG312" s="497"/>
      <c r="BH312" s="497"/>
      <c r="BI312" s="497"/>
      <c r="BJ312" s="497"/>
      <c r="BK312" s="497"/>
      <c r="BL312" s="497"/>
      <c r="BM312" s="497"/>
      <c r="BN312" s="497"/>
      <c r="BO312" s="497"/>
      <c r="BP312" s="497"/>
      <c r="BQ312" s="497"/>
      <c r="BR312" s="497"/>
      <c r="BS312" s="497"/>
      <c r="BT312" s="497"/>
      <c r="BU312" s="497"/>
      <c r="BV312" s="497"/>
      <c r="BW312" s="497"/>
      <c r="BX312" s="497"/>
      <c r="BY312" s="497"/>
      <c r="BZ312" s="497"/>
      <c r="CA312" s="497"/>
      <c r="CB312" s="497"/>
      <c r="CC312" s="497"/>
      <c r="CD312" s="497"/>
      <c r="CE312" s="497"/>
      <c r="CF312" s="497"/>
      <c r="CG312" s="497"/>
      <c r="CH312" s="497"/>
    </row>
    <row r="313" spans="1:86" s="325" customFormat="1">
      <c r="A313" s="517"/>
      <c r="B313" s="517"/>
      <c r="C313" s="517"/>
      <c r="D313" s="517"/>
      <c r="E313" s="517"/>
      <c r="F313" s="517"/>
      <c r="G313" s="517"/>
      <c r="H313" s="639"/>
      <c r="I313" s="639"/>
      <c r="J313" s="336"/>
      <c r="K313" s="2056"/>
      <c r="L313" s="337"/>
      <c r="M313" s="335"/>
      <c r="N313" s="2057"/>
      <c r="O313" s="337"/>
      <c r="P313" s="337"/>
      <c r="Q313" s="337"/>
      <c r="R313" s="337"/>
      <c r="S313" s="337"/>
      <c r="T313" s="337"/>
      <c r="U313" s="497"/>
      <c r="V313" s="497"/>
      <c r="W313" s="497"/>
      <c r="X313" s="497"/>
      <c r="Y313" s="497"/>
      <c r="Z313" s="497"/>
      <c r="AA313" s="497"/>
      <c r="AB313" s="497"/>
      <c r="AC313" s="497"/>
      <c r="AD313" s="497"/>
      <c r="AE313" s="497"/>
      <c r="AF313" s="497"/>
      <c r="AG313" s="497"/>
      <c r="AH313" s="497"/>
      <c r="AI313" s="497"/>
      <c r="AJ313" s="497"/>
      <c r="AK313" s="497"/>
      <c r="AL313" s="497"/>
      <c r="AM313" s="497"/>
      <c r="AN313" s="497"/>
      <c r="AO313" s="497"/>
      <c r="AP313" s="497"/>
      <c r="AQ313" s="497"/>
      <c r="AR313" s="497"/>
      <c r="AS313" s="497"/>
      <c r="AT313" s="497"/>
      <c r="AU313" s="497"/>
      <c r="AV313" s="497"/>
      <c r="AW313" s="497"/>
      <c r="AX313" s="497"/>
      <c r="AY313" s="497"/>
      <c r="AZ313" s="497"/>
      <c r="BA313" s="497"/>
      <c r="BB313" s="497"/>
      <c r="BC313" s="497"/>
      <c r="BD313" s="497"/>
      <c r="BE313" s="497"/>
      <c r="BF313" s="497"/>
      <c r="BG313" s="497"/>
      <c r="BH313" s="497"/>
      <c r="BI313" s="497"/>
      <c r="BJ313" s="497"/>
      <c r="BK313" s="497"/>
      <c r="BL313" s="497"/>
      <c r="BM313" s="497"/>
      <c r="BN313" s="497"/>
      <c r="BO313" s="497"/>
      <c r="BP313" s="497"/>
      <c r="BQ313" s="497"/>
      <c r="BR313" s="497"/>
      <c r="BS313" s="497"/>
      <c r="BT313" s="497"/>
      <c r="BU313" s="497"/>
      <c r="BV313" s="497"/>
      <c r="BW313" s="497"/>
      <c r="BX313" s="497"/>
      <c r="BY313" s="497"/>
      <c r="BZ313" s="497"/>
      <c r="CA313" s="497"/>
      <c r="CB313" s="497"/>
      <c r="CC313" s="497"/>
      <c r="CD313" s="497"/>
      <c r="CE313" s="497"/>
      <c r="CF313" s="497"/>
      <c r="CG313" s="497"/>
      <c r="CH313" s="497"/>
    </row>
    <row r="314" spans="1:86" s="325" customFormat="1">
      <c r="A314" s="517"/>
      <c r="B314" s="517"/>
      <c r="C314" s="517"/>
      <c r="D314" s="517"/>
      <c r="E314" s="517"/>
      <c r="F314" s="517"/>
      <c r="G314" s="517"/>
      <c r="H314" s="639"/>
      <c r="I314" s="639"/>
      <c r="J314" s="336"/>
      <c r="K314" s="2056"/>
      <c r="L314" s="337"/>
      <c r="M314" s="335"/>
      <c r="N314" s="2057"/>
      <c r="O314" s="337"/>
      <c r="P314" s="337"/>
      <c r="Q314" s="337"/>
      <c r="R314" s="337"/>
      <c r="S314" s="337"/>
      <c r="T314" s="337"/>
      <c r="U314" s="497"/>
      <c r="V314" s="497"/>
      <c r="W314" s="497"/>
      <c r="X314" s="497"/>
      <c r="Y314" s="497"/>
      <c r="Z314" s="497"/>
      <c r="AA314" s="497"/>
      <c r="AB314" s="497"/>
      <c r="AC314" s="497"/>
      <c r="AD314" s="497"/>
      <c r="AE314" s="497"/>
      <c r="AF314" s="497"/>
      <c r="AG314" s="497"/>
      <c r="AH314" s="497"/>
      <c r="AI314" s="497"/>
      <c r="AJ314" s="497"/>
      <c r="AK314" s="497"/>
      <c r="AL314" s="497"/>
      <c r="AM314" s="497"/>
      <c r="AN314" s="497"/>
      <c r="AO314" s="497"/>
      <c r="AP314" s="497"/>
      <c r="AQ314" s="497"/>
      <c r="AR314" s="497"/>
      <c r="AS314" s="497"/>
      <c r="AT314" s="497"/>
      <c r="AU314" s="497"/>
      <c r="AV314" s="497"/>
      <c r="AW314" s="497"/>
      <c r="AX314" s="497"/>
      <c r="AY314" s="497"/>
      <c r="AZ314" s="497"/>
      <c r="BA314" s="497"/>
      <c r="BB314" s="497"/>
      <c r="BC314" s="497"/>
      <c r="BD314" s="497"/>
      <c r="BE314" s="497"/>
      <c r="BF314" s="497"/>
      <c r="BG314" s="497"/>
      <c r="BH314" s="497"/>
      <c r="BI314" s="497"/>
      <c r="BJ314" s="497"/>
      <c r="BK314" s="497"/>
      <c r="BL314" s="497"/>
      <c r="BM314" s="497"/>
      <c r="BN314" s="497"/>
      <c r="BO314" s="497"/>
      <c r="BP314" s="497"/>
      <c r="BQ314" s="497"/>
      <c r="BR314" s="497"/>
      <c r="BS314" s="497"/>
      <c r="BT314" s="497"/>
      <c r="BU314" s="497"/>
      <c r="BV314" s="497"/>
      <c r="BW314" s="497"/>
      <c r="BX314" s="497"/>
      <c r="BY314" s="497"/>
      <c r="BZ314" s="497"/>
      <c r="CA314" s="497"/>
      <c r="CB314" s="497"/>
      <c r="CC314" s="497"/>
      <c r="CD314" s="497"/>
      <c r="CE314" s="497"/>
      <c r="CF314" s="497"/>
      <c r="CG314" s="497"/>
      <c r="CH314" s="497"/>
    </row>
    <row r="315" spans="1:86" s="325" customFormat="1">
      <c r="A315" s="517"/>
      <c r="B315" s="517"/>
      <c r="C315" s="517"/>
      <c r="D315" s="517"/>
      <c r="E315" s="517"/>
      <c r="F315" s="517"/>
      <c r="G315" s="517"/>
      <c r="H315" s="639"/>
      <c r="I315" s="639"/>
      <c r="J315" s="336"/>
      <c r="K315" s="2056"/>
      <c r="L315" s="337"/>
      <c r="M315" s="335"/>
      <c r="N315" s="2057"/>
      <c r="O315" s="337"/>
      <c r="P315" s="337"/>
      <c r="Q315" s="337"/>
      <c r="R315" s="337"/>
      <c r="S315" s="337"/>
      <c r="T315" s="337"/>
      <c r="U315" s="497"/>
      <c r="V315" s="497"/>
      <c r="W315" s="497"/>
      <c r="X315" s="497"/>
      <c r="Y315" s="497"/>
      <c r="Z315" s="497"/>
      <c r="AA315" s="497"/>
      <c r="AB315" s="497"/>
      <c r="AC315" s="497"/>
      <c r="AD315" s="497"/>
      <c r="AE315" s="497"/>
      <c r="AF315" s="497"/>
      <c r="AG315" s="497"/>
      <c r="AH315" s="497"/>
      <c r="AI315" s="497"/>
      <c r="AJ315" s="497"/>
      <c r="AK315" s="497"/>
      <c r="AL315" s="497"/>
      <c r="AM315" s="497"/>
      <c r="AN315" s="497"/>
      <c r="AO315" s="497"/>
      <c r="AP315" s="497"/>
      <c r="AQ315" s="497"/>
      <c r="AR315" s="497"/>
      <c r="AS315" s="497"/>
      <c r="AT315" s="497"/>
      <c r="AU315" s="497"/>
      <c r="AV315" s="497"/>
      <c r="AW315" s="497"/>
      <c r="AX315" s="497"/>
      <c r="AY315" s="497"/>
      <c r="AZ315" s="497"/>
      <c r="BA315" s="497"/>
      <c r="BB315" s="497"/>
      <c r="BC315" s="497"/>
      <c r="BD315" s="497"/>
      <c r="BE315" s="497"/>
      <c r="BF315" s="497"/>
      <c r="BG315" s="497"/>
      <c r="BH315" s="497"/>
      <c r="BI315" s="497"/>
      <c r="BJ315" s="497"/>
      <c r="BK315" s="497"/>
      <c r="BL315" s="497"/>
      <c r="BM315" s="497"/>
      <c r="BN315" s="497"/>
      <c r="BO315" s="497"/>
      <c r="BP315" s="497"/>
      <c r="BQ315" s="497"/>
      <c r="BR315" s="497"/>
      <c r="BS315" s="497"/>
      <c r="BT315" s="497"/>
      <c r="BU315" s="497"/>
      <c r="BV315" s="497"/>
      <c r="BW315" s="497"/>
      <c r="BX315" s="497"/>
      <c r="BY315" s="497"/>
      <c r="BZ315" s="497"/>
      <c r="CA315" s="497"/>
      <c r="CB315" s="497"/>
      <c r="CC315" s="497"/>
      <c r="CD315" s="497"/>
      <c r="CE315" s="497"/>
      <c r="CF315" s="497"/>
      <c r="CG315" s="497"/>
      <c r="CH315" s="497"/>
    </row>
    <row r="316" spans="1:86" s="325" customFormat="1">
      <c r="A316" s="517"/>
      <c r="B316" s="517"/>
      <c r="C316" s="517"/>
      <c r="D316" s="517"/>
      <c r="E316" s="517"/>
      <c r="F316" s="517"/>
      <c r="G316" s="517"/>
      <c r="H316" s="639"/>
      <c r="I316" s="639"/>
      <c r="J316" s="336"/>
      <c r="K316" s="2056"/>
      <c r="L316" s="337"/>
      <c r="M316" s="335"/>
      <c r="N316" s="2057"/>
      <c r="O316" s="337"/>
      <c r="P316" s="337"/>
      <c r="Q316" s="337"/>
      <c r="R316" s="337"/>
      <c r="S316" s="337"/>
      <c r="T316" s="337"/>
      <c r="U316" s="497"/>
      <c r="V316" s="497"/>
      <c r="W316" s="497"/>
      <c r="X316" s="497"/>
      <c r="Y316" s="497"/>
      <c r="Z316" s="497"/>
      <c r="AA316" s="497"/>
      <c r="AB316" s="497"/>
      <c r="AC316" s="497"/>
      <c r="AD316" s="497"/>
      <c r="AE316" s="497"/>
      <c r="AF316" s="497"/>
      <c r="AG316" s="497"/>
      <c r="AH316" s="497"/>
      <c r="AI316" s="497"/>
      <c r="AJ316" s="497"/>
      <c r="AK316" s="497"/>
      <c r="AL316" s="497"/>
      <c r="AM316" s="497"/>
      <c r="AN316" s="497"/>
      <c r="AO316" s="497"/>
      <c r="AP316" s="497"/>
      <c r="AQ316" s="497"/>
      <c r="AR316" s="497"/>
      <c r="AS316" s="497"/>
      <c r="AT316" s="497"/>
      <c r="AU316" s="497"/>
      <c r="AV316" s="497"/>
      <c r="AW316" s="497"/>
      <c r="AX316" s="497"/>
      <c r="AY316" s="497"/>
      <c r="AZ316" s="497"/>
      <c r="BA316" s="497"/>
      <c r="BB316" s="497"/>
      <c r="BC316" s="497"/>
      <c r="BD316" s="497"/>
      <c r="BE316" s="497"/>
      <c r="BF316" s="497"/>
      <c r="BG316" s="497"/>
      <c r="BH316" s="497"/>
      <c r="BI316" s="497"/>
      <c r="BJ316" s="497"/>
      <c r="BK316" s="497"/>
      <c r="BL316" s="497"/>
      <c r="BM316" s="497"/>
      <c r="BN316" s="497"/>
      <c r="BO316" s="497"/>
      <c r="BP316" s="497"/>
      <c r="BQ316" s="497"/>
      <c r="BR316" s="497"/>
      <c r="BS316" s="497"/>
      <c r="BT316" s="497"/>
      <c r="BU316" s="497"/>
      <c r="BV316" s="497"/>
      <c r="BW316" s="497"/>
      <c r="BX316" s="497"/>
      <c r="BY316" s="497"/>
      <c r="BZ316" s="497"/>
      <c r="CA316" s="497"/>
      <c r="CB316" s="497"/>
      <c r="CC316" s="497"/>
      <c r="CD316" s="497"/>
      <c r="CE316" s="497"/>
      <c r="CF316" s="497"/>
      <c r="CG316" s="497"/>
      <c r="CH316" s="497"/>
    </row>
    <row r="317" spans="1:86" s="325" customFormat="1">
      <c r="A317" s="517"/>
      <c r="B317" s="517"/>
      <c r="C317" s="517"/>
      <c r="D317" s="517"/>
      <c r="E317" s="517"/>
      <c r="F317" s="517"/>
      <c r="G317" s="517"/>
      <c r="H317" s="639"/>
      <c r="I317" s="639"/>
      <c r="J317" s="336"/>
      <c r="K317" s="2056"/>
      <c r="L317" s="337"/>
      <c r="M317" s="335"/>
      <c r="N317" s="2057"/>
      <c r="O317" s="337"/>
      <c r="P317" s="337"/>
      <c r="Q317" s="337"/>
      <c r="R317" s="337"/>
      <c r="S317" s="337"/>
      <c r="T317" s="337"/>
      <c r="U317" s="497"/>
      <c r="V317" s="497"/>
      <c r="W317" s="497"/>
      <c r="X317" s="497"/>
      <c r="Y317" s="497"/>
      <c r="Z317" s="497"/>
      <c r="AA317" s="497"/>
      <c r="AB317" s="497"/>
      <c r="AC317" s="497"/>
      <c r="AD317" s="497"/>
      <c r="AE317" s="497"/>
      <c r="AF317" s="497"/>
      <c r="AG317" s="497"/>
      <c r="AH317" s="497"/>
      <c r="AI317" s="497"/>
      <c r="AJ317" s="497"/>
      <c r="AK317" s="497"/>
      <c r="AL317" s="497"/>
      <c r="AM317" s="497"/>
      <c r="AN317" s="497"/>
      <c r="AO317" s="497"/>
      <c r="AP317" s="497"/>
      <c r="AQ317" s="497"/>
      <c r="AR317" s="497"/>
      <c r="AS317" s="497"/>
      <c r="AT317" s="497"/>
      <c r="AU317" s="497"/>
      <c r="AV317" s="497"/>
      <c r="AW317" s="497"/>
      <c r="AX317" s="497"/>
      <c r="AY317" s="497"/>
      <c r="AZ317" s="497"/>
      <c r="BA317" s="497"/>
      <c r="BB317" s="497"/>
      <c r="BC317" s="497"/>
      <c r="BD317" s="497"/>
      <c r="BE317" s="497"/>
      <c r="BF317" s="497"/>
      <c r="BG317" s="497"/>
      <c r="BH317" s="497"/>
      <c r="BI317" s="497"/>
      <c r="BJ317" s="497"/>
      <c r="BK317" s="497"/>
      <c r="BL317" s="497"/>
      <c r="BM317" s="497"/>
      <c r="BN317" s="497"/>
      <c r="BO317" s="497"/>
      <c r="BP317" s="497"/>
      <c r="BQ317" s="497"/>
      <c r="BR317" s="497"/>
      <c r="BS317" s="497"/>
      <c r="BT317" s="497"/>
      <c r="BU317" s="497"/>
      <c r="BV317" s="497"/>
      <c r="BW317" s="497"/>
      <c r="BX317" s="497"/>
      <c r="BY317" s="497"/>
      <c r="BZ317" s="497"/>
      <c r="CA317" s="497"/>
      <c r="CB317" s="497"/>
      <c r="CC317" s="497"/>
      <c r="CD317" s="497"/>
      <c r="CE317" s="497"/>
      <c r="CF317" s="497"/>
      <c r="CG317" s="497"/>
      <c r="CH317" s="497"/>
    </row>
    <row r="318" spans="1:86" s="325" customFormat="1">
      <c r="A318" s="517"/>
      <c r="B318" s="517"/>
      <c r="C318" s="517"/>
      <c r="D318" s="517"/>
      <c r="E318" s="517"/>
      <c r="F318" s="517"/>
      <c r="G318" s="517"/>
      <c r="H318" s="639"/>
      <c r="I318" s="639"/>
      <c r="J318" s="336"/>
      <c r="K318" s="2056"/>
      <c r="L318" s="337"/>
      <c r="M318" s="335"/>
      <c r="N318" s="2057"/>
      <c r="O318" s="337"/>
      <c r="P318" s="337"/>
      <c r="Q318" s="337"/>
      <c r="R318" s="337"/>
      <c r="S318" s="337"/>
      <c r="T318" s="337"/>
      <c r="U318" s="497"/>
      <c r="V318" s="497"/>
      <c r="W318" s="497"/>
      <c r="X318" s="497"/>
      <c r="Y318" s="497"/>
      <c r="Z318" s="497"/>
      <c r="AA318" s="497"/>
      <c r="AB318" s="497"/>
      <c r="AC318" s="497"/>
      <c r="AD318" s="497"/>
      <c r="AE318" s="497"/>
      <c r="AF318" s="497"/>
      <c r="AG318" s="497"/>
      <c r="AH318" s="497"/>
      <c r="AI318" s="497"/>
      <c r="AJ318" s="497"/>
      <c r="AK318" s="497"/>
      <c r="AL318" s="497"/>
      <c r="AM318" s="497"/>
      <c r="AN318" s="497"/>
      <c r="AO318" s="497"/>
      <c r="AP318" s="497"/>
      <c r="AQ318" s="497"/>
      <c r="AR318" s="497"/>
      <c r="AS318" s="497"/>
      <c r="AT318" s="497"/>
      <c r="AU318" s="497"/>
      <c r="AV318" s="497"/>
      <c r="AW318" s="497"/>
      <c r="AX318" s="497"/>
      <c r="AY318" s="497"/>
      <c r="AZ318" s="497"/>
      <c r="BA318" s="497"/>
      <c r="BB318" s="497"/>
      <c r="BC318" s="497"/>
      <c r="BD318" s="497"/>
      <c r="BE318" s="497"/>
      <c r="BF318" s="497"/>
      <c r="BG318" s="497"/>
      <c r="BH318" s="497"/>
      <c r="BI318" s="497"/>
      <c r="BJ318" s="497"/>
      <c r="BK318" s="497"/>
      <c r="BL318" s="497"/>
      <c r="BM318" s="497"/>
      <c r="BN318" s="497"/>
      <c r="BO318" s="497"/>
      <c r="BP318" s="497"/>
      <c r="BQ318" s="497"/>
      <c r="BR318" s="497"/>
      <c r="BS318" s="497"/>
      <c r="BT318" s="497"/>
      <c r="BU318" s="497"/>
      <c r="BV318" s="497"/>
      <c r="BW318" s="497"/>
      <c r="BX318" s="497"/>
      <c r="BY318" s="497"/>
      <c r="BZ318" s="497"/>
      <c r="CA318" s="497"/>
      <c r="CB318" s="497"/>
      <c r="CC318" s="497"/>
      <c r="CD318" s="497"/>
      <c r="CE318" s="497"/>
      <c r="CF318" s="497"/>
      <c r="CG318" s="497"/>
      <c r="CH318" s="497"/>
    </row>
    <row r="319" spans="1:86" s="325" customFormat="1">
      <c r="A319" s="517"/>
      <c r="B319" s="517"/>
      <c r="C319" s="517"/>
      <c r="D319" s="517"/>
      <c r="E319" s="517"/>
      <c r="F319" s="517"/>
      <c r="G319" s="517"/>
      <c r="H319" s="639"/>
      <c r="I319" s="639"/>
      <c r="J319" s="336"/>
      <c r="K319" s="2056"/>
      <c r="L319" s="337"/>
      <c r="M319" s="335"/>
      <c r="N319" s="2057"/>
      <c r="O319" s="337"/>
      <c r="P319" s="337"/>
      <c r="Q319" s="337"/>
      <c r="R319" s="337"/>
      <c r="S319" s="337"/>
      <c r="T319" s="337"/>
      <c r="U319" s="497"/>
      <c r="V319" s="497"/>
      <c r="W319" s="497"/>
      <c r="X319" s="497"/>
      <c r="Y319" s="497"/>
      <c r="Z319" s="497"/>
      <c r="AA319" s="497"/>
      <c r="AB319" s="497"/>
      <c r="AC319" s="497"/>
      <c r="AD319" s="497"/>
      <c r="AE319" s="497"/>
      <c r="AF319" s="497"/>
      <c r="AG319" s="497"/>
      <c r="AH319" s="497"/>
      <c r="AI319" s="497"/>
      <c r="AJ319" s="497"/>
      <c r="AK319" s="497"/>
      <c r="AL319" s="497"/>
      <c r="AM319" s="497"/>
      <c r="AN319" s="497"/>
      <c r="AO319" s="497"/>
      <c r="AP319" s="497"/>
      <c r="AQ319" s="497"/>
      <c r="AR319" s="497"/>
      <c r="AS319" s="497"/>
      <c r="AT319" s="497"/>
      <c r="AU319" s="497"/>
      <c r="AV319" s="497"/>
      <c r="AW319" s="497"/>
      <c r="AX319" s="497"/>
      <c r="AY319" s="497"/>
      <c r="AZ319" s="497"/>
      <c r="BA319" s="497"/>
      <c r="BB319" s="497"/>
      <c r="BC319" s="497"/>
      <c r="BD319" s="497"/>
      <c r="BE319" s="497"/>
      <c r="BF319" s="497"/>
      <c r="BG319" s="497"/>
      <c r="BH319" s="497"/>
      <c r="BI319" s="497"/>
      <c r="BJ319" s="497"/>
      <c r="BK319" s="497"/>
      <c r="BL319" s="497"/>
      <c r="BM319" s="497"/>
      <c r="BN319" s="497"/>
      <c r="BO319" s="497"/>
      <c r="BP319" s="497"/>
      <c r="BQ319" s="497"/>
      <c r="BR319" s="497"/>
      <c r="BS319" s="497"/>
      <c r="BT319" s="497"/>
      <c r="BU319" s="497"/>
      <c r="BV319" s="497"/>
      <c r="BW319" s="497"/>
      <c r="BX319" s="497"/>
      <c r="BY319" s="497"/>
      <c r="BZ319" s="497"/>
      <c r="CA319" s="497"/>
      <c r="CB319" s="497"/>
      <c r="CC319" s="497"/>
      <c r="CD319" s="497"/>
      <c r="CE319" s="497"/>
      <c r="CF319" s="497"/>
      <c r="CG319" s="497"/>
      <c r="CH319" s="497"/>
    </row>
    <row r="320" spans="1:86" s="325" customFormat="1">
      <c r="A320" s="517"/>
      <c r="B320" s="517"/>
      <c r="C320" s="517"/>
      <c r="D320" s="517"/>
      <c r="E320" s="517"/>
      <c r="F320" s="517"/>
      <c r="G320" s="517"/>
      <c r="H320" s="639"/>
      <c r="I320" s="639"/>
      <c r="J320" s="336"/>
      <c r="K320" s="2056"/>
      <c r="L320" s="337"/>
      <c r="M320" s="335"/>
      <c r="N320" s="2057"/>
      <c r="O320" s="337"/>
      <c r="P320" s="337"/>
      <c r="Q320" s="337"/>
      <c r="R320" s="337"/>
      <c r="S320" s="337"/>
      <c r="T320" s="337"/>
      <c r="U320" s="497"/>
      <c r="V320" s="497"/>
      <c r="W320" s="497"/>
      <c r="X320" s="497"/>
      <c r="Y320" s="497"/>
      <c r="Z320" s="497"/>
      <c r="AA320" s="497"/>
      <c r="AB320" s="497"/>
      <c r="AC320" s="497"/>
      <c r="AD320" s="497"/>
      <c r="AE320" s="497"/>
      <c r="AF320" s="497"/>
      <c r="AG320" s="497"/>
      <c r="AH320" s="497"/>
      <c r="AI320" s="497"/>
      <c r="AJ320" s="497"/>
      <c r="AK320" s="497"/>
      <c r="AL320" s="497"/>
      <c r="AM320" s="497"/>
      <c r="AN320" s="497"/>
      <c r="AO320" s="497"/>
      <c r="AP320" s="497"/>
      <c r="AQ320" s="497"/>
      <c r="AR320" s="497"/>
      <c r="AS320" s="497"/>
      <c r="AT320" s="497"/>
      <c r="AU320" s="497"/>
      <c r="AV320" s="497"/>
      <c r="AW320" s="497"/>
      <c r="AX320" s="497"/>
      <c r="AY320" s="497"/>
      <c r="AZ320" s="497"/>
      <c r="BA320" s="497"/>
      <c r="BB320" s="497"/>
      <c r="BC320" s="497"/>
      <c r="BD320" s="497"/>
      <c r="BE320" s="497"/>
      <c r="BF320" s="497"/>
      <c r="BG320" s="497"/>
      <c r="BH320" s="497"/>
      <c r="BI320" s="497"/>
      <c r="BJ320" s="497"/>
      <c r="BK320" s="497"/>
      <c r="BL320" s="497"/>
      <c r="BM320" s="497"/>
      <c r="BN320" s="497"/>
      <c r="BO320" s="497"/>
      <c r="BP320" s="497"/>
      <c r="BQ320" s="497"/>
      <c r="BR320" s="497"/>
      <c r="BS320" s="497"/>
      <c r="BT320" s="497"/>
      <c r="BU320" s="497"/>
      <c r="BV320" s="497"/>
      <c r="BW320" s="497"/>
      <c r="BX320" s="497"/>
      <c r="BY320" s="497"/>
      <c r="BZ320" s="497"/>
      <c r="CA320" s="497"/>
      <c r="CB320" s="497"/>
      <c r="CC320" s="497"/>
      <c r="CD320" s="497"/>
      <c r="CE320" s="497"/>
      <c r="CF320" s="497"/>
      <c r="CG320" s="497"/>
      <c r="CH320" s="497"/>
    </row>
    <row r="321" spans="1:86" s="325" customFormat="1">
      <c r="A321" s="517"/>
      <c r="B321" s="517"/>
      <c r="C321" s="517"/>
      <c r="D321" s="517"/>
      <c r="E321" s="517"/>
      <c r="F321" s="517"/>
      <c r="G321" s="517"/>
      <c r="H321" s="639"/>
      <c r="I321" s="639"/>
      <c r="J321" s="336"/>
      <c r="K321" s="2056"/>
      <c r="L321" s="337"/>
      <c r="M321" s="335"/>
      <c r="N321" s="2057"/>
      <c r="O321" s="337"/>
      <c r="P321" s="337"/>
      <c r="Q321" s="337"/>
      <c r="R321" s="337"/>
      <c r="S321" s="337"/>
      <c r="T321" s="337"/>
      <c r="U321" s="497"/>
      <c r="V321" s="497"/>
      <c r="W321" s="497"/>
      <c r="X321" s="497"/>
      <c r="Y321" s="497"/>
      <c r="Z321" s="497"/>
      <c r="AA321" s="497"/>
      <c r="AB321" s="497"/>
      <c r="AC321" s="497"/>
      <c r="AD321" s="497"/>
      <c r="AE321" s="497"/>
      <c r="AF321" s="497"/>
      <c r="AG321" s="497"/>
      <c r="AH321" s="497"/>
      <c r="AI321" s="497"/>
      <c r="AJ321" s="497"/>
      <c r="AK321" s="497"/>
      <c r="AL321" s="497"/>
      <c r="AM321" s="497"/>
      <c r="AN321" s="497"/>
      <c r="AO321" s="497"/>
      <c r="AP321" s="497"/>
      <c r="AQ321" s="497"/>
      <c r="AR321" s="497"/>
      <c r="AS321" s="497"/>
      <c r="AT321" s="497"/>
      <c r="AU321" s="497"/>
      <c r="AV321" s="497"/>
      <c r="AW321" s="497"/>
      <c r="AX321" s="497"/>
      <c r="AY321" s="497"/>
      <c r="AZ321" s="497"/>
      <c r="BA321" s="497"/>
      <c r="BB321" s="497"/>
      <c r="BC321" s="497"/>
      <c r="BD321" s="497"/>
      <c r="BE321" s="497"/>
      <c r="BF321" s="497"/>
      <c r="BG321" s="497"/>
      <c r="BH321" s="497"/>
      <c r="BI321" s="497"/>
      <c r="BJ321" s="497"/>
      <c r="BK321" s="497"/>
      <c r="BL321" s="497"/>
      <c r="BM321" s="497"/>
      <c r="BN321" s="497"/>
      <c r="BO321" s="497"/>
      <c r="BP321" s="497"/>
      <c r="BQ321" s="497"/>
      <c r="BR321" s="497"/>
      <c r="BS321" s="497"/>
      <c r="BT321" s="497"/>
      <c r="BU321" s="497"/>
      <c r="BV321" s="497"/>
      <c r="BW321" s="497"/>
      <c r="BX321" s="497"/>
      <c r="BY321" s="497"/>
      <c r="BZ321" s="497"/>
      <c r="CA321" s="497"/>
      <c r="CB321" s="497"/>
      <c r="CC321" s="497"/>
      <c r="CD321" s="497"/>
      <c r="CE321" s="497"/>
      <c r="CF321" s="497"/>
      <c r="CG321" s="497"/>
      <c r="CH321" s="497"/>
    </row>
    <row r="322" spans="1:86" s="325" customFormat="1">
      <c r="A322" s="517"/>
      <c r="B322" s="517"/>
      <c r="C322" s="517"/>
      <c r="D322" s="517"/>
      <c r="E322" s="517"/>
      <c r="F322" s="517"/>
      <c r="G322" s="517"/>
      <c r="H322" s="639"/>
      <c r="I322" s="639"/>
      <c r="J322" s="336"/>
      <c r="K322" s="2056"/>
      <c r="L322" s="337"/>
      <c r="M322" s="335"/>
      <c r="N322" s="2057"/>
      <c r="O322" s="337"/>
      <c r="P322" s="337"/>
      <c r="Q322" s="337"/>
      <c r="R322" s="337"/>
      <c r="S322" s="337"/>
      <c r="T322" s="337"/>
      <c r="U322" s="497"/>
      <c r="V322" s="497"/>
      <c r="W322" s="497"/>
      <c r="X322" s="497"/>
      <c r="Y322" s="497"/>
      <c r="Z322" s="497"/>
      <c r="AA322" s="497"/>
      <c r="AB322" s="497"/>
      <c r="AC322" s="497"/>
      <c r="AD322" s="497"/>
      <c r="AE322" s="497"/>
      <c r="AF322" s="497"/>
      <c r="AG322" s="497"/>
      <c r="AH322" s="497"/>
      <c r="AI322" s="497"/>
      <c r="AJ322" s="497"/>
      <c r="AK322" s="497"/>
      <c r="AL322" s="497"/>
      <c r="AM322" s="497"/>
      <c r="AN322" s="497"/>
      <c r="AO322" s="497"/>
      <c r="AP322" s="497"/>
      <c r="AQ322" s="497"/>
      <c r="AR322" s="497"/>
      <c r="AS322" s="497"/>
      <c r="AT322" s="497"/>
      <c r="AU322" s="497"/>
      <c r="AV322" s="497"/>
      <c r="AW322" s="497"/>
      <c r="AX322" s="497"/>
      <c r="AY322" s="497"/>
      <c r="AZ322" s="497"/>
      <c r="BA322" s="497"/>
      <c r="BB322" s="497"/>
      <c r="BC322" s="497"/>
      <c r="BD322" s="497"/>
      <c r="BE322" s="497"/>
      <c r="BF322" s="497"/>
      <c r="BG322" s="497"/>
      <c r="BH322" s="497"/>
      <c r="BI322" s="497"/>
      <c r="BJ322" s="497"/>
      <c r="BK322" s="497"/>
      <c r="BL322" s="497"/>
      <c r="BM322" s="497"/>
      <c r="BN322" s="497"/>
      <c r="BO322" s="497"/>
      <c r="BP322" s="497"/>
      <c r="BQ322" s="497"/>
      <c r="BR322" s="497"/>
      <c r="BS322" s="497"/>
      <c r="BT322" s="497"/>
      <c r="BU322" s="497"/>
      <c r="BV322" s="497"/>
      <c r="BW322" s="497"/>
      <c r="BX322" s="497"/>
      <c r="BY322" s="497"/>
      <c r="BZ322" s="497"/>
      <c r="CA322" s="497"/>
      <c r="CB322" s="497"/>
      <c r="CC322" s="497"/>
      <c r="CD322" s="497"/>
      <c r="CE322" s="497"/>
      <c r="CF322" s="497"/>
      <c r="CG322" s="497"/>
      <c r="CH322" s="497"/>
    </row>
    <row r="323" spans="1:86" s="325" customFormat="1">
      <c r="A323" s="517"/>
      <c r="B323" s="517"/>
      <c r="C323" s="517"/>
      <c r="D323" s="517"/>
      <c r="E323" s="517"/>
      <c r="F323" s="517"/>
      <c r="G323" s="517"/>
      <c r="H323" s="639"/>
      <c r="I323" s="639"/>
      <c r="J323" s="336"/>
      <c r="K323" s="2056"/>
      <c r="L323" s="337"/>
      <c r="M323" s="335"/>
      <c r="N323" s="2057"/>
      <c r="O323" s="337"/>
      <c r="P323" s="337"/>
      <c r="Q323" s="337"/>
      <c r="R323" s="337"/>
      <c r="S323" s="337"/>
      <c r="T323" s="337"/>
      <c r="U323" s="497"/>
      <c r="V323" s="497"/>
      <c r="W323" s="497"/>
      <c r="X323" s="497"/>
      <c r="Y323" s="497"/>
      <c r="Z323" s="497"/>
      <c r="AA323" s="497"/>
      <c r="AB323" s="497"/>
      <c r="AC323" s="497"/>
      <c r="AD323" s="497"/>
      <c r="AE323" s="497"/>
      <c r="AF323" s="497"/>
      <c r="AG323" s="497"/>
      <c r="AH323" s="497"/>
      <c r="AI323" s="497"/>
      <c r="AJ323" s="497"/>
      <c r="AK323" s="497"/>
      <c r="AL323" s="497"/>
      <c r="AM323" s="497"/>
      <c r="AN323" s="497"/>
      <c r="AO323" s="497"/>
      <c r="AP323" s="497"/>
      <c r="AQ323" s="497"/>
      <c r="AR323" s="497"/>
      <c r="AS323" s="497"/>
      <c r="AT323" s="497"/>
      <c r="AU323" s="497"/>
      <c r="AV323" s="497"/>
      <c r="AW323" s="497"/>
      <c r="AX323" s="497"/>
      <c r="AY323" s="497"/>
      <c r="AZ323" s="497"/>
      <c r="BA323" s="497"/>
      <c r="BB323" s="497"/>
      <c r="BC323" s="497"/>
      <c r="BD323" s="497"/>
      <c r="BE323" s="497"/>
      <c r="BF323" s="497"/>
      <c r="BG323" s="497"/>
      <c r="BH323" s="497"/>
      <c r="BI323" s="497"/>
      <c r="BJ323" s="497"/>
      <c r="BK323" s="497"/>
      <c r="BL323" s="497"/>
      <c r="BM323" s="497"/>
      <c r="BN323" s="497"/>
      <c r="BO323" s="497"/>
      <c r="BP323" s="497"/>
      <c r="BQ323" s="497"/>
      <c r="BR323" s="497"/>
      <c r="BS323" s="497"/>
      <c r="BT323" s="497"/>
      <c r="BU323" s="497"/>
      <c r="BV323" s="497"/>
      <c r="BW323" s="497"/>
      <c r="BX323" s="497"/>
      <c r="BY323" s="497"/>
      <c r="BZ323" s="497"/>
      <c r="CA323" s="497"/>
      <c r="CB323" s="497"/>
      <c r="CC323" s="497"/>
      <c r="CD323" s="497"/>
      <c r="CE323" s="497"/>
      <c r="CF323" s="497"/>
      <c r="CG323" s="497"/>
      <c r="CH323" s="497"/>
    </row>
    <row r="324" spans="1:86" s="325" customFormat="1">
      <c r="A324" s="517"/>
      <c r="B324" s="517"/>
      <c r="C324" s="517"/>
      <c r="D324" s="517"/>
      <c r="E324" s="517"/>
      <c r="F324" s="517"/>
      <c r="G324" s="517"/>
      <c r="H324" s="639"/>
      <c r="I324" s="639"/>
      <c r="J324" s="336"/>
      <c r="K324" s="2056"/>
      <c r="L324" s="337"/>
      <c r="M324" s="335"/>
      <c r="N324" s="2057"/>
      <c r="O324" s="337"/>
      <c r="P324" s="337"/>
      <c r="Q324" s="337"/>
      <c r="R324" s="337"/>
      <c r="S324" s="337"/>
      <c r="T324" s="337"/>
      <c r="U324" s="497"/>
      <c r="V324" s="497"/>
      <c r="W324" s="497"/>
      <c r="X324" s="497"/>
      <c r="Y324" s="497"/>
      <c r="Z324" s="497"/>
      <c r="AA324" s="497"/>
      <c r="AB324" s="497"/>
      <c r="AC324" s="497"/>
      <c r="AD324" s="497"/>
      <c r="AE324" s="497"/>
      <c r="AF324" s="497"/>
      <c r="AG324" s="497"/>
      <c r="AH324" s="497"/>
      <c r="AI324" s="497"/>
      <c r="AJ324" s="497"/>
      <c r="AK324" s="497"/>
      <c r="AL324" s="497"/>
      <c r="AM324" s="497"/>
      <c r="AN324" s="497"/>
      <c r="AO324" s="497"/>
      <c r="AP324" s="497"/>
      <c r="AQ324" s="497"/>
      <c r="AR324" s="497"/>
      <c r="AS324" s="497"/>
      <c r="AT324" s="497"/>
      <c r="AU324" s="497"/>
      <c r="AV324" s="497"/>
      <c r="AW324" s="497"/>
      <c r="AX324" s="497"/>
      <c r="AY324" s="497"/>
      <c r="AZ324" s="497"/>
      <c r="BA324" s="497"/>
      <c r="BB324" s="497"/>
      <c r="BC324" s="497"/>
      <c r="BD324" s="497"/>
      <c r="BE324" s="497"/>
      <c r="BF324" s="497"/>
      <c r="BG324" s="497"/>
      <c r="BH324" s="497"/>
      <c r="BI324" s="497"/>
      <c r="BJ324" s="497"/>
      <c r="BK324" s="497"/>
      <c r="BL324" s="497"/>
      <c r="BM324" s="497"/>
      <c r="BN324" s="497"/>
      <c r="BO324" s="497"/>
      <c r="BP324" s="497"/>
      <c r="BQ324" s="497"/>
      <c r="BR324" s="497"/>
      <c r="BS324" s="497"/>
      <c r="BT324" s="497"/>
      <c r="BU324" s="497"/>
      <c r="BV324" s="497"/>
      <c r="BW324" s="497"/>
      <c r="BX324" s="497"/>
      <c r="BY324" s="497"/>
      <c r="BZ324" s="497"/>
      <c r="CA324" s="497"/>
      <c r="CB324" s="497"/>
      <c r="CC324" s="497"/>
      <c r="CD324" s="497"/>
      <c r="CE324" s="497"/>
      <c r="CF324" s="497"/>
      <c r="CG324" s="497"/>
      <c r="CH324" s="497"/>
    </row>
    <row r="325" spans="1:86" s="325" customFormat="1">
      <c r="A325" s="517"/>
      <c r="B325" s="517"/>
      <c r="C325" s="517"/>
      <c r="D325" s="517"/>
      <c r="E325" s="517"/>
      <c r="F325" s="517"/>
      <c r="G325" s="517"/>
      <c r="H325" s="639"/>
      <c r="I325" s="639"/>
      <c r="J325" s="336"/>
      <c r="K325" s="2056"/>
      <c r="L325" s="337"/>
      <c r="M325" s="335"/>
      <c r="N325" s="2057"/>
      <c r="O325" s="337"/>
      <c r="P325" s="337"/>
      <c r="Q325" s="337"/>
      <c r="R325" s="337"/>
      <c r="S325" s="337"/>
      <c r="T325" s="337"/>
      <c r="U325" s="497"/>
      <c r="V325" s="497"/>
      <c r="W325" s="497"/>
      <c r="X325" s="497"/>
      <c r="Y325" s="497"/>
      <c r="Z325" s="497"/>
      <c r="AA325" s="497"/>
      <c r="AB325" s="497"/>
      <c r="AC325" s="497"/>
      <c r="AD325" s="497"/>
      <c r="AE325" s="497"/>
      <c r="AF325" s="497"/>
      <c r="AG325" s="497"/>
      <c r="AH325" s="497"/>
      <c r="AI325" s="497"/>
      <c r="AJ325" s="497"/>
      <c r="AK325" s="497"/>
      <c r="AL325" s="497"/>
      <c r="AM325" s="497"/>
      <c r="AN325" s="497"/>
      <c r="AO325" s="497"/>
      <c r="AP325" s="497"/>
      <c r="AQ325" s="497"/>
      <c r="AR325" s="497"/>
      <c r="AS325" s="497"/>
      <c r="AT325" s="497"/>
      <c r="AU325" s="497"/>
      <c r="AV325" s="497"/>
      <c r="AW325" s="497"/>
      <c r="AX325" s="497"/>
      <c r="AY325" s="497"/>
      <c r="AZ325" s="497"/>
      <c r="BA325" s="497"/>
      <c r="BB325" s="497"/>
      <c r="BC325" s="497"/>
      <c r="BD325" s="497"/>
      <c r="BE325" s="497"/>
      <c r="BF325" s="497"/>
      <c r="BG325" s="497"/>
      <c r="BH325" s="497"/>
      <c r="BI325" s="497"/>
      <c r="BJ325" s="497"/>
      <c r="BK325" s="497"/>
      <c r="BL325" s="497"/>
      <c r="BM325" s="497"/>
      <c r="BN325" s="497"/>
      <c r="BO325" s="497"/>
      <c r="BP325" s="497"/>
      <c r="BQ325" s="497"/>
      <c r="BR325" s="497"/>
      <c r="BS325" s="497"/>
      <c r="BT325" s="497"/>
      <c r="BU325" s="497"/>
      <c r="BV325" s="497"/>
      <c r="BW325" s="497"/>
      <c r="BX325" s="497"/>
      <c r="BY325" s="497"/>
      <c r="BZ325" s="497"/>
      <c r="CA325" s="497"/>
      <c r="CB325" s="497"/>
      <c r="CC325" s="497"/>
      <c r="CD325" s="497"/>
      <c r="CE325" s="497"/>
      <c r="CF325" s="497"/>
      <c r="CG325" s="497"/>
      <c r="CH325" s="497"/>
    </row>
    <row r="326" spans="1:86" s="325" customFormat="1">
      <c r="A326" s="517"/>
      <c r="B326" s="517"/>
      <c r="C326" s="517"/>
      <c r="D326" s="517"/>
      <c r="E326" s="517"/>
      <c r="F326" s="517"/>
      <c r="G326" s="517"/>
      <c r="H326" s="639"/>
      <c r="I326" s="639"/>
      <c r="J326" s="336"/>
      <c r="K326" s="2056"/>
      <c r="L326" s="337"/>
      <c r="M326" s="335"/>
      <c r="N326" s="2057"/>
      <c r="O326" s="337"/>
      <c r="P326" s="337"/>
      <c r="Q326" s="337"/>
      <c r="R326" s="337"/>
      <c r="S326" s="337"/>
      <c r="T326" s="337"/>
      <c r="U326" s="497"/>
      <c r="V326" s="497"/>
      <c r="W326" s="497"/>
      <c r="X326" s="497"/>
      <c r="Y326" s="497"/>
      <c r="Z326" s="497"/>
      <c r="AA326" s="497"/>
      <c r="AB326" s="497"/>
      <c r="AC326" s="497"/>
      <c r="AD326" s="497"/>
      <c r="AE326" s="497"/>
      <c r="AF326" s="497"/>
      <c r="AG326" s="497"/>
      <c r="AH326" s="497"/>
      <c r="AI326" s="497"/>
      <c r="AJ326" s="497"/>
      <c r="AK326" s="497"/>
      <c r="AL326" s="497"/>
      <c r="AM326" s="497"/>
      <c r="AN326" s="497"/>
      <c r="AO326" s="497"/>
      <c r="AP326" s="497"/>
      <c r="AQ326" s="497"/>
      <c r="AR326" s="497"/>
      <c r="AS326" s="497"/>
      <c r="AT326" s="497"/>
      <c r="AU326" s="497"/>
      <c r="AV326" s="497"/>
      <c r="AW326" s="497"/>
      <c r="AX326" s="497"/>
      <c r="AY326" s="497"/>
      <c r="AZ326" s="497"/>
      <c r="BA326" s="497"/>
      <c r="BB326" s="497"/>
      <c r="BC326" s="497"/>
      <c r="BD326" s="497"/>
      <c r="BE326" s="497"/>
      <c r="BF326" s="497"/>
      <c r="BG326" s="497"/>
      <c r="BH326" s="497"/>
      <c r="BI326" s="497"/>
      <c r="BJ326" s="497"/>
      <c r="BK326" s="497"/>
      <c r="BL326" s="497"/>
      <c r="BM326" s="497"/>
      <c r="BN326" s="497"/>
      <c r="BO326" s="497"/>
      <c r="BP326" s="497"/>
      <c r="BQ326" s="497"/>
      <c r="BR326" s="497"/>
      <c r="BS326" s="497"/>
      <c r="BT326" s="497"/>
      <c r="BU326" s="497"/>
      <c r="BV326" s="497"/>
      <c r="BW326" s="497"/>
      <c r="BX326" s="497"/>
      <c r="BY326" s="497"/>
      <c r="BZ326" s="497"/>
      <c r="CA326" s="497"/>
      <c r="CB326" s="497"/>
      <c r="CC326" s="497"/>
      <c r="CD326" s="497"/>
      <c r="CE326" s="497"/>
      <c r="CF326" s="497"/>
      <c r="CG326" s="497"/>
      <c r="CH326" s="497"/>
    </row>
    <row r="327" spans="1:86" s="325" customFormat="1">
      <c r="A327" s="517"/>
      <c r="B327" s="517"/>
      <c r="C327" s="517"/>
      <c r="D327" s="517"/>
      <c r="E327" s="517"/>
      <c r="F327" s="517"/>
      <c r="G327" s="517"/>
      <c r="H327" s="639"/>
      <c r="I327" s="639"/>
      <c r="J327" s="336"/>
      <c r="K327" s="2056"/>
      <c r="L327" s="337"/>
      <c r="M327" s="335"/>
      <c r="N327" s="2057"/>
      <c r="O327" s="337"/>
      <c r="P327" s="337"/>
      <c r="Q327" s="337"/>
      <c r="R327" s="337"/>
      <c r="S327" s="337"/>
      <c r="T327" s="337"/>
      <c r="U327" s="497"/>
      <c r="V327" s="497"/>
      <c r="W327" s="497"/>
      <c r="X327" s="497"/>
      <c r="Y327" s="497"/>
      <c r="Z327" s="497"/>
      <c r="AA327" s="497"/>
      <c r="AB327" s="497"/>
      <c r="AC327" s="497"/>
      <c r="AD327" s="497"/>
      <c r="AE327" s="497"/>
      <c r="AF327" s="497"/>
      <c r="AG327" s="497"/>
      <c r="AH327" s="497"/>
      <c r="AI327" s="497"/>
      <c r="AJ327" s="497"/>
      <c r="AK327" s="497"/>
      <c r="AL327" s="497"/>
      <c r="AM327" s="497"/>
      <c r="AN327" s="497"/>
      <c r="AO327" s="497"/>
      <c r="AP327" s="497"/>
      <c r="AQ327" s="497"/>
      <c r="AR327" s="497"/>
      <c r="AS327" s="497"/>
      <c r="AT327" s="497"/>
      <c r="AU327" s="497"/>
      <c r="AV327" s="497"/>
      <c r="AW327" s="497"/>
      <c r="AX327" s="497"/>
      <c r="AY327" s="497"/>
      <c r="AZ327" s="497"/>
      <c r="BA327" s="497"/>
      <c r="BB327" s="497"/>
      <c r="BC327" s="497"/>
      <c r="BD327" s="497"/>
      <c r="BE327" s="497"/>
      <c r="BF327" s="497"/>
      <c r="BG327" s="497"/>
      <c r="BH327" s="497"/>
      <c r="BI327" s="497"/>
      <c r="BJ327" s="497"/>
      <c r="BK327" s="497"/>
      <c r="BL327" s="497"/>
      <c r="BM327" s="497"/>
      <c r="BN327" s="497"/>
      <c r="BO327" s="497"/>
      <c r="BP327" s="497"/>
      <c r="BQ327" s="497"/>
      <c r="BR327" s="497"/>
      <c r="BS327" s="497"/>
      <c r="BT327" s="497"/>
      <c r="BU327" s="497"/>
      <c r="BV327" s="497"/>
      <c r="BW327" s="497"/>
      <c r="BX327" s="497"/>
      <c r="BY327" s="497"/>
      <c r="BZ327" s="497"/>
      <c r="CA327" s="497"/>
      <c r="CB327" s="497"/>
      <c r="CC327" s="497"/>
      <c r="CD327" s="497"/>
      <c r="CE327" s="497"/>
      <c r="CF327" s="497"/>
      <c r="CG327" s="497"/>
      <c r="CH327" s="497"/>
    </row>
    <row r="328" spans="1:86" s="325" customFormat="1">
      <c r="A328" s="517"/>
      <c r="B328" s="517"/>
      <c r="C328" s="517"/>
      <c r="D328" s="517"/>
      <c r="E328" s="517"/>
      <c r="F328" s="517"/>
      <c r="G328" s="517"/>
      <c r="H328" s="639"/>
      <c r="I328" s="639"/>
      <c r="J328" s="336"/>
      <c r="K328" s="2056"/>
      <c r="L328" s="337"/>
      <c r="M328" s="335"/>
      <c r="N328" s="2057"/>
      <c r="O328" s="337"/>
      <c r="P328" s="337"/>
      <c r="Q328" s="337"/>
      <c r="R328" s="337"/>
      <c r="S328" s="337"/>
      <c r="T328" s="337"/>
      <c r="U328" s="497"/>
      <c r="V328" s="497"/>
      <c r="W328" s="497"/>
      <c r="X328" s="497"/>
      <c r="Y328" s="497"/>
      <c r="Z328" s="497"/>
      <c r="AA328" s="497"/>
      <c r="AB328" s="497"/>
      <c r="AC328" s="497"/>
      <c r="AD328" s="497"/>
      <c r="AE328" s="497"/>
      <c r="AF328" s="497"/>
      <c r="AG328" s="497"/>
      <c r="AH328" s="497"/>
      <c r="AI328" s="497"/>
      <c r="AJ328" s="497"/>
      <c r="AK328" s="497"/>
      <c r="AL328" s="497"/>
      <c r="AM328" s="497"/>
      <c r="AN328" s="497"/>
      <c r="AO328" s="497"/>
      <c r="AP328" s="497"/>
      <c r="AQ328" s="497"/>
      <c r="AR328" s="497"/>
      <c r="AS328" s="497"/>
      <c r="AT328" s="497"/>
      <c r="AU328" s="497"/>
      <c r="AV328" s="497"/>
      <c r="AW328" s="497"/>
      <c r="AX328" s="497"/>
      <c r="AY328" s="497"/>
      <c r="AZ328" s="497"/>
      <c r="BA328" s="497"/>
      <c r="BB328" s="497"/>
      <c r="BC328" s="497"/>
      <c r="BD328" s="497"/>
      <c r="BE328" s="497"/>
      <c r="BF328" s="497"/>
      <c r="BG328" s="497"/>
      <c r="BH328" s="497"/>
      <c r="BI328" s="497"/>
      <c r="BJ328" s="497"/>
      <c r="BK328" s="497"/>
      <c r="BL328" s="497"/>
      <c r="BM328" s="497"/>
      <c r="BN328" s="497"/>
      <c r="BO328" s="497"/>
      <c r="BP328" s="497"/>
      <c r="BQ328" s="497"/>
      <c r="BR328" s="497"/>
      <c r="BS328" s="497"/>
      <c r="BT328" s="497"/>
      <c r="BU328" s="497"/>
      <c r="BV328" s="497"/>
      <c r="BW328" s="497"/>
      <c r="BX328" s="497"/>
      <c r="BY328" s="497"/>
      <c r="BZ328" s="497"/>
      <c r="CA328" s="497"/>
      <c r="CB328" s="497"/>
      <c r="CC328" s="497"/>
      <c r="CD328" s="497"/>
      <c r="CE328" s="497"/>
      <c r="CF328" s="497"/>
      <c r="CG328" s="497"/>
      <c r="CH328" s="497"/>
    </row>
    <row r="329" spans="1:86" s="325" customFormat="1">
      <c r="A329" s="517"/>
      <c r="B329" s="517"/>
      <c r="C329" s="517"/>
      <c r="D329" s="517"/>
      <c r="E329" s="517"/>
      <c r="F329" s="517"/>
      <c r="G329" s="517"/>
      <c r="H329" s="639"/>
      <c r="I329" s="639"/>
      <c r="J329" s="336"/>
      <c r="K329" s="2056"/>
      <c r="L329" s="337"/>
      <c r="M329" s="335"/>
      <c r="N329" s="2057"/>
      <c r="O329" s="337"/>
      <c r="P329" s="337"/>
      <c r="Q329" s="337"/>
      <c r="R329" s="337"/>
      <c r="S329" s="337"/>
      <c r="T329" s="337"/>
      <c r="U329" s="497"/>
      <c r="V329" s="497"/>
      <c r="W329" s="497"/>
      <c r="X329" s="497"/>
      <c r="Y329" s="497"/>
      <c r="Z329" s="497"/>
      <c r="AA329" s="497"/>
      <c r="AB329" s="497"/>
      <c r="AC329" s="497"/>
      <c r="AD329" s="497"/>
      <c r="AE329" s="497"/>
      <c r="AF329" s="497"/>
      <c r="AG329" s="497"/>
      <c r="AH329" s="497"/>
      <c r="AI329" s="497"/>
      <c r="AJ329" s="497"/>
      <c r="AK329" s="497"/>
      <c r="AL329" s="497"/>
      <c r="AM329" s="497"/>
      <c r="AN329" s="497"/>
      <c r="AO329" s="497"/>
      <c r="AP329" s="497"/>
      <c r="AQ329" s="497"/>
      <c r="AR329" s="497"/>
      <c r="AS329" s="497"/>
      <c r="AT329" s="497"/>
      <c r="AU329" s="497"/>
      <c r="AV329" s="497"/>
      <c r="AW329" s="497"/>
      <c r="AX329" s="497"/>
      <c r="AY329" s="497"/>
      <c r="AZ329" s="497"/>
      <c r="BA329" s="497"/>
      <c r="BB329" s="497"/>
      <c r="BC329" s="497"/>
      <c r="BD329" s="497"/>
      <c r="BE329" s="497"/>
      <c r="BF329" s="497"/>
      <c r="BG329" s="497"/>
      <c r="BH329" s="497"/>
      <c r="BI329" s="497"/>
      <c r="BJ329" s="497"/>
      <c r="BK329" s="497"/>
      <c r="BL329" s="497"/>
      <c r="BM329" s="497"/>
      <c r="BN329" s="497"/>
      <c r="BO329" s="497"/>
      <c r="BP329" s="497"/>
      <c r="BQ329" s="497"/>
      <c r="BR329" s="497"/>
      <c r="BS329" s="497"/>
      <c r="BT329" s="497"/>
      <c r="BU329" s="497"/>
      <c r="BV329" s="497"/>
      <c r="BW329" s="497"/>
      <c r="BX329" s="497"/>
      <c r="BY329" s="497"/>
      <c r="BZ329" s="497"/>
      <c r="CA329" s="497"/>
      <c r="CB329" s="497"/>
      <c r="CC329" s="497"/>
      <c r="CD329" s="497"/>
      <c r="CE329" s="497"/>
      <c r="CF329" s="497"/>
      <c r="CG329" s="497"/>
      <c r="CH329" s="497"/>
    </row>
    <row r="330" spans="1:86" s="325" customFormat="1">
      <c r="A330" s="517"/>
      <c r="B330" s="517"/>
      <c r="C330" s="517"/>
      <c r="D330" s="517"/>
      <c r="E330" s="517"/>
      <c r="F330" s="517"/>
      <c r="G330" s="517"/>
      <c r="H330" s="639"/>
      <c r="I330" s="639"/>
      <c r="J330" s="336"/>
      <c r="K330" s="2056"/>
      <c r="L330" s="337"/>
      <c r="M330" s="335"/>
      <c r="N330" s="2057"/>
      <c r="O330" s="337"/>
      <c r="P330" s="337"/>
      <c r="Q330" s="337"/>
      <c r="R330" s="337"/>
      <c r="S330" s="337"/>
      <c r="T330" s="337"/>
      <c r="U330" s="497"/>
      <c r="V330" s="497"/>
      <c r="W330" s="497"/>
      <c r="X330" s="497"/>
      <c r="Y330" s="497"/>
      <c r="Z330" s="497"/>
      <c r="AA330" s="497"/>
      <c r="AB330" s="497"/>
      <c r="AC330" s="497"/>
      <c r="AD330" s="497"/>
      <c r="AE330" s="497"/>
      <c r="AF330" s="497"/>
      <c r="AG330" s="497"/>
      <c r="AH330" s="497"/>
      <c r="AI330" s="497"/>
      <c r="AJ330" s="497"/>
      <c r="AK330" s="497"/>
      <c r="AL330" s="497"/>
      <c r="AM330" s="497"/>
      <c r="AN330" s="497"/>
      <c r="AO330" s="497"/>
      <c r="AP330" s="497"/>
      <c r="AQ330" s="497"/>
      <c r="AR330" s="497"/>
      <c r="AS330" s="497"/>
      <c r="AT330" s="497"/>
      <c r="AU330" s="497"/>
      <c r="AV330" s="497"/>
      <c r="AW330" s="497"/>
      <c r="AX330" s="497"/>
      <c r="AY330" s="497"/>
      <c r="AZ330" s="497"/>
      <c r="BA330" s="497"/>
      <c r="BB330" s="497"/>
      <c r="BC330" s="497"/>
      <c r="BD330" s="497"/>
      <c r="BE330" s="497"/>
      <c r="BF330" s="497"/>
      <c r="BG330" s="497"/>
      <c r="BH330" s="497"/>
      <c r="BI330" s="497"/>
      <c r="BJ330" s="497"/>
      <c r="BK330" s="497"/>
      <c r="BL330" s="497"/>
      <c r="BM330" s="497"/>
      <c r="BN330" s="497"/>
      <c r="BO330" s="497"/>
      <c r="BP330" s="497"/>
      <c r="BQ330" s="497"/>
      <c r="BR330" s="497"/>
      <c r="BS330" s="497"/>
      <c r="BT330" s="497"/>
      <c r="BU330" s="497"/>
      <c r="BV330" s="497"/>
      <c r="BW330" s="497"/>
      <c r="BX330" s="497"/>
      <c r="BY330" s="497"/>
      <c r="BZ330" s="497"/>
      <c r="CA330" s="497"/>
      <c r="CB330" s="497"/>
      <c r="CC330" s="497"/>
      <c r="CD330" s="497"/>
      <c r="CE330" s="497"/>
      <c r="CF330" s="497"/>
      <c r="CG330" s="497"/>
      <c r="CH330" s="497"/>
    </row>
    <row r="331" spans="1:86" s="325" customFormat="1">
      <c r="A331" s="517"/>
      <c r="B331" s="517"/>
      <c r="C331" s="517"/>
      <c r="D331" s="517"/>
      <c r="E331" s="517"/>
      <c r="F331" s="517"/>
      <c r="G331" s="517"/>
      <c r="H331" s="639"/>
      <c r="I331" s="639"/>
      <c r="J331" s="336"/>
      <c r="K331" s="2056"/>
      <c r="L331" s="337"/>
      <c r="M331" s="335"/>
      <c r="N331" s="2057"/>
      <c r="O331" s="337"/>
      <c r="P331" s="337"/>
      <c r="Q331" s="337"/>
      <c r="R331" s="337"/>
      <c r="S331" s="337"/>
      <c r="T331" s="337"/>
      <c r="U331" s="497"/>
      <c r="V331" s="497"/>
      <c r="W331" s="497"/>
      <c r="X331" s="497"/>
      <c r="Y331" s="497"/>
      <c r="Z331" s="497"/>
      <c r="AA331" s="497"/>
      <c r="AB331" s="497"/>
      <c r="AC331" s="497"/>
      <c r="AD331" s="497"/>
      <c r="AE331" s="497"/>
      <c r="AF331" s="497"/>
      <c r="AG331" s="497"/>
      <c r="AH331" s="497"/>
      <c r="AI331" s="497"/>
      <c r="AJ331" s="497"/>
      <c r="AK331" s="497"/>
      <c r="AL331" s="497"/>
      <c r="AM331" s="497"/>
      <c r="AN331" s="497"/>
      <c r="AO331" s="497"/>
      <c r="AP331" s="497"/>
      <c r="AQ331" s="497"/>
      <c r="AR331" s="497"/>
      <c r="AS331" s="497"/>
      <c r="AT331" s="497"/>
      <c r="AU331" s="497"/>
      <c r="AV331" s="497"/>
      <c r="AW331" s="497"/>
      <c r="AX331" s="497"/>
      <c r="AY331" s="497"/>
      <c r="AZ331" s="497"/>
      <c r="BA331" s="497"/>
      <c r="BB331" s="497"/>
      <c r="BC331" s="497"/>
      <c r="BD331" s="497"/>
      <c r="BE331" s="497"/>
      <c r="BF331" s="497"/>
      <c r="BG331" s="497"/>
      <c r="BH331" s="497"/>
      <c r="BI331" s="497"/>
      <c r="BJ331" s="497"/>
      <c r="BK331" s="497"/>
      <c r="BL331" s="497"/>
      <c r="BM331" s="497"/>
      <c r="BN331" s="497"/>
      <c r="BO331" s="497"/>
      <c r="BP331" s="497"/>
      <c r="BQ331" s="497"/>
      <c r="BR331" s="497"/>
      <c r="BS331" s="497"/>
      <c r="BT331" s="497"/>
      <c r="BU331" s="497"/>
      <c r="BV331" s="497"/>
      <c r="BW331" s="497"/>
      <c r="BX331" s="497"/>
      <c r="BY331" s="497"/>
      <c r="BZ331" s="497"/>
      <c r="CA331" s="497"/>
      <c r="CB331" s="497"/>
      <c r="CC331" s="497"/>
      <c r="CD331" s="497"/>
      <c r="CE331" s="497"/>
      <c r="CF331" s="497"/>
      <c r="CG331" s="497"/>
      <c r="CH331" s="497"/>
    </row>
    <row r="332" spans="1:86" s="325" customFormat="1">
      <c r="A332" s="517"/>
      <c r="B332" s="517"/>
      <c r="C332" s="517"/>
      <c r="D332" s="517"/>
      <c r="E332" s="517"/>
      <c r="F332" s="517"/>
      <c r="G332" s="517"/>
      <c r="H332" s="639"/>
      <c r="I332" s="639"/>
      <c r="J332" s="336"/>
      <c r="K332" s="2056"/>
      <c r="L332" s="337"/>
      <c r="M332" s="335"/>
      <c r="N332" s="2057"/>
      <c r="O332" s="337"/>
      <c r="P332" s="337"/>
      <c r="Q332" s="337"/>
      <c r="R332" s="337"/>
      <c r="S332" s="337"/>
      <c r="T332" s="337"/>
      <c r="U332" s="497"/>
      <c r="V332" s="497"/>
      <c r="W332" s="497"/>
      <c r="X332" s="497"/>
      <c r="Y332" s="497"/>
      <c r="Z332" s="497"/>
      <c r="AA332" s="497"/>
      <c r="AB332" s="497"/>
      <c r="AC332" s="497"/>
      <c r="AD332" s="497"/>
      <c r="AE332" s="497"/>
      <c r="AF332" s="497"/>
      <c r="AG332" s="497"/>
      <c r="AH332" s="497"/>
      <c r="AI332" s="497"/>
      <c r="AJ332" s="497"/>
      <c r="AK332" s="497"/>
      <c r="AL332" s="497"/>
      <c r="AM332" s="497"/>
      <c r="AN332" s="497"/>
      <c r="AO332" s="497"/>
      <c r="AP332" s="497"/>
      <c r="AQ332" s="497"/>
      <c r="AR332" s="497"/>
      <c r="AS332" s="497"/>
      <c r="AT332" s="497"/>
      <c r="AU332" s="497"/>
      <c r="AV332" s="497"/>
      <c r="AW332" s="497"/>
      <c r="AX332" s="497"/>
      <c r="AY332" s="497"/>
      <c r="AZ332" s="497"/>
      <c r="BA332" s="497"/>
      <c r="BB332" s="497"/>
      <c r="BC332" s="497"/>
      <c r="BD332" s="497"/>
      <c r="BE332" s="497"/>
      <c r="BF332" s="497"/>
      <c r="BG332" s="497"/>
      <c r="BH332" s="497"/>
      <c r="BI332" s="497"/>
      <c r="BJ332" s="497"/>
      <c r="BK332" s="497"/>
      <c r="BL332" s="497"/>
      <c r="BM332" s="497"/>
      <c r="BN332" s="497"/>
      <c r="BO332" s="497"/>
      <c r="BP332" s="497"/>
      <c r="BQ332" s="497"/>
      <c r="BR332" s="497"/>
      <c r="BS332" s="497"/>
      <c r="BT332" s="497"/>
      <c r="BU332" s="497"/>
      <c r="BV332" s="497"/>
      <c r="BW332" s="497"/>
      <c r="BX332" s="497"/>
      <c r="BY332" s="497"/>
      <c r="BZ332" s="497"/>
      <c r="CA332" s="497"/>
      <c r="CB332" s="497"/>
      <c r="CC332" s="497"/>
      <c r="CD332" s="497"/>
      <c r="CE332" s="497"/>
      <c r="CF332" s="497"/>
      <c r="CG332" s="497"/>
      <c r="CH332" s="497"/>
    </row>
    <row r="333" spans="1:86" s="325" customFormat="1">
      <c r="A333" s="517"/>
      <c r="B333" s="517"/>
      <c r="C333" s="517"/>
      <c r="D333" s="517"/>
      <c r="E333" s="517"/>
      <c r="F333" s="517"/>
      <c r="G333" s="517"/>
      <c r="H333" s="639"/>
      <c r="I333" s="639"/>
      <c r="J333" s="336"/>
      <c r="K333" s="2056"/>
      <c r="L333" s="337"/>
      <c r="M333" s="335"/>
      <c r="N333" s="2057"/>
      <c r="O333" s="337"/>
      <c r="P333" s="337"/>
      <c r="Q333" s="337"/>
      <c r="R333" s="337"/>
      <c r="S333" s="337"/>
      <c r="T333" s="337"/>
      <c r="U333" s="497"/>
      <c r="V333" s="497"/>
      <c r="W333" s="497"/>
      <c r="X333" s="497"/>
      <c r="Y333" s="497"/>
      <c r="Z333" s="497"/>
      <c r="AA333" s="497"/>
      <c r="AB333" s="497"/>
      <c r="AC333" s="497"/>
      <c r="AD333" s="497"/>
      <c r="AE333" s="497"/>
      <c r="AF333" s="497"/>
      <c r="AG333" s="497"/>
      <c r="AH333" s="497"/>
      <c r="AI333" s="497"/>
      <c r="AJ333" s="497"/>
      <c r="AK333" s="497"/>
      <c r="AL333" s="497"/>
      <c r="AM333" s="497"/>
      <c r="AN333" s="497"/>
      <c r="AO333" s="497"/>
      <c r="AP333" s="497"/>
      <c r="AQ333" s="497"/>
      <c r="AR333" s="497"/>
      <c r="AS333" s="497"/>
      <c r="AT333" s="497"/>
      <c r="AU333" s="497"/>
      <c r="AV333" s="497"/>
      <c r="AW333" s="497"/>
      <c r="AX333" s="497"/>
      <c r="AY333" s="497"/>
      <c r="AZ333" s="497"/>
      <c r="BA333" s="497"/>
      <c r="BB333" s="497"/>
      <c r="BC333" s="497"/>
      <c r="BD333" s="497"/>
      <c r="BE333" s="497"/>
      <c r="BF333" s="497"/>
      <c r="BG333" s="497"/>
      <c r="BH333" s="497"/>
      <c r="BI333" s="497"/>
      <c r="BJ333" s="497"/>
      <c r="BK333" s="497"/>
      <c r="BL333" s="497"/>
      <c r="BM333" s="497"/>
      <c r="BN333" s="497"/>
      <c r="BO333" s="497"/>
      <c r="BP333" s="497"/>
      <c r="BQ333" s="497"/>
      <c r="BR333" s="497"/>
      <c r="BS333" s="497"/>
      <c r="BT333" s="497"/>
      <c r="BU333" s="497"/>
      <c r="BV333" s="497"/>
      <c r="BW333" s="497"/>
      <c r="BX333" s="497"/>
      <c r="BY333" s="497"/>
      <c r="BZ333" s="497"/>
      <c r="CA333" s="497"/>
      <c r="CB333" s="497"/>
      <c r="CC333" s="497"/>
      <c r="CD333" s="497"/>
      <c r="CE333" s="497"/>
      <c r="CF333" s="497"/>
      <c r="CG333" s="497"/>
      <c r="CH333" s="497"/>
    </row>
    <row r="334" spans="1:86" s="325" customFormat="1">
      <c r="A334" s="517"/>
      <c r="B334" s="517"/>
      <c r="C334" s="517"/>
      <c r="D334" s="517"/>
      <c r="E334" s="517"/>
      <c r="F334" s="517"/>
      <c r="G334" s="517"/>
      <c r="H334" s="639"/>
      <c r="I334" s="639"/>
      <c r="J334" s="336"/>
      <c r="K334" s="2056"/>
      <c r="L334" s="337"/>
      <c r="M334" s="335"/>
      <c r="N334" s="2057"/>
      <c r="O334" s="337"/>
      <c r="P334" s="337"/>
      <c r="Q334" s="337"/>
      <c r="R334" s="337"/>
      <c r="S334" s="337"/>
      <c r="T334" s="337"/>
      <c r="U334" s="497"/>
      <c r="V334" s="497"/>
      <c r="W334" s="497"/>
      <c r="X334" s="497"/>
      <c r="Y334" s="497"/>
      <c r="Z334" s="497"/>
      <c r="AA334" s="497"/>
      <c r="AB334" s="497"/>
      <c r="AC334" s="497"/>
      <c r="AD334" s="497"/>
      <c r="AE334" s="497"/>
      <c r="AF334" s="497"/>
      <c r="AG334" s="497"/>
      <c r="AH334" s="497"/>
      <c r="AI334" s="497"/>
      <c r="AJ334" s="497"/>
      <c r="AK334" s="497"/>
      <c r="AL334" s="497"/>
      <c r="AM334" s="497"/>
      <c r="AN334" s="497"/>
      <c r="AO334" s="497"/>
      <c r="AP334" s="497"/>
      <c r="AQ334" s="497"/>
      <c r="AR334" s="497"/>
      <c r="AS334" s="497"/>
      <c r="AT334" s="497"/>
      <c r="AU334" s="497"/>
      <c r="AV334" s="497"/>
      <c r="AW334" s="497"/>
      <c r="AX334" s="497"/>
      <c r="AY334" s="497"/>
      <c r="AZ334" s="497"/>
      <c r="BA334" s="497"/>
      <c r="BB334" s="497"/>
      <c r="BC334" s="497"/>
      <c r="BD334" s="497"/>
      <c r="BE334" s="497"/>
      <c r="BF334" s="497"/>
      <c r="BG334" s="497"/>
      <c r="BH334" s="497"/>
      <c r="BI334" s="497"/>
      <c r="BJ334" s="497"/>
      <c r="BK334" s="497"/>
      <c r="BL334" s="497"/>
      <c r="BM334" s="497"/>
      <c r="BN334" s="497"/>
      <c r="BO334" s="497"/>
      <c r="BP334" s="497"/>
      <c r="BQ334" s="497"/>
      <c r="BR334" s="497"/>
      <c r="BS334" s="497"/>
      <c r="BT334" s="497"/>
      <c r="BU334" s="497"/>
      <c r="BV334" s="497"/>
      <c r="BW334" s="497"/>
      <c r="BX334" s="497"/>
      <c r="BY334" s="497"/>
      <c r="BZ334" s="497"/>
      <c r="CA334" s="497"/>
      <c r="CB334" s="497"/>
      <c r="CC334" s="497"/>
      <c r="CD334" s="497"/>
      <c r="CE334" s="497"/>
      <c r="CF334" s="497"/>
      <c r="CG334" s="497"/>
      <c r="CH334" s="497"/>
    </row>
    <row r="335" spans="1:86" s="325" customFormat="1">
      <c r="A335" s="517"/>
      <c r="B335" s="517"/>
      <c r="C335" s="517"/>
      <c r="D335" s="517"/>
      <c r="E335" s="517"/>
      <c r="F335" s="517"/>
      <c r="G335" s="517"/>
      <c r="H335" s="639"/>
      <c r="I335" s="639"/>
      <c r="J335" s="336"/>
      <c r="K335" s="2056"/>
      <c r="L335" s="337"/>
      <c r="M335" s="335"/>
      <c r="N335" s="2057"/>
      <c r="O335" s="337"/>
      <c r="P335" s="337"/>
      <c r="Q335" s="337"/>
      <c r="R335" s="337"/>
      <c r="S335" s="337"/>
      <c r="T335" s="337"/>
      <c r="U335" s="497"/>
      <c r="V335" s="497"/>
      <c r="W335" s="497"/>
      <c r="X335" s="497"/>
      <c r="Y335" s="497"/>
      <c r="Z335" s="497"/>
      <c r="AA335" s="497"/>
      <c r="AB335" s="497"/>
      <c r="AC335" s="497"/>
      <c r="AD335" s="497"/>
      <c r="AE335" s="497"/>
      <c r="AF335" s="497"/>
      <c r="AG335" s="497"/>
      <c r="AH335" s="497"/>
      <c r="AI335" s="497"/>
      <c r="AJ335" s="497"/>
      <c r="AK335" s="497"/>
      <c r="AL335" s="497"/>
      <c r="AM335" s="497"/>
      <c r="AN335" s="497"/>
      <c r="AO335" s="497"/>
      <c r="AP335" s="497"/>
      <c r="AQ335" s="497"/>
      <c r="AR335" s="497"/>
      <c r="AS335" s="497"/>
      <c r="AT335" s="497"/>
      <c r="AU335" s="497"/>
      <c r="AV335" s="497"/>
      <c r="AW335" s="497"/>
      <c r="AX335" s="497"/>
      <c r="AY335" s="497"/>
      <c r="AZ335" s="497"/>
      <c r="BA335" s="497"/>
      <c r="BB335" s="497"/>
      <c r="BC335" s="497"/>
      <c r="BD335" s="497"/>
      <c r="BE335" s="497"/>
      <c r="BF335" s="497"/>
      <c r="BG335" s="497"/>
      <c r="BH335" s="497"/>
      <c r="BI335" s="497"/>
      <c r="BJ335" s="497"/>
      <c r="BK335" s="497"/>
      <c r="BL335" s="497"/>
      <c r="BM335" s="497"/>
      <c r="BN335" s="497"/>
      <c r="BO335" s="497"/>
      <c r="BP335" s="497"/>
      <c r="BQ335" s="497"/>
      <c r="BR335" s="497"/>
      <c r="BS335" s="497"/>
      <c r="BT335" s="497"/>
      <c r="BU335" s="497"/>
      <c r="BV335" s="497"/>
      <c r="BW335" s="497"/>
      <c r="BX335" s="497"/>
      <c r="BY335" s="497"/>
      <c r="BZ335" s="497"/>
      <c r="CA335" s="497"/>
      <c r="CB335" s="497"/>
      <c r="CC335" s="497"/>
      <c r="CD335" s="497"/>
      <c r="CE335" s="497"/>
      <c r="CF335" s="497"/>
      <c r="CG335" s="497"/>
      <c r="CH335" s="497"/>
    </row>
    <row r="336" spans="1:86" s="325" customFormat="1">
      <c r="A336" s="517"/>
      <c r="B336" s="517"/>
      <c r="C336" s="517"/>
      <c r="D336" s="517"/>
      <c r="E336" s="517"/>
      <c r="F336" s="517"/>
      <c r="G336" s="517"/>
      <c r="H336" s="639"/>
      <c r="I336" s="639"/>
      <c r="J336" s="336"/>
      <c r="K336" s="2056"/>
      <c r="L336" s="337"/>
      <c r="M336" s="335"/>
      <c r="N336" s="2057"/>
      <c r="O336" s="337"/>
      <c r="P336" s="337"/>
      <c r="Q336" s="337"/>
      <c r="R336" s="337"/>
      <c r="S336" s="337"/>
      <c r="T336" s="337"/>
      <c r="U336" s="497"/>
      <c r="V336" s="497"/>
      <c r="W336" s="497"/>
      <c r="X336" s="497"/>
      <c r="Y336" s="497"/>
      <c r="Z336" s="497"/>
      <c r="AA336" s="497"/>
      <c r="AB336" s="497"/>
      <c r="AC336" s="497"/>
      <c r="AD336" s="497"/>
      <c r="AE336" s="497"/>
      <c r="AF336" s="497"/>
      <c r="AG336" s="497"/>
      <c r="AH336" s="497"/>
      <c r="AI336" s="497"/>
      <c r="AJ336" s="497"/>
      <c r="AK336" s="497"/>
      <c r="AL336" s="497"/>
      <c r="AM336" s="497"/>
      <c r="AN336" s="497"/>
      <c r="AO336" s="497"/>
      <c r="AP336" s="497"/>
      <c r="AQ336" s="497"/>
      <c r="AR336" s="497"/>
      <c r="AS336" s="497"/>
      <c r="AT336" s="497"/>
      <c r="AU336" s="497"/>
      <c r="AV336" s="497"/>
      <c r="AW336" s="497"/>
      <c r="AX336" s="497"/>
      <c r="AY336" s="497"/>
      <c r="AZ336" s="497"/>
      <c r="BA336" s="497"/>
      <c r="BB336" s="497"/>
      <c r="BC336" s="497"/>
      <c r="BD336" s="497"/>
      <c r="BE336" s="497"/>
      <c r="BF336" s="497"/>
      <c r="BG336" s="497"/>
      <c r="BH336" s="497"/>
      <c r="BI336" s="497"/>
      <c r="BJ336" s="497"/>
      <c r="BK336" s="497"/>
      <c r="BL336" s="497"/>
      <c r="BM336" s="497"/>
      <c r="BN336" s="497"/>
      <c r="BO336" s="497"/>
      <c r="BP336" s="497"/>
      <c r="BQ336" s="497"/>
      <c r="BR336" s="497"/>
      <c r="BS336" s="497"/>
      <c r="BT336" s="497"/>
      <c r="BU336" s="497"/>
      <c r="BV336" s="497"/>
      <c r="BW336" s="497"/>
      <c r="BX336" s="497"/>
      <c r="BY336" s="497"/>
      <c r="BZ336" s="497"/>
      <c r="CA336" s="497"/>
      <c r="CB336" s="497"/>
      <c r="CC336" s="497"/>
      <c r="CD336" s="497"/>
      <c r="CE336" s="497"/>
      <c r="CF336" s="497"/>
      <c r="CG336" s="497"/>
      <c r="CH336" s="497"/>
    </row>
    <row r="337" spans="1:86" s="325" customFormat="1">
      <c r="A337" s="517"/>
      <c r="B337" s="517"/>
      <c r="C337" s="517"/>
      <c r="D337" s="517"/>
      <c r="E337" s="517"/>
      <c r="F337" s="517"/>
      <c r="G337" s="517"/>
      <c r="H337" s="639"/>
      <c r="I337" s="639"/>
      <c r="J337" s="336"/>
      <c r="K337" s="2056"/>
      <c r="L337" s="337"/>
      <c r="M337" s="335"/>
      <c r="N337" s="2057"/>
      <c r="O337" s="337"/>
      <c r="P337" s="337"/>
      <c r="Q337" s="337"/>
      <c r="R337" s="337"/>
      <c r="S337" s="337"/>
      <c r="T337" s="337"/>
      <c r="U337" s="497"/>
      <c r="V337" s="497"/>
      <c r="W337" s="497"/>
      <c r="X337" s="497"/>
      <c r="Y337" s="497"/>
      <c r="Z337" s="497"/>
      <c r="AA337" s="497"/>
      <c r="AB337" s="497"/>
      <c r="AC337" s="497"/>
      <c r="AD337" s="497"/>
      <c r="AE337" s="497"/>
      <c r="AF337" s="497"/>
      <c r="AG337" s="497"/>
      <c r="AH337" s="497"/>
      <c r="AI337" s="497"/>
      <c r="AJ337" s="497"/>
      <c r="AK337" s="497"/>
      <c r="AL337" s="497"/>
      <c r="AM337" s="497"/>
      <c r="AN337" s="497"/>
      <c r="AO337" s="497"/>
      <c r="AP337" s="497"/>
      <c r="AQ337" s="497"/>
      <c r="AR337" s="497"/>
      <c r="AS337" s="497"/>
      <c r="AT337" s="497"/>
      <c r="AU337" s="497"/>
      <c r="AV337" s="497"/>
      <c r="AW337" s="497"/>
      <c r="AX337" s="497"/>
      <c r="AY337" s="497"/>
      <c r="AZ337" s="497"/>
      <c r="BA337" s="497"/>
      <c r="BB337" s="497"/>
      <c r="BC337" s="497"/>
      <c r="BD337" s="497"/>
      <c r="BE337" s="497"/>
      <c r="BF337" s="497"/>
      <c r="BG337" s="497"/>
      <c r="BH337" s="497"/>
      <c r="BI337" s="497"/>
      <c r="BJ337" s="497"/>
      <c r="BK337" s="497"/>
      <c r="BL337" s="497"/>
      <c r="BM337" s="497"/>
      <c r="BN337" s="497"/>
      <c r="BO337" s="497"/>
      <c r="BP337" s="497"/>
      <c r="BQ337" s="497"/>
      <c r="BR337" s="497"/>
      <c r="BS337" s="497"/>
      <c r="BT337" s="497"/>
      <c r="BU337" s="497"/>
      <c r="BV337" s="497"/>
      <c r="BW337" s="497"/>
      <c r="BX337" s="497"/>
      <c r="BY337" s="497"/>
      <c r="BZ337" s="497"/>
      <c r="CA337" s="497"/>
      <c r="CB337" s="497"/>
      <c r="CC337" s="497"/>
      <c r="CD337" s="497"/>
      <c r="CE337" s="497"/>
      <c r="CF337" s="497"/>
      <c r="CG337" s="497"/>
      <c r="CH337" s="497"/>
    </row>
    <row r="338" spans="1:86" s="325" customFormat="1">
      <c r="A338" s="517"/>
      <c r="B338" s="517"/>
      <c r="C338" s="517"/>
      <c r="D338" s="517"/>
      <c r="E338" s="517"/>
      <c r="F338" s="517"/>
      <c r="G338" s="517"/>
      <c r="H338" s="639"/>
      <c r="I338" s="639"/>
      <c r="J338" s="336"/>
      <c r="K338" s="2056"/>
      <c r="L338" s="337"/>
      <c r="M338" s="335"/>
      <c r="N338" s="2057"/>
      <c r="O338" s="337"/>
      <c r="P338" s="337"/>
      <c r="Q338" s="337"/>
      <c r="R338" s="337"/>
      <c r="S338" s="337"/>
      <c r="T338" s="337"/>
      <c r="U338" s="497"/>
      <c r="V338" s="497"/>
      <c r="W338" s="497"/>
      <c r="X338" s="497"/>
      <c r="Y338" s="497"/>
      <c r="Z338" s="497"/>
      <c r="AA338" s="497"/>
      <c r="AB338" s="497"/>
      <c r="AC338" s="497"/>
      <c r="AD338" s="497"/>
      <c r="AE338" s="497"/>
      <c r="AF338" s="497"/>
      <c r="AG338" s="497"/>
      <c r="AH338" s="497"/>
      <c r="AI338" s="497"/>
      <c r="AJ338" s="497"/>
      <c r="AK338" s="497"/>
      <c r="AL338" s="497"/>
      <c r="AM338" s="497"/>
      <c r="AN338" s="497"/>
      <c r="AO338" s="497"/>
      <c r="AP338" s="497"/>
      <c r="AQ338" s="497"/>
      <c r="AR338" s="497"/>
      <c r="AS338" s="497"/>
      <c r="AT338" s="497"/>
      <c r="AU338" s="497"/>
      <c r="AV338" s="497"/>
      <c r="AW338" s="497"/>
      <c r="AX338" s="497"/>
      <c r="AY338" s="497"/>
      <c r="AZ338" s="497"/>
      <c r="BA338" s="497"/>
      <c r="BB338" s="497"/>
      <c r="BC338" s="497"/>
      <c r="BD338" s="497"/>
      <c r="BE338" s="497"/>
      <c r="BF338" s="497"/>
      <c r="BG338" s="497"/>
      <c r="BH338" s="497"/>
      <c r="BI338" s="497"/>
      <c r="BJ338" s="497"/>
      <c r="BK338" s="497"/>
      <c r="BL338" s="497"/>
      <c r="BM338" s="497"/>
      <c r="BN338" s="497"/>
      <c r="BO338" s="497"/>
      <c r="BP338" s="497"/>
      <c r="BQ338" s="497"/>
      <c r="BR338" s="497"/>
      <c r="BS338" s="497"/>
      <c r="BT338" s="497"/>
      <c r="BU338" s="497"/>
      <c r="BV338" s="497"/>
      <c r="BW338" s="497"/>
      <c r="BX338" s="497"/>
      <c r="BY338" s="497"/>
      <c r="BZ338" s="497"/>
      <c r="CA338" s="497"/>
      <c r="CB338" s="497"/>
      <c r="CC338" s="497"/>
      <c r="CD338" s="497"/>
      <c r="CE338" s="497"/>
      <c r="CF338" s="497"/>
      <c r="CG338" s="497"/>
      <c r="CH338" s="497"/>
    </row>
    <row r="339" spans="1:86" s="325" customFormat="1">
      <c r="A339" s="517"/>
      <c r="B339" s="517"/>
      <c r="C339" s="517"/>
      <c r="D339" s="517"/>
      <c r="E339" s="517"/>
      <c r="F339" s="517"/>
      <c r="G339" s="517"/>
      <c r="H339" s="639"/>
      <c r="I339" s="639"/>
      <c r="J339" s="336"/>
      <c r="K339" s="2056"/>
      <c r="L339" s="337"/>
      <c r="M339" s="335"/>
      <c r="N339" s="2057"/>
      <c r="O339" s="337"/>
      <c r="P339" s="337"/>
      <c r="Q339" s="337"/>
      <c r="R339" s="337"/>
      <c r="S339" s="337"/>
      <c r="T339" s="337"/>
      <c r="U339" s="497"/>
      <c r="V339" s="497"/>
      <c r="W339" s="497"/>
      <c r="X339" s="497"/>
      <c r="Y339" s="497"/>
      <c r="Z339" s="497"/>
      <c r="AA339" s="497"/>
      <c r="AB339" s="497"/>
      <c r="AC339" s="497"/>
      <c r="AD339" s="497"/>
      <c r="AE339" s="497"/>
      <c r="AF339" s="497"/>
      <c r="AG339" s="497"/>
      <c r="AH339" s="497"/>
      <c r="AI339" s="497"/>
      <c r="AJ339" s="497"/>
      <c r="AK339" s="497"/>
      <c r="AL339" s="497"/>
      <c r="AM339" s="497"/>
      <c r="AN339" s="497"/>
      <c r="AO339" s="497"/>
      <c r="AP339" s="497"/>
      <c r="AQ339" s="497"/>
      <c r="AR339" s="497"/>
      <c r="AS339" s="497"/>
      <c r="AT339" s="497"/>
      <c r="AU339" s="497"/>
      <c r="AV339" s="497"/>
      <c r="AW339" s="497"/>
      <c r="AX339" s="497"/>
      <c r="AY339" s="497"/>
      <c r="AZ339" s="497"/>
      <c r="BA339" s="497"/>
      <c r="BB339" s="497"/>
      <c r="BC339" s="497"/>
      <c r="BD339" s="497"/>
      <c r="BE339" s="497"/>
      <c r="BF339" s="497"/>
      <c r="BG339" s="497"/>
      <c r="BH339" s="497"/>
      <c r="BI339" s="497"/>
      <c r="BJ339" s="497"/>
      <c r="BK339" s="497"/>
      <c r="BL339" s="497"/>
      <c r="BM339" s="497"/>
      <c r="BN339" s="497"/>
      <c r="BO339" s="497"/>
      <c r="BP339" s="497"/>
      <c r="BQ339" s="497"/>
      <c r="BR339" s="497"/>
      <c r="BS339" s="497"/>
      <c r="BT339" s="497"/>
      <c r="BU339" s="497"/>
      <c r="BV339" s="497"/>
      <c r="BW339" s="497"/>
      <c r="BX339" s="497"/>
      <c r="BY339" s="497"/>
      <c r="BZ339" s="497"/>
      <c r="CA339" s="497"/>
      <c r="CB339" s="497"/>
      <c r="CC339" s="497"/>
      <c r="CD339" s="497"/>
      <c r="CE339" s="497"/>
      <c r="CF339" s="497"/>
      <c r="CG339" s="497"/>
      <c r="CH339" s="497"/>
    </row>
    <row r="340" spans="1:86" s="325" customFormat="1">
      <c r="A340" s="517"/>
      <c r="B340" s="517"/>
      <c r="C340" s="517"/>
      <c r="D340" s="517"/>
      <c r="E340" s="517"/>
      <c r="F340" s="517"/>
      <c r="G340" s="517"/>
      <c r="H340" s="639"/>
      <c r="I340" s="639"/>
      <c r="J340" s="336"/>
      <c r="K340" s="2056"/>
      <c r="L340" s="337"/>
      <c r="M340" s="335"/>
      <c r="N340" s="2057"/>
      <c r="O340" s="337"/>
      <c r="P340" s="337"/>
      <c r="Q340" s="337"/>
      <c r="R340" s="337"/>
      <c r="S340" s="337"/>
      <c r="T340" s="337"/>
      <c r="U340" s="497"/>
      <c r="V340" s="497"/>
      <c r="W340" s="497"/>
      <c r="X340" s="497"/>
      <c r="Y340" s="497"/>
      <c r="Z340" s="497"/>
      <c r="AA340" s="497"/>
      <c r="AB340" s="497"/>
      <c r="AC340" s="497"/>
      <c r="AD340" s="497"/>
      <c r="AE340" s="497"/>
      <c r="AF340" s="497"/>
      <c r="AG340" s="497"/>
      <c r="AH340" s="497"/>
      <c r="AI340" s="497"/>
      <c r="AJ340" s="497"/>
      <c r="AK340" s="497"/>
      <c r="AL340" s="497"/>
      <c r="AM340" s="497"/>
      <c r="AN340" s="497"/>
      <c r="AO340" s="497"/>
      <c r="AP340" s="497"/>
      <c r="AQ340" s="497"/>
      <c r="AR340" s="497"/>
      <c r="AS340" s="497"/>
      <c r="AT340" s="497"/>
      <c r="AU340" s="497"/>
      <c r="AV340" s="497"/>
      <c r="AW340" s="497"/>
      <c r="AX340" s="497"/>
      <c r="AY340" s="497"/>
      <c r="AZ340" s="497"/>
      <c r="BA340" s="497"/>
      <c r="BB340" s="497"/>
      <c r="BC340" s="497"/>
      <c r="BD340" s="497"/>
      <c r="BE340" s="497"/>
      <c r="BF340" s="497"/>
      <c r="BG340" s="497"/>
      <c r="BH340" s="497"/>
      <c r="BI340" s="497"/>
      <c r="BJ340" s="497"/>
      <c r="BK340" s="497"/>
      <c r="BL340" s="497"/>
      <c r="BM340" s="497"/>
      <c r="BN340" s="497"/>
      <c r="BO340" s="497"/>
      <c r="BP340" s="497"/>
      <c r="BQ340" s="497"/>
      <c r="BR340" s="497"/>
      <c r="BS340" s="497"/>
      <c r="BT340" s="497"/>
      <c r="BU340" s="497"/>
      <c r="BV340" s="497"/>
      <c r="BW340" s="497"/>
      <c r="BX340" s="497"/>
      <c r="BY340" s="497"/>
      <c r="BZ340" s="497"/>
      <c r="CA340" s="497"/>
      <c r="CB340" s="497"/>
      <c r="CC340" s="497"/>
      <c r="CD340" s="497"/>
      <c r="CE340" s="497"/>
      <c r="CF340" s="497"/>
      <c r="CG340" s="497"/>
      <c r="CH340" s="497"/>
    </row>
    <row r="341" spans="1:86" s="325" customFormat="1">
      <c r="A341" s="517"/>
      <c r="B341" s="517"/>
      <c r="C341" s="517"/>
      <c r="D341" s="517"/>
      <c r="E341" s="517"/>
      <c r="F341" s="517"/>
      <c r="G341" s="517"/>
      <c r="H341" s="639"/>
      <c r="I341" s="639"/>
      <c r="J341" s="336"/>
      <c r="K341" s="2056"/>
      <c r="L341" s="337"/>
      <c r="M341" s="335"/>
      <c r="N341" s="2057"/>
      <c r="O341" s="337"/>
      <c r="P341" s="337"/>
      <c r="Q341" s="337"/>
      <c r="R341" s="337"/>
      <c r="S341" s="337"/>
      <c r="T341" s="337"/>
      <c r="U341" s="497"/>
      <c r="V341" s="497"/>
      <c r="W341" s="497"/>
      <c r="X341" s="497"/>
      <c r="Y341" s="497"/>
      <c r="Z341" s="497"/>
      <c r="AA341" s="497"/>
      <c r="AB341" s="497"/>
      <c r="AC341" s="497"/>
      <c r="AD341" s="497"/>
      <c r="AE341" s="497"/>
      <c r="AF341" s="497"/>
      <c r="AG341" s="497"/>
      <c r="AH341" s="497"/>
      <c r="AI341" s="497"/>
      <c r="AJ341" s="497"/>
      <c r="AK341" s="497"/>
      <c r="AL341" s="497"/>
      <c r="AM341" s="497"/>
      <c r="AN341" s="497"/>
      <c r="AO341" s="497"/>
      <c r="AP341" s="497"/>
      <c r="AQ341" s="497"/>
      <c r="AR341" s="497"/>
      <c r="AS341" s="497"/>
      <c r="AT341" s="497"/>
      <c r="AU341" s="497"/>
      <c r="AV341" s="497"/>
      <c r="AW341" s="497"/>
      <c r="AX341" s="497"/>
      <c r="AY341" s="497"/>
      <c r="AZ341" s="497"/>
      <c r="BA341" s="497"/>
      <c r="BB341" s="497"/>
      <c r="BC341" s="497"/>
      <c r="BD341" s="497"/>
      <c r="BE341" s="497"/>
      <c r="BF341" s="497"/>
      <c r="BG341" s="497"/>
      <c r="BH341" s="497"/>
      <c r="BI341" s="497"/>
      <c r="BJ341" s="497"/>
      <c r="BK341" s="497"/>
      <c r="BL341" s="497"/>
      <c r="BM341" s="497"/>
      <c r="BN341" s="497"/>
      <c r="BO341" s="497"/>
      <c r="BP341" s="497"/>
      <c r="BQ341" s="497"/>
      <c r="BR341" s="497"/>
      <c r="BS341" s="497"/>
      <c r="BT341" s="497"/>
      <c r="BU341" s="497"/>
      <c r="BV341" s="497"/>
      <c r="BW341" s="497"/>
      <c r="BX341" s="497"/>
      <c r="BY341" s="497"/>
      <c r="BZ341" s="497"/>
      <c r="CA341" s="497"/>
      <c r="CB341" s="497"/>
      <c r="CC341" s="497"/>
      <c r="CD341" s="497"/>
      <c r="CE341" s="497"/>
      <c r="CF341" s="497"/>
      <c r="CG341" s="497"/>
      <c r="CH341" s="497"/>
    </row>
    <row r="342" spans="1:86" s="325" customFormat="1">
      <c r="A342" s="517"/>
      <c r="B342" s="517"/>
      <c r="C342" s="517"/>
      <c r="D342" s="517"/>
      <c r="E342" s="517"/>
      <c r="F342" s="517"/>
      <c r="G342" s="517"/>
      <c r="H342" s="639"/>
      <c r="I342" s="639"/>
      <c r="J342" s="336"/>
      <c r="K342" s="2056"/>
      <c r="L342" s="337"/>
      <c r="M342" s="335"/>
      <c r="N342" s="2057"/>
      <c r="O342" s="337"/>
      <c r="P342" s="337"/>
      <c r="Q342" s="337"/>
      <c r="R342" s="337"/>
      <c r="S342" s="337"/>
      <c r="T342" s="337"/>
      <c r="U342" s="497"/>
      <c r="V342" s="497"/>
      <c r="W342" s="497"/>
      <c r="X342" s="497"/>
      <c r="Y342" s="497"/>
      <c r="Z342" s="497"/>
      <c r="AA342" s="497"/>
      <c r="AB342" s="497"/>
      <c r="AC342" s="497"/>
      <c r="AD342" s="497"/>
      <c r="AE342" s="497"/>
      <c r="AF342" s="497"/>
      <c r="AG342" s="497"/>
      <c r="AH342" s="497"/>
      <c r="AI342" s="497"/>
      <c r="AJ342" s="497"/>
      <c r="AK342" s="497"/>
      <c r="AL342" s="497"/>
      <c r="AM342" s="497"/>
      <c r="AN342" s="497"/>
      <c r="AO342" s="497"/>
      <c r="AP342" s="497"/>
      <c r="AQ342" s="497"/>
      <c r="AR342" s="497"/>
      <c r="AS342" s="497"/>
      <c r="AT342" s="497"/>
      <c r="AU342" s="497"/>
      <c r="AV342" s="497"/>
      <c r="AW342" s="497"/>
      <c r="AX342" s="497"/>
      <c r="AY342" s="497"/>
      <c r="AZ342" s="497"/>
      <c r="BA342" s="497"/>
      <c r="BB342" s="497"/>
      <c r="BC342" s="497"/>
      <c r="BD342" s="497"/>
      <c r="BE342" s="497"/>
      <c r="BF342" s="497"/>
      <c r="BG342" s="497"/>
      <c r="BH342" s="497"/>
      <c r="BI342" s="497"/>
      <c r="BJ342" s="497"/>
      <c r="BK342" s="497"/>
      <c r="BL342" s="497"/>
      <c r="BM342" s="497"/>
      <c r="BN342" s="497"/>
      <c r="BO342" s="497"/>
      <c r="BP342" s="497"/>
      <c r="BQ342" s="497"/>
      <c r="BR342" s="497"/>
      <c r="BS342" s="497"/>
      <c r="BT342" s="497"/>
      <c r="BU342" s="497"/>
      <c r="BV342" s="497"/>
      <c r="BW342" s="497"/>
      <c r="BX342" s="497"/>
      <c r="BY342" s="497"/>
      <c r="BZ342" s="497"/>
      <c r="CA342" s="497"/>
      <c r="CB342" s="497"/>
      <c r="CC342" s="497"/>
      <c r="CD342" s="497"/>
      <c r="CE342" s="497"/>
      <c r="CF342" s="497"/>
      <c r="CG342" s="497"/>
      <c r="CH342" s="497"/>
    </row>
    <row r="343" spans="1:86" s="325" customFormat="1">
      <c r="A343" s="517"/>
      <c r="B343" s="517"/>
      <c r="C343" s="517"/>
      <c r="D343" s="517"/>
      <c r="E343" s="517"/>
      <c r="F343" s="517"/>
      <c r="G343" s="517"/>
      <c r="H343" s="639"/>
      <c r="I343" s="639"/>
      <c r="J343" s="336"/>
      <c r="K343" s="2056"/>
      <c r="L343" s="337"/>
      <c r="M343" s="335"/>
      <c r="N343" s="2057"/>
      <c r="O343" s="337"/>
      <c r="P343" s="337"/>
      <c r="Q343" s="337"/>
      <c r="R343" s="337"/>
      <c r="S343" s="337"/>
      <c r="T343" s="337"/>
      <c r="U343" s="497"/>
      <c r="V343" s="497"/>
      <c r="W343" s="497"/>
      <c r="X343" s="497"/>
      <c r="Y343" s="497"/>
      <c r="Z343" s="497"/>
      <c r="AA343" s="497"/>
      <c r="AB343" s="497"/>
      <c r="AC343" s="497"/>
      <c r="AD343" s="497"/>
      <c r="AE343" s="497"/>
      <c r="AF343" s="497"/>
      <c r="AG343" s="497"/>
      <c r="AH343" s="497"/>
      <c r="AI343" s="497"/>
      <c r="AJ343" s="497"/>
      <c r="AK343" s="497"/>
      <c r="AL343" s="497"/>
      <c r="AM343" s="497"/>
      <c r="AN343" s="497"/>
      <c r="AO343" s="497"/>
      <c r="AP343" s="497"/>
      <c r="AQ343" s="497"/>
      <c r="AR343" s="497"/>
      <c r="AS343" s="497"/>
      <c r="AT343" s="497"/>
      <c r="AU343" s="497"/>
      <c r="AV343" s="497"/>
      <c r="AW343" s="497"/>
      <c r="AX343" s="497"/>
      <c r="AY343" s="497"/>
      <c r="AZ343" s="497"/>
      <c r="BA343" s="497"/>
      <c r="BB343" s="497"/>
      <c r="BC343" s="497"/>
      <c r="BD343" s="497"/>
      <c r="BE343" s="497"/>
      <c r="BF343" s="497"/>
      <c r="BG343" s="497"/>
      <c r="BH343" s="497"/>
      <c r="BI343" s="497"/>
      <c r="BJ343" s="497"/>
      <c r="BK343" s="497"/>
      <c r="BL343" s="497"/>
      <c r="BM343" s="497"/>
      <c r="BN343" s="497"/>
      <c r="BO343" s="497"/>
      <c r="BP343" s="497"/>
      <c r="BQ343" s="497"/>
      <c r="BR343" s="497"/>
      <c r="BS343" s="497"/>
      <c r="BT343" s="497"/>
      <c r="BU343" s="497"/>
      <c r="BV343" s="497"/>
      <c r="BW343" s="497"/>
      <c r="BX343" s="497"/>
      <c r="BY343" s="497"/>
      <c r="BZ343" s="497"/>
      <c r="CA343" s="497"/>
      <c r="CB343" s="497"/>
      <c r="CC343" s="497"/>
      <c r="CD343" s="497"/>
      <c r="CE343" s="497"/>
      <c r="CF343" s="497"/>
      <c r="CG343" s="497"/>
      <c r="CH343" s="497"/>
    </row>
    <row r="344" spans="1:86" s="325" customFormat="1">
      <c r="A344" s="517"/>
      <c r="B344" s="517"/>
      <c r="C344" s="517"/>
      <c r="D344" s="517"/>
      <c r="E344" s="517"/>
      <c r="F344" s="517"/>
      <c r="G344" s="517"/>
      <c r="H344" s="639"/>
      <c r="I344" s="639"/>
      <c r="J344" s="336"/>
      <c r="K344" s="2056"/>
      <c r="L344" s="337"/>
      <c r="M344" s="335"/>
      <c r="N344" s="2057"/>
      <c r="O344" s="337"/>
      <c r="P344" s="337"/>
      <c r="Q344" s="337"/>
      <c r="R344" s="337"/>
      <c r="S344" s="337"/>
      <c r="T344" s="337"/>
      <c r="U344" s="497"/>
      <c r="V344" s="497"/>
      <c r="W344" s="497"/>
      <c r="X344" s="497"/>
      <c r="Y344" s="497"/>
      <c r="Z344" s="497"/>
      <c r="AA344" s="497"/>
      <c r="AB344" s="497"/>
      <c r="AC344" s="497"/>
      <c r="AD344" s="497"/>
      <c r="AE344" s="497"/>
      <c r="AF344" s="497"/>
      <c r="AG344" s="497"/>
      <c r="AH344" s="497"/>
      <c r="AI344" s="497"/>
      <c r="AJ344" s="497"/>
      <c r="AK344" s="497"/>
      <c r="AL344" s="497"/>
      <c r="AM344" s="497"/>
      <c r="AN344" s="497"/>
      <c r="AO344" s="497"/>
      <c r="AP344" s="497"/>
      <c r="AQ344" s="497"/>
      <c r="AR344" s="497"/>
      <c r="AS344" s="497"/>
      <c r="AT344" s="497"/>
      <c r="AU344" s="497"/>
      <c r="AV344" s="497"/>
      <c r="AW344" s="497"/>
      <c r="AX344" s="497"/>
      <c r="AY344" s="497"/>
      <c r="AZ344" s="497"/>
      <c r="BA344" s="497"/>
      <c r="BB344" s="497"/>
      <c r="BC344" s="497"/>
      <c r="BD344" s="497"/>
      <c r="BE344" s="497"/>
      <c r="BF344" s="497"/>
      <c r="BG344" s="497"/>
      <c r="BH344" s="497"/>
      <c r="BI344" s="497"/>
      <c r="BJ344" s="497"/>
      <c r="BK344" s="497"/>
      <c r="BL344" s="497"/>
      <c r="BM344" s="497"/>
      <c r="BN344" s="497"/>
      <c r="BO344" s="497"/>
      <c r="BP344" s="497"/>
      <c r="BQ344" s="497"/>
      <c r="BR344" s="497"/>
      <c r="BS344" s="497"/>
      <c r="BT344" s="497"/>
      <c r="BU344" s="497"/>
      <c r="BV344" s="497"/>
      <c r="BW344" s="497"/>
      <c r="BX344" s="497"/>
      <c r="BY344" s="497"/>
      <c r="BZ344" s="497"/>
      <c r="CA344" s="497"/>
      <c r="CB344" s="497"/>
      <c r="CC344" s="497"/>
      <c r="CD344" s="497"/>
      <c r="CE344" s="497"/>
      <c r="CF344" s="497"/>
      <c r="CG344" s="497"/>
      <c r="CH344" s="497"/>
    </row>
    <row r="345" spans="1:86" s="325" customFormat="1">
      <c r="A345" s="517"/>
      <c r="B345" s="517"/>
      <c r="C345" s="517"/>
      <c r="D345" s="517"/>
      <c r="E345" s="517"/>
      <c r="F345" s="517"/>
      <c r="G345" s="517"/>
      <c r="H345" s="639"/>
      <c r="I345" s="639"/>
      <c r="J345" s="336"/>
      <c r="K345" s="2056"/>
      <c r="L345" s="337"/>
      <c r="M345" s="335"/>
      <c r="N345" s="2057"/>
      <c r="O345" s="337"/>
      <c r="P345" s="337"/>
      <c r="Q345" s="337"/>
      <c r="R345" s="337"/>
      <c r="S345" s="337"/>
      <c r="T345" s="337"/>
      <c r="U345" s="497"/>
      <c r="V345" s="497"/>
      <c r="W345" s="497"/>
      <c r="X345" s="497"/>
      <c r="Y345" s="497"/>
      <c r="Z345" s="497"/>
      <c r="AA345" s="497"/>
      <c r="AB345" s="497"/>
      <c r="AC345" s="497"/>
      <c r="AD345" s="497"/>
      <c r="AE345" s="497"/>
      <c r="AF345" s="497"/>
      <c r="AG345" s="497"/>
      <c r="AH345" s="497"/>
      <c r="AI345" s="497"/>
      <c r="AJ345" s="497"/>
      <c r="AK345" s="497"/>
      <c r="AL345" s="497"/>
      <c r="AM345" s="497"/>
      <c r="AN345" s="497"/>
      <c r="AO345" s="497"/>
      <c r="AP345" s="497"/>
      <c r="AQ345" s="497"/>
      <c r="AR345" s="497"/>
      <c r="AS345" s="497"/>
      <c r="AT345" s="497"/>
      <c r="AU345" s="497"/>
      <c r="AV345" s="497"/>
      <c r="AW345" s="497"/>
      <c r="AX345" s="497"/>
      <c r="AY345" s="497"/>
      <c r="AZ345" s="497"/>
      <c r="BA345" s="497"/>
      <c r="BB345" s="497"/>
      <c r="BC345" s="497"/>
      <c r="BD345" s="497"/>
      <c r="BE345" s="497"/>
      <c r="BF345" s="497"/>
      <c r="BG345" s="497"/>
      <c r="BH345" s="497"/>
      <c r="BI345" s="497"/>
      <c r="BJ345" s="497"/>
      <c r="BK345" s="497"/>
      <c r="BL345" s="497"/>
      <c r="BM345" s="497"/>
      <c r="BN345" s="497"/>
      <c r="BO345" s="497"/>
      <c r="BP345" s="497"/>
      <c r="BQ345" s="497"/>
      <c r="BR345" s="497"/>
      <c r="BS345" s="497"/>
      <c r="BT345" s="497"/>
      <c r="BU345" s="497"/>
      <c r="BV345" s="497"/>
      <c r="BW345" s="497"/>
      <c r="BX345" s="497"/>
      <c r="BY345" s="497"/>
      <c r="BZ345" s="497"/>
      <c r="CA345" s="497"/>
      <c r="CB345" s="497"/>
      <c r="CC345" s="497"/>
      <c r="CD345" s="497"/>
      <c r="CE345" s="497"/>
      <c r="CF345" s="497"/>
      <c r="CG345" s="497"/>
      <c r="CH345" s="497"/>
    </row>
    <row r="346" spans="1:86" s="325" customFormat="1">
      <c r="A346" s="517"/>
      <c r="B346" s="517"/>
      <c r="C346" s="517"/>
      <c r="D346" s="517"/>
      <c r="E346" s="517"/>
      <c r="F346" s="517"/>
      <c r="G346" s="517"/>
      <c r="H346" s="639"/>
      <c r="I346" s="639"/>
      <c r="J346" s="336"/>
      <c r="K346" s="2056"/>
      <c r="L346" s="337"/>
      <c r="M346" s="335"/>
      <c r="N346" s="2057"/>
      <c r="O346" s="337"/>
      <c r="P346" s="337"/>
      <c r="Q346" s="337"/>
      <c r="R346" s="337"/>
      <c r="S346" s="337"/>
      <c r="T346" s="337"/>
      <c r="U346" s="497"/>
      <c r="V346" s="497"/>
      <c r="W346" s="497"/>
      <c r="X346" s="497"/>
      <c r="Y346" s="497"/>
      <c r="Z346" s="497"/>
      <c r="AA346" s="497"/>
      <c r="AB346" s="497"/>
      <c r="AC346" s="497"/>
      <c r="AD346" s="497"/>
      <c r="AE346" s="497"/>
      <c r="AF346" s="497"/>
      <c r="AG346" s="497"/>
      <c r="AH346" s="497"/>
      <c r="AI346" s="497"/>
      <c r="AJ346" s="497"/>
      <c r="AK346" s="497"/>
      <c r="AL346" s="497"/>
      <c r="AM346" s="497"/>
      <c r="AN346" s="497"/>
      <c r="AO346" s="497"/>
      <c r="AP346" s="497"/>
      <c r="AQ346" s="497"/>
      <c r="AR346" s="497"/>
      <c r="AS346" s="497"/>
      <c r="AT346" s="497"/>
      <c r="AU346" s="497"/>
      <c r="AV346" s="497"/>
      <c r="AW346" s="497"/>
      <c r="AX346" s="497"/>
      <c r="AY346" s="497"/>
      <c r="AZ346" s="497"/>
      <c r="BA346" s="497"/>
      <c r="BB346" s="497"/>
      <c r="BC346" s="497"/>
      <c r="BD346" s="497"/>
      <c r="BE346" s="497"/>
      <c r="BF346" s="497"/>
      <c r="BG346" s="497"/>
      <c r="BH346" s="497"/>
      <c r="BI346" s="497"/>
      <c r="BJ346" s="497"/>
      <c r="BK346" s="497"/>
      <c r="BL346" s="497"/>
      <c r="BM346" s="497"/>
      <c r="BN346" s="497"/>
      <c r="BO346" s="497"/>
      <c r="BP346" s="497"/>
      <c r="BQ346" s="497"/>
      <c r="BR346" s="497"/>
      <c r="BS346" s="497"/>
      <c r="BT346" s="497"/>
      <c r="BU346" s="497"/>
      <c r="BV346" s="497"/>
      <c r="BW346" s="497"/>
      <c r="BX346" s="497"/>
      <c r="BY346" s="497"/>
      <c r="BZ346" s="497"/>
      <c r="CA346" s="497"/>
      <c r="CB346" s="497"/>
      <c r="CC346" s="497"/>
      <c r="CD346" s="497"/>
      <c r="CE346" s="497"/>
      <c r="CF346" s="497"/>
      <c r="CG346" s="497"/>
      <c r="CH346" s="497"/>
    </row>
    <row r="347" spans="1:86" s="325" customFormat="1">
      <c r="A347" s="517"/>
      <c r="B347" s="517"/>
      <c r="C347" s="517"/>
      <c r="D347" s="517"/>
      <c r="E347" s="517"/>
      <c r="F347" s="517"/>
      <c r="G347" s="517"/>
      <c r="H347" s="639"/>
      <c r="I347" s="639"/>
      <c r="J347" s="336"/>
      <c r="K347" s="2056"/>
      <c r="L347" s="337"/>
      <c r="M347" s="335"/>
      <c r="N347" s="2057"/>
      <c r="O347" s="337"/>
      <c r="P347" s="337"/>
      <c r="Q347" s="337"/>
      <c r="R347" s="337"/>
      <c r="S347" s="337"/>
      <c r="T347" s="337"/>
      <c r="U347" s="497"/>
      <c r="V347" s="497"/>
      <c r="W347" s="497"/>
      <c r="X347" s="497"/>
      <c r="Y347" s="497"/>
      <c r="Z347" s="497"/>
      <c r="AA347" s="497"/>
      <c r="AB347" s="497"/>
      <c r="AC347" s="497"/>
      <c r="AD347" s="497"/>
      <c r="AE347" s="497"/>
      <c r="AF347" s="497"/>
      <c r="AG347" s="497"/>
      <c r="AH347" s="497"/>
      <c r="AI347" s="497"/>
      <c r="AJ347" s="497"/>
      <c r="AK347" s="497"/>
      <c r="AL347" s="497"/>
      <c r="AM347" s="497"/>
      <c r="AN347" s="497"/>
      <c r="AO347" s="497"/>
      <c r="AP347" s="497"/>
      <c r="AQ347" s="497"/>
      <c r="AR347" s="497"/>
      <c r="AS347" s="497"/>
      <c r="AT347" s="497"/>
      <c r="AU347" s="497"/>
      <c r="AV347" s="497"/>
      <c r="AW347" s="497"/>
      <c r="AX347" s="497"/>
      <c r="AY347" s="497"/>
      <c r="AZ347" s="497"/>
      <c r="BA347" s="497"/>
      <c r="BB347" s="497"/>
      <c r="BC347" s="497"/>
      <c r="BD347" s="497"/>
      <c r="BE347" s="497"/>
      <c r="BF347" s="497"/>
      <c r="BG347" s="497"/>
      <c r="BH347" s="497"/>
      <c r="BI347" s="497"/>
      <c r="BJ347" s="497"/>
      <c r="BK347" s="497"/>
      <c r="BL347" s="497"/>
      <c r="BM347" s="497"/>
      <c r="BN347" s="497"/>
      <c r="BO347" s="497"/>
      <c r="BP347" s="497"/>
      <c r="BQ347" s="497"/>
      <c r="BR347" s="497"/>
      <c r="BS347" s="497"/>
      <c r="BT347" s="497"/>
      <c r="BU347" s="497"/>
      <c r="BV347" s="497"/>
      <c r="BW347" s="497"/>
      <c r="BX347" s="497"/>
      <c r="BY347" s="497"/>
      <c r="BZ347" s="497"/>
      <c r="CA347" s="497"/>
      <c r="CB347" s="497"/>
      <c r="CC347" s="497"/>
      <c r="CD347" s="497"/>
      <c r="CE347" s="497"/>
      <c r="CF347" s="497"/>
      <c r="CG347" s="497"/>
      <c r="CH347" s="497"/>
    </row>
    <row r="348" spans="1:86" s="325" customFormat="1">
      <c r="A348" s="517"/>
      <c r="B348" s="517"/>
      <c r="C348" s="517"/>
      <c r="D348" s="517"/>
      <c r="E348" s="517"/>
      <c r="F348" s="517"/>
      <c r="G348" s="517"/>
      <c r="H348" s="639"/>
      <c r="I348" s="639"/>
      <c r="J348" s="336"/>
      <c r="K348" s="2056"/>
      <c r="L348" s="337"/>
      <c r="M348" s="335"/>
      <c r="N348" s="2057"/>
      <c r="O348" s="337"/>
      <c r="P348" s="337"/>
      <c r="Q348" s="337"/>
      <c r="R348" s="337"/>
      <c r="S348" s="337"/>
      <c r="T348" s="337"/>
      <c r="U348" s="497"/>
      <c r="V348" s="497"/>
      <c r="W348" s="497"/>
      <c r="X348" s="497"/>
      <c r="Y348" s="497"/>
      <c r="Z348" s="497"/>
      <c r="AA348" s="497"/>
      <c r="AB348" s="497"/>
      <c r="AC348" s="497"/>
      <c r="AD348" s="497"/>
      <c r="AE348" s="497"/>
      <c r="AF348" s="497"/>
      <c r="AG348" s="497"/>
      <c r="AH348" s="497"/>
      <c r="AI348" s="497"/>
      <c r="AJ348" s="497"/>
      <c r="AK348" s="497"/>
      <c r="AL348" s="497"/>
      <c r="AM348" s="497"/>
      <c r="AN348" s="497"/>
      <c r="AO348" s="497"/>
      <c r="AP348" s="497"/>
      <c r="AQ348" s="497"/>
      <c r="AR348" s="497"/>
      <c r="AS348" s="497"/>
      <c r="AT348" s="497"/>
      <c r="AU348" s="497"/>
      <c r="AV348" s="497"/>
      <c r="AW348" s="497"/>
      <c r="AX348" s="497"/>
      <c r="AY348" s="497"/>
      <c r="AZ348" s="497"/>
      <c r="BA348" s="497"/>
      <c r="BB348" s="497"/>
      <c r="BC348" s="497"/>
      <c r="BD348" s="497"/>
      <c r="BE348" s="497"/>
      <c r="BF348" s="497"/>
      <c r="BG348" s="497"/>
      <c r="BH348" s="497"/>
      <c r="BI348" s="497"/>
      <c r="BJ348" s="497"/>
      <c r="BK348" s="497"/>
      <c r="BL348" s="497"/>
      <c r="BM348" s="497"/>
      <c r="BN348" s="497"/>
      <c r="BO348" s="497"/>
      <c r="BP348" s="497"/>
      <c r="BQ348" s="497"/>
      <c r="BR348" s="497"/>
      <c r="BS348" s="497"/>
      <c r="BT348" s="497"/>
      <c r="BU348" s="497"/>
      <c r="BV348" s="497"/>
      <c r="BW348" s="497"/>
      <c r="BX348" s="497"/>
      <c r="BY348" s="497"/>
      <c r="BZ348" s="497"/>
      <c r="CA348" s="497"/>
      <c r="CB348" s="497"/>
      <c r="CC348" s="497"/>
      <c r="CD348" s="497"/>
      <c r="CE348" s="497"/>
      <c r="CF348" s="497"/>
      <c r="CG348" s="497"/>
      <c r="CH348" s="497"/>
    </row>
    <row r="349" spans="1:86" s="325" customFormat="1">
      <c r="A349" s="517"/>
      <c r="B349" s="517"/>
      <c r="C349" s="517"/>
      <c r="D349" s="517"/>
      <c r="E349" s="517"/>
      <c r="F349" s="517"/>
      <c r="G349" s="517"/>
      <c r="H349" s="639"/>
      <c r="I349" s="639"/>
      <c r="J349" s="336"/>
      <c r="K349" s="2056"/>
      <c r="L349" s="337"/>
      <c r="M349" s="335"/>
      <c r="N349" s="2057"/>
      <c r="O349" s="337"/>
      <c r="P349" s="337"/>
      <c r="Q349" s="337"/>
      <c r="R349" s="337"/>
      <c r="S349" s="337"/>
      <c r="T349" s="337"/>
      <c r="U349" s="497"/>
      <c r="V349" s="497"/>
      <c r="W349" s="497"/>
      <c r="X349" s="497"/>
      <c r="Y349" s="497"/>
      <c r="Z349" s="497"/>
      <c r="AA349" s="497"/>
      <c r="AB349" s="497"/>
      <c r="AC349" s="497"/>
      <c r="AD349" s="497"/>
      <c r="AE349" s="497"/>
      <c r="AF349" s="497"/>
      <c r="AG349" s="497"/>
      <c r="AH349" s="497"/>
      <c r="AI349" s="497"/>
      <c r="AJ349" s="497"/>
      <c r="AK349" s="497"/>
      <c r="AL349" s="497"/>
      <c r="AM349" s="497"/>
      <c r="AN349" s="497"/>
      <c r="AO349" s="497"/>
      <c r="AP349" s="497"/>
      <c r="AQ349" s="497"/>
      <c r="AR349" s="497"/>
      <c r="AS349" s="497"/>
      <c r="AT349" s="497"/>
      <c r="AU349" s="497"/>
      <c r="AV349" s="497"/>
      <c r="AW349" s="497"/>
      <c r="AX349" s="497"/>
      <c r="AY349" s="497"/>
      <c r="AZ349" s="497"/>
      <c r="BA349" s="497"/>
      <c r="BB349" s="497"/>
      <c r="BC349" s="497"/>
      <c r="BD349" s="497"/>
      <c r="BE349" s="497"/>
      <c r="BF349" s="497"/>
      <c r="BG349" s="497"/>
      <c r="BH349" s="497"/>
      <c r="BI349" s="497"/>
      <c r="BJ349" s="497"/>
      <c r="BK349" s="497"/>
      <c r="BL349" s="497"/>
      <c r="BM349" s="497"/>
      <c r="BN349" s="497"/>
      <c r="BO349" s="497"/>
      <c r="BP349" s="497"/>
      <c r="BQ349" s="497"/>
      <c r="BR349" s="497"/>
      <c r="BS349" s="497"/>
      <c r="BT349" s="497"/>
      <c r="BU349" s="497"/>
      <c r="BV349" s="497"/>
      <c r="BW349" s="497"/>
      <c r="BX349" s="497"/>
      <c r="BY349" s="497"/>
      <c r="BZ349" s="497"/>
      <c r="CA349" s="497"/>
      <c r="CB349" s="497"/>
      <c r="CC349" s="497"/>
      <c r="CD349" s="497"/>
      <c r="CE349" s="497"/>
      <c r="CF349" s="497"/>
      <c r="CG349" s="497"/>
      <c r="CH349" s="497"/>
    </row>
    <row r="350" spans="1:86" s="325" customFormat="1">
      <c r="A350" s="517"/>
      <c r="B350" s="517"/>
      <c r="C350" s="517"/>
      <c r="D350" s="517"/>
      <c r="E350" s="517"/>
      <c r="F350" s="517"/>
      <c r="G350" s="517"/>
      <c r="H350" s="639"/>
      <c r="I350" s="639"/>
      <c r="J350" s="336"/>
      <c r="K350" s="2056"/>
      <c r="L350" s="337"/>
      <c r="M350" s="335"/>
      <c r="N350" s="2057"/>
      <c r="O350" s="337"/>
      <c r="P350" s="337"/>
      <c r="Q350" s="337"/>
      <c r="R350" s="337"/>
      <c r="S350" s="337"/>
      <c r="T350" s="337"/>
      <c r="U350" s="497"/>
      <c r="V350" s="497"/>
      <c r="W350" s="497"/>
      <c r="X350" s="497"/>
      <c r="Y350" s="497"/>
      <c r="Z350" s="497"/>
      <c r="AA350" s="497"/>
      <c r="AB350" s="497"/>
      <c r="AC350" s="497"/>
      <c r="AD350" s="497"/>
      <c r="AE350" s="497"/>
      <c r="AF350" s="497"/>
      <c r="AG350" s="497"/>
      <c r="AH350" s="497"/>
      <c r="AI350" s="497"/>
      <c r="AJ350" s="497"/>
      <c r="AK350" s="497"/>
      <c r="AL350" s="497"/>
      <c r="AM350" s="497"/>
      <c r="AN350" s="497"/>
      <c r="AO350" s="497"/>
      <c r="AP350" s="497"/>
      <c r="AQ350" s="497"/>
      <c r="AR350" s="497"/>
      <c r="AS350" s="497"/>
      <c r="AT350" s="497"/>
      <c r="AU350" s="497"/>
      <c r="AV350" s="497"/>
      <c r="AW350" s="497"/>
      <c r="AX350" s="497"/>
      <c r="AY350" s="497"/>
      <c r="AZ350" s="497"/>
      <c r="BA350" s="497"/>
      <c r="BB350" s="497"/>
      <c r="BC350" s="497"/>
      <c r="BD350" s="497"/>
      <c r="BE350" s="497"/>
      <c r="BF350" s="497"/>
      <c r="BG350" s="497"/>
      <c r="BH350" s="497"/>
      <c r="BI350" s="497"/>
      <c r="BJ350" s="497"/>
      <c r="BK350" s="497"/>
      <c r="BL350" s="497"/>
      <c r="BM350" s="497"/>
      <c r="BN350" s="497"/>
      <c r="BO350" s="497"/>
      <c r="BP350" s="497"/>
      <c r="BQ350" s="497"/>
      <c r="BR350" s="497"/>
      <c r="BS350" s="497"/>
      <c r="BT350" s="497"/>
      <c r="BU350" s="497"/>
      <c r="BV350" s="497"/>
      <c r="BW350" s="497"/>
      <c r="BX350" s="497"/>
      <c r="BY350" s="497"/>
      <c r="BZ350" s="497"/>
      <c r="CA350" s="497"/>
      <c r="CB350" s="497"/>
      <c r="CC350" s="497"/>
      <c r="CD350" s="497"/>
      <c r="CE350" s="497"/>
      <c r="CF350" s="497"/>
      <c r="CG350" s="497"/>
      <c r="CH350" s="497"/>
    </row>
    <row r="351" spans="1:86" s="325" customFormat="1">
      <c r="A351" s="517"/>
      <c r="B351" s="517"/>
      <c r="C351" s="517"/>
      <c r="D351" s="517"/>
      <c r="E351" s="517"/>
      <c r="F351" s="517"/>
      <c r="G351" s="517"/>
      <c r="H351" s="639"/>
      <c r="I351" s="639"/>
      <c r="J351" s="336"/>
      <c r="K351" s="2056"/>
      <c r="L351" s="337"/>
      <c r="M351" s="335"/>
      <c r="N351" s="2057"/>
      <c r="O351" s="337"/>
      <c r="P351" s="337"/>
      <c r="Q351" s="337"/>
      <c r="R351" s="337"/>
      <c r="S351" s="337"/>
      <c r="T351" s="337"/>
      <c r="U351" s="497"/>
      <c r="V351" s="497"/>
      <c r="W351" s="497"/>
      <c r="X351" s="497"/>
      <c r="Y351" s="497"/>
      <c r="Z351" s="497"/>
      <c r="AA351" s="497"/>
      <c r="AB351" s="497"/>
      <c r="AC351" s="497"/>
      <c r="AD351" s="497"/>
      <c r="AE351" s="497"/>
      <c r="AF351" s="497"/>
      <c r="AG351" s="497"/>
      <c r="AH351" s="497"/>
      <c r="AI351" s="497"/>
      <c r="AJ351" s="497"/>
      <c r="AK351" s="497"/>
      <c r="AL351" s="497"/>
      <c r="AM351" s="497"/>
      <c r="AN351" s="497"/>
      <c r="AO351" s="497"/>
      <c r="AP351" s="497"/>
      <c r="AQ351" s="497"/>
      <c r="AR351" s="497"/>
      <c r="AS351" s="497"/>
      <c r="AT351" s="497"/>
      <c r="AU351" s="497"/>
      <c r="AV351" s="497"/>
      <c r="AW351" s="497"/>
      <c r="AX351" s="497"/>
      <c r="AY351" s="497"/>
      <c r="AZ351" s="497"/>
      <c r="BA351" s="497"/>
      <c r="BB351" s="497"/>
      <c r="BC351" s="497"/>
      <c r="BD351" s="497"/>
      <c r="BE351" s="497"/>
      <c r="BF351" s="497"/>
      <c r="BG351" s="497"/>
      <c r="BH351" s="497"/>
      <c r="BI351" s="497"/>
      <c r="BJ351" s="497"/>
      <c r="BK351" s="497"/>
      <c r="BL351" s="497"/>
      <c r="BM351" s="497"/>
      <c r="BN351" s="497"/>
      <c r="BO351" s="497"/>
      <c r="BP351" s="497"/>
      <c r="BQ351" s="497"/>
      <c r="BR351" s="497"/>
      <c r="BS351" s="497"/>
      <c r="BT351" s="497"/>
      <c r="BU351" s="497"/>
      <c r="BV351" s="497"/>
      <c r="BW351" s="497"/>
      <c r="BX351" s="497"/>
      <c r="BY351" s="497"/>
      <c r="BZ351" s="497"/>
      <c r="CA351" s="497"/>
      <c r="CB351" s="497"/>
      <c r="CC351" s="497"/>
      <c r="CD351" s="497"/>
      <c r="CE351" s="497"/>
      <c r="CF351" s="497"/>
      <c r="CG351" s="497"/>
      <c r="CH351" s="497"/>
    </row>
    <row r="352" spans="1:86" s="325" customFormat="1">
      <c r="A352" s="517"/>
      <c r="B352" s="517"/>
      <c r="C352" s="517"/>
      <c r="D352" s="517"/>
      <c r="E352" s="517"/>
      <c r="F352" s="517"/>
      <c r="G352" s="517"/>
      <c r="H352" s="639"/>
      <c r="I352" s="639"/>
      <c r="J352" s="336"/>
      <c r="K352" s="2056"/>
      <c r="L352" s="337"/>
      <c r="M352" s="335"/>
      <c r="N352" s="2057"/>
      <c r="O352" s="337"/>
      <c r="P352" s="337"/>
      <c r="Q352" s="337"/>
      <c r="R352" s="337"/>
      <c r="S352" s="337"/>
      <c r="T352" s="337"/>
      <c r="U352" s="497"/>
      <c r="V352" s="497"/>
      <c r="W352" s="497"/>
      <c r="X352" s="497"/>
      <c r="Y352" s="497"/>
      <c r="Z352" s="497"/>
      <c r="AA352" s="497"/>
      <c r="AB352" s="497"/>
      <c r="AC352" s="497"/>
      <c r="AD352" s="497"/>
      <c r="AE352" s="497"/>
      <c r="AF352" s="497"/>
      <c r="AG352" s="497"/>
      <c r="AH352" s="497"/>
      <c r="AI352" s="497"/>
      <c r="AJ352" s="497"/>
      <c r="AK352" s="497"/>
      <c r="AL352" s="497"/>
      <c r="AM352" s="497"/>
      <c r="AN352" s="497"/>
      <c r="AO352" s="497"/>
      <c r="AP352" s="497"/>
      <c r="AQ352" s="497"/>
      <c r="AR352" s="497"/>
      <c r="AS352" s="497"/>
      <c r="AT352" s="497"/>
      <c r="AU352" s="497"/>
      <c r="AV352" s="497"/>
      <c r="AW352" s="497"/>
      <c r="AX352" s="497"/>
      <c r="AY352" s="497"/>
      <c r="AZ352" s="497"/>
      <c r="BA352" s="497"/>
      <c r="BB352" s="497"/>
      <c r="BC352" s="497"/>
      <c r="BD352" s="497"/>
      <c r="BE352" s="497"/>
      <c r="BF352" s="497"/>
      <c r="BG352" s="497"/>
      <c r="BH352" s="497"/>
      <c r="BI352" s="497"/>
      <c r="BJ352" s="497"/>
      <c r="BK352" s="497"/>
      <c r="BL352" s="497"/>
      <c r="BM352" s="497"/>
      <c r="BN352" s="497"/>
      <c r="BO352" s="497"/>
      <c r="BP352" s="497"/>
      <c r="BQ352" s="497"/>
      <c r="BR352" s="497"/>
      <c r="BS352" s="497"/>
      <c r="BT352" s="497"/>
      <c r="BU352" s="497"/>
      <c r="BV352" s="497"/>
      <c r="BW352" s="497"/>
      <c r="BX352" s="497"/>
      <c r="BY352" s="497"/>
      <c r="BZ352" s="497"/>
      <c r="CA352" s="497"/>
      <c r="CB352" s="497"/>
      <c r="CC352" s="497"/>
      <c r="CD352" s="497"/>
      <c r="CE352" s="497"/>
      <c r="CF352" s="497"/>
      <c r="CG352" s="497"/>
      <c r="CH352" s="497"/>
    </row>
    <row r="353" spans="1:86" s="325" customFormat="1">
      <c r="A353" s="517"/>
      <c r="B353" s="517"/>
      <c r="C353" s="517"/>
      <c r="D353" s="517"/>
      <c r="E353" s="517"/>
      <c r="F353" s="517"/>
      <c r="G353" s="517"/>
      <c r="H353" s="639"/>
      <c r="I353" s="639"/>
      <c r="J353" s="336"/>
      <c r="K353" s="2056"/>
      <c r="L353" s="337"/>
      <c r="M353" s="335"/>
      <c r="N353" s="2057"/>
      <c r="O353" s="337"/>
      <c r="P353" s="337"/>
      <c r="Q353" s="337"/>
      <c r="R353" s="337"/>
      <c r="S353" s="337"/>
      <c r="T353" s="337"/>
      <c r="U353" s="497"/>
      <c r="V353" s="497"/>
      <c r="W353" s="497"/>
      <c r="X353" s="497"/>
      <c r="Y353" s="497"/>
      <c r="Z353" s="497"/>
      <c r="AA353" s="497"/>
      <c r="AB353" s="497"/>
      <c r="AC353" s="497"/>
      <c r="AD353" s="497"/>
      <c r="AE353" s="497"/>
      <c r="AF353" s="497"/>
      <c r="AG353" s="497"/>
      <c r="AH353" s="497"/>
      <c r="AI353" s="497"/>
      <c r="AJ353" s="497"/>
      <c r="AK353" s="497"/>
      <c r="AL353" s="497"/>
      <c r="AM353" s="497"/>
      <c r="AN353" s="497"/>
      <c r="AO353" s="497"/>
      <c r="AP353" s="497"/>
      <c r="AQ353" s="497"/>
      <c r="AR353" s="497"/>
      <c r="AS353" s="497"/>
      <c r="AT353" s="497"/>
      <c r="AU353" s="497"/>
      <c r="AV353" s="497"/>
      <c r="AW353" s="497"/>
      <c r="AX353" s="497"/>
      <c r="AY353" s="497"/>
      <c r="AZ353" s="497"/>
      <c r="BA353" s="497"/>
      <c r="BB353" s="497"/>
      <c r="BC353" s="497"/>
      <c r="BD353" s="497"/>
      <c r="BE353" s="497"/>
      <c r="BF353" s="497"/>
      <c r="BG353" s="497"/>
      <c r="BH353" s="497"/>
      <c r="BI353" s="497"/>
      <c r="BJ353" s="497"/>
      <c r="BK353" s="497"/>
      <c r="BL353" s="497"/>
      <c r="BM353" s="497"/>
      <c r="BN353" s="497"/>
      <c r="BO353" s="497"/>
      <c r="BP353" s="497"/>
      <c r="BQ353" s="497"/>
      <c r="BR353" s="497"/>
      <c r="BS353" s="497"/>
      <c r="BT353" s="497"/>
      <c r="BU353" s="497"/>
      <c r="BV353" s="497"/>
      <c r="BW353" s="497"/>
      <c r="BX353" s="497"/>
      <c r="BY353" s="497"/>
      <c r="BZ353" s="497"/>
      <c r="CA353" s="497"/>
      <c r="CB353" s="497"/>
      <c r="CC353" s="497"/>
      <c r="CD353" s="497"/>
      <c r="CE353" s="497"/>
      <c r="CF353" s="497"/>
      <c r="CG353" s="497"/>
      <c r="CH353" s="497"/>
    </row>
    <row r="354" spans="1:86" s="325" customFormat="1">
      <c r="A354" s="517"/>
      <c r="B354" s="517"/>
      <c r="C354" s="517"/>
      <c r="D354" s="517"/>
      <c r="E354" s="517"/>
      <c r="F354" s="517"/>
      <c r="G354" s="517"/>
      <c r="H354" s="639"/>
      <c r="I354" s="639"/>
      <c r="J354" s="336"/>
      <c r="K354" s="2056"/>
      <c r="L354" s="337"/>
      <c r="M354" s="335"/>
      <c r="N354" s="2057"/>
      <c r="O354" s="337"/>
      <c r="P354" s="337"/>
      <c r="Q354" s="337"/>
      <c r="R354" s="337"/>
      <c r="S354" s="337"/>
      <c r="T354" s="337"/>
      <c r="U354" s="497"/>
      <c r="V354" s="497"/>
      <c r="W354" s="497"/>
      <c r="X354" s="497"/>
      <c r="Y354" s="497"/>
      <c r="Z354" s="497"/>
      <c r="AA354" s="497"/>
      <c r="AB354" s="497"/>
      <c r="AC354" s="497"/>
      <c r="AD354" s="497"/>
      <c r="AE354" s="497"/>
      <c r="AF354" s="497"/>
      <c r="AG354" s="497"/>
      <c r="AH354" s="497"/>
      <c r="AI354" s="497"/>
      <c r="AJ354" s="497"/>
      <c r="AK354" s="497"/>
      <c r="AL354" s="497"/>
      <c r="AM354" s="497"/>
      <c r="AN354" s="497"/>
      <c r="AO354" s="497"/>
      <c r="AP354" s="497"/>
      <c r="AQ354" s="497"/>
      <c r="AR354" s="497"/>
      <c r="AS354" s="497"/>
      <c r="AT354" s="497"/>
      <c r="AU354" s="497"/>
      <c r="AV354" s="497"/>
      <c r="AW354" s="497"/>
      <c r="AX354" s="497"/>
      <c r="AY354" s="497"/>
      <c r="AZ354" s="497"/>
      <c r="BA354" s="497"/>
      <c r="BB354" s="497"/>
      <c r="BC354" s="497"/>
      <c r="BD354" s="497"/>
      <c r="BE354" s="497"/>
      <c r="BF354" s="497"/>
      <c r="BG354" s="497"/>
      <c r="BH354" s="497"/>
      <c r="BI354" s="497"/>
      <c r="BJ354" s="497"/>
      <c r="BK354" s="497"/>
      <c r="BL354" s="497"/>
      <c r="BM354" s="497"/>
      <c r="BN354" s="497"/>
      <c r="BO354" s="497"/>
      <c r="BP354" s="497"/>
      <c r="BQ354" s="497"/>
      <c r="BR354" s="497"/>
      <c r="BS354" s="497"/>
      <c r="BT354" s="497"/>
      <c r="BU354" s="497"/>
      <c r="BV354" s="497"/>
      <c r="BW354" s="497"/>
      <c r="BX354" s="497"/>
      <c r="BY354" s="497"/>
      <c r="BZ354" s="497"/>
      <c r="CA354" s="497"/>
      <c r="CB354" s="497"/>
      <c r="CC354" s="497"/>
      <c r="CD354" s="497"/>
      <c r="CE354" s="497"/>
      <c r="CF354" s="497"/>
      <c r="CG354" s="497"/>
      <c r="CH354" s="497"/>
    </row>
    <row r="355" spans="1:86" s="325" customFormat="1">
      <c r="A355" s="517"/>
      <c r="B355" s="517"/>
      <c r="C355" s="517"/>
      <c r="D355" s="517"/>
      <c r="E355" s="517"/>
      <c r="F355" s="517"/>
      <c r="G355" s="517"/>
      <c r="H355" s="639"/>
      <c r="I355" s="639"/>
      <c r="J355" s="336"/>
      <c r="K355" s="2056"/>
      <c r="L355" s="337"/>
      <c r="M355" s="335"/>
      <c r="N355" s="2057"/>
      <c r="O355" s="337"/>
      <c r="P355" s="337"/>
      <c r="Q355" s="337"/>
      <c r="R355" s="337"/>
      <c r="S355" s="337"/>
      <c r="T355" s="337"/>
      <c r="U355" s="497"/>
      <c r="V355" s="497"/>
      <c r="W355" s="497"/>
      <c r="X355" s="497"/>
      <c r="Y355" s="497"/>
      <c r="Z355" s="497"/>
      <c r="AA355" s="497"/>
      <c r="AB355" s="497"/>
      <c r="AC355" s="497"/>
      <c r="AD355" s="497"/>
      <c r="AE355" s="497"/>
      <c r="AF355" s="497"/>
      <c r="AG355" s="497"/>
      <c r="AH355" s="497"/>
      <c r="AI355" s="497"/>
      <c r="AJ355" s="497"/>
      <c r="AK355" s="497"/>
      <c r="AL355" s="497"/>
      <c r="AM355" s="497"/>
      <c r="AN355" s="497"/>
      <c r="AO355" s="497"/>
      <c r="AP355" s="497"/>
      <c r="AQ355" s="497"/>
      <c r="AR355" s="497"/>
      <c r="AS355" s="497"/>
      <c r="AT355" s="497"/>
      <c r="AU355" s="497"/>
      <c r="AV355" s="497"/>
      <c r="AW355" s="497"/>
      <c r="AX355" s="497"/>
      <c r="AY355" s="497"/>
      <c r="AZ355" s="497"/>
      <c r="BA355" s="497"/>
      <c r="BB355" s="497"/>
      <c r="BC355" s="497"/>
      <c r="BD355" s="497"/>
      <c r="BE355" s="497"/>
      <c r="BF355" s="497"/>
      <c r="BG355" s="497"/>
      <c r="BH355" s="497"/>
      <c r="BI355" s="497"/>
      <c r="BJ355" s="497"/>
      <c r="BK355" s="497"/>
      <c r="BL355" s="497"/>
      <c r="BM355" s="497"/>
      <c r="BN355" s="497"/>
      <c r="BO355" s="497"/>
      <c r="BP355" s="497"/>
      <c r="BQ355" s="497"/>
      <c r="BR355" s="497"/>
      <c r="BS355" s="497"/>
      <c r="BT355" s="497"/>
      <c r="BU355" s="497"/>
      <c r="BV355" s="497"/>
      <c r="BW355" s="497"/>
      <c r="BX355" s="497"/>
      <c r="BY355" s="497"/>
      <c r="BZ355" s="497"/>
      <c r="CA355" s="497"/>
      <c r="CB355" s="497"/>
      <c r="CC355" s="497"/>
      <c r="CD355" s="497"/>
      <c r="CE355" s="497"/>
      <c r="CF355" s="497"/>
      <c r="CG355" s="497"/>
      <c r="CH355" s="497"/>
    </row>
    <row r="356" spans="1:86" s="325" customFormat="1">
      <c r="A356" s="517"/>
      <c r="B356" s="517"/>
      <c r="C356" s="517"/>
      <c r="D356" s="517"/>
      <c r="E356" s="517"/>
      <c r="F356" s="517"/>
      <c r="G356" s="517"/>
      <c r="H356" s="639"/>
      <c r="I356" s="639"/>
      <c r="J356" s="336"/>
      <c r="K356" s="2056"/>
      <c r="L356" s="337"/>
      <c r="M356" s="335"/>
      <c r="N356" s="2057"/>
      <c r="O356" s="337"/>
      <c r="P356" s="337"/>
      <c r="Q356" s="337"/>
      <c r="R356" s="337"/>
      <c r="S356" s="337"/>
      <c r="T356" s="337"/>
      <c r="U356" s="497"/>
      <c r="V356" s="497"/>
      <c r="W356" s="497"/>
      <c r="X356" s="497"/>
      <c r="Y356" s="497"/>
      <c r="Z356" s="497"/>
      <c r="AA356" s="497"/>
      <c r="AB356" s="497"/>
      <c r="AC356" s="497"/>
      <c r="AD356" s="497"/>
      <c r="AE356" s="497"/>
      <c r="AF356" s="497"/>
      <c r="AG356" s="497"/>
      <c r="AH356" s="497"/>
      <c r="AI356" s="497"/>
      <c r="AJ356" s="497"/>
      <c r="AK356" s="497"/>
      <c r="AL356" s="497"/>
      <c r="AM356" s="497"/>
      <c r="AN356" s="497"/>
      <c r="AO356" s="497"/>
      <c r="AP356" s="497"/>
      <c r="AQ356" s="497"/>
      <c r="AR356" s="497"/>
      <c r="AS356" s="497"/>
      <c r="AT356" s="497"/>
      <c r="AU356" s="497"/>
      <c r="AV356" s="497"/>
      <c r="AW356" s="497"/>
      <c r="AX356" s="497"/>
      <c r="AY356" s="497"/>
      <c r="AZ356" s="497"/>
      <c r="BA356" s="497"/>
      <c r="BB356" s="497"/>
      <c r="BC356" s="497"/>
      <c r="BD356" s="497"/>
      <c r="BE356" s="497"/>
      <c r="BF356" s="497"/>
      <c r="BG356" s="497"/>
      <c r="BH356" s="497"/>
      <c r="BI356" s="497"/>
      <c r="BJ356" s="497"/>
      <c r="BK356" s="497"/>
      <c r="BL356" s="497"/>
      <c r="BM356" s="497"/>
      <c r="BN356" s="497"/>
      <c r="BO356" s="497"/>
      <c r="BP356" s="497"/>
      <c r="BQ356" s="497"/>
      <c r="BR356" s="497"/>
      <c r="BS356" s="497"/>
      <c r="BT356" s="497"/>
      <c r="BU356" s="497"/>
      <c r="BV356" s="497"/>
      <c r="BW356" s="497"/>
      <c r="BX356" s="497"/>
      <c r="BY356" s="497"/>
      <c r="BZ356" s="497"/>
      <c r="CA356" s="497"/>
      <c r="CB356" s="497"/>
      <c r="CC356" s="497"/>
      <c r="CD356" s="497"/>
      <c r="CE356" s="497"/>
      <c r="CF356" s="497"/>
      <c r="CG356" s="497"/>
      <c r="CH356" s="497"/>
    </row>
    <row r="357" spans="1:86" s="325" customFormat="1">
      <c r="A357" s="517"/>
      <c r="B357" s="517"/>
      <c r="C357" s="517"/>
      <c r="D357" s="517"/>
      <c r="E357" s="517"/>
      <c r="F357" s="517"/>
      <c r="G357" s="517"/>
      <c r="H357" s="639"/>
      <c r="I357" s="639"/>
      <c r="J357" s="336"/>
      <c r="K357" s="2056"/>
      <c r="L357" s="337"/>
      <c r="M357" s="335"/>
      <c r="N357" s="2057"/>
      <c r="O357" s="337"/>
      <c r="P357" s="337"/>
      <c r="Q357" s="337"/>
      <c r="R357" s="337"/>
      <c r="S357" s="337"/>
      <c r="T357" s="337"/>
      <c r="U357" s="497"/>
      <c r="V357" s="497"/>
      <c r="W357" s="497"/>
      <c r="X357" s="497"/>
      <c r="Y357" s="497"/>
      <c r="Z357" s="497"/>
      <c r="AA357" s="497"/>
      <c r="AB357" s="497"/>
      <c r="AC357" s="497"/>
      <c r="AD357" s="497"/>
      <c r="AE357" s="497"/>
      <c r="AF357" s="497"/>
      <c r="AG357" s="497"/>
      <c r="AH357" s="497"/>
      <c r="AI357" s="497"/>
      <c r="AJ357" s="497"/>
      <c r="AK357" s="497"/>
      <c r="AL357" s="497"/>
      <c r="AM357" s="497"/>
      <c r="AN357" s="497"/>
      <c r="AO357" s="497"/>
      <c r="AP357" s="497"/>
      <c r="AQ357" s="497"/>
      <c r="AR357" s="497"/>
      <c r="AS357" s="497"/>
      <c r="AT357" s="497"/>
      <c r="AU357" s="497"/>
      <c r="AV357" s="497"/>
      <c r="AW357" s="497"/>
      <c r="AX357" s="497"/>
      <c r="AY357" s="497"/>
      <c r="AZ357" s="497"/>
      <c r="BA357" s="497"/>
      <c r="BB357" s="497"/>
      <c r="BC357" s="497"/>
      <c r="BD357" s="497"/>
      <c r="BE357" s="497"/>
      <c r="BF357" s="497"/>
      <c r="BG357" s="497"/>
      <c r="BH357" s="497"/>
      <c r="BI357" s="497"/>
      <c r="BJ357" s="497"/>
      <c r="BK357" s="497"/>
      <c r="BL357" s="497"/>
      <c r="BM357" s="497"/>
      <c r="BN357" s="497"/>
      <c r="BO357" s="497"/>
      <c r="BP357" s="497"/>
      <c r="BQ357" s="497"/>
      <c r="BR357" s="497"/>
      <c r="BS357" s="497"/>
      <c r="BT357" s="497"/>
      <c r="BU357" s="497"/>
      <c r="BV357" s="497"/>
      <c r="BW357" s="497"/>
      <c r="BX357" s="497"/>
      <c r="BY357" s="497"/>
      <c r="BZ357" s="497"/>
      <c r="CA357" s="497"/>
      <c r="CB357" s="497"/>
      <c r="CC357" s="497"/>
      <c r="CD357" s="497"/>
      <c r="CE357" s="497"/>
      <c r="CF357" s="497"/>
      <c r="CG357" s="497"/>
      <c r="CH357" s="497"/>
    </row>
    <row r="358" spans="1:86" s="325" customFormat="1">
      <c r="A358" s="517"/>
      <c r="B358" s="517"/>
      <c r="C358" s="517"/>
      <c r="D358" s="517"/>
      <c r="E358" s="517"/>
      <c r="F358" s="517"/>
      <c r="G358" s="517"/>
      <c r="H358" s="639"/>
      <c r="I358" s="639"/>
      <c r="J358" s="336"/>
      <c r="K358" s="2056"/>
      <c r="L358" s="337"/>
      <c r="M358" s="335"/>
      <c r="N358" s="2057"/>
      <c r="O358" s="337"/>
      <c r="P358" s="337"/>
      <c r="Q358" s="337"/>
      <c r="R358" s="337"/>
      <c r="S358" s="337"/>
      <c r="T358" s="337"/>
      <c r="U358" s="497"/>
      <c r="V358" s="497"/>
      <c r="W358" s="497"/>
      <c r="X358" s="497"/>
      <c r="Y358" s="497"/>
      <c r="Z358" s="497"/>
      <c r="AA358" s="497"/>
      <c r="AB358" s="497"/>
      <c r="AC358" s="497"/>
      <c r="AD358" s="497"/>
      <c r="AE358" s="497"/>
      <c r="AF358" s="497"/>
      <c r="AG358" s="497"/>
      <c r="AH358" s="497"/>
      <c r="AI358" s="497"/>
      <c r="AJ358" s="497"/>
      <c r="AK358" s="497"/>
      <c r="AL358" s="497"/>
      <c r="AM358" s="497"/>
      <c r="AN358" s="497"/>
      <c r="AO358" s="497"/>
      <c r="AP358" s="497"/>
      <c r="AQ358" s="497"/>
      <c r="AR358" s="497"/>
      <c r="AS358" s="497"/>
      <c r="AT358" s="497"/>
      <c r="AU358" s="497"/>
      <c r="AV358" s="497"/>
      <c r="AW358" s="497"/>
      <c r="AX358" s="497"/>
      <c r="AY358" s="497"/>
      <c r="AZ358" s="497"/>
      <c r="BA358" s="497"/>
      <c r="BB358" s="497"/>
      <c r="BC358" s="497"/>
      <c r="BD358" s="497"/>
      <c r="BE358" s="497"/>
      <c r="BF358" s="497"/>
      <c r="BG358" s="497"/>
      <c r="BH358" s="497"/>
      <c r="BI358" s="497"/>
      <c r="BJ358" s="497"/>
      <c r="BK358" s="497"/>
      <c r="BL358" s="497"/>
      <c r="BM358" s="497"/>
      <c r="BN358" s="497"/>
      <c r="BO358" s="497"/>
      <c r="BP358" s="497"/>
      <c r="BQ358" s="497"/>
      <c r="BR358" s="497"/>
      <c r="BS358" s="497"/>
      <c r="BT358" s="497"/>
      <c r="BU358" s="497"/>
      <c r="BV358" s="497"/>
      <c r="BW358" s="497"/>
      <c r="BX358" s="497"/>
      <c r="BY358" s="497"/>
      <c r="BZ358" s="497"/>
      <c r="CA358" s="497"/>
      <c r="CB358" s="497"/>
      <c r="CC358" s="497"/>
      <c r="CD358" s="497"/>
      <c r="CE358" s="497"/>
      <c r="CF358" s="497"/>
      <c r="CG358" s="497"/>
      <c r="CH358" s="497"/>
    </row>
    <row r="359" spans="1:86" s="325" customFormat="1">
      <c r="A359" s="517"/>
      <c r="B359" s="517"/>
      <c r="C359" s="517"/>
      <c r="D359" s="517"/>
      <c r="E359" s="517"/>
      <c r="F359" s="517"/>
      <c r="G359" s="517"/>
      <c r="H359" s="639"/>
      <c r="I359" s="639"/>
      <c r="J359" s="336"/>
      <c r="K359" s="2056"/>
      <c r="L359" s="337"/>
      <c r="M359" s="335"/>
      <c r="N359" s="2057"/>
      <c r="O359" s="337"/>
      <c r="P359" s="337"/>
      <c r="Q359" s="337"/>
      <c r="R359" s="337"/>
      <c r="S359" s="337"/>
      <c r="T359" s="337"/>
      <c r="U359" s="497"/>
      <c r="V359" s="497"/>
      <c r="W359" s="497"/>
      <c r="X359" s="497"/>
      <c r="Y359" s="497"/>
      <c r="Z359" s="497"/>
      <c r="AA359" s="497"/>
      <c r="AB359" s="497"/>
      <c r="AC359" s="497"/>
      <c r="AD359" s="497"/>
      <c r="AE359" s="497"/>
      <c r="AF359" s="497"/>
      <c r="AG359" s="497"/>
      <c r="AH359" s="497"/>
      <c r="AI359" s="497"/>
      <c r="AJ359" s="497"/>
      <c r="AK359" s="497"/>
      <c r="AL359" s="497"/>
      <c r="AM359" s="497"/>
      <c r="AN359" s="497"/>
      <c r="AO359" s="497"/>
      <c r="AP359" s="497"/>
      <c r="AQ359" s="497"/>
      <c r="AR359" s="497"/>
      <c r="AS359" s="497"/>
      <c r="AT359" s="497"/>
      <c r="AU359" s="497"/>
      <c r="AV359" s="497"/>
      <c r="AW359" s="497"/>
      <c r="AX359" s="497"/>
      <c r="AY359" s="497"/>
      <c r="AZ359" s="497"/>
      <c r="BA359" s="497"/>
      <c r="BB359" s="497"/>
      <c r="BC359" s="497"/>
      <c r="BD359" s="497"/>
      <c r="BE359" s="497"/>
      <c r="BF359" s="497"/>
      <c r="BG359" s="497"/>
      <c r="BH359" s="497"/>
      <c r="BI359" s="497"/>
      <c r="BJ359" s="497"/>
      <c r="BK359" s="497"/>
      <c r="BL359" s="497"/>
      <c r="BM359" s="497"/>
      <c r="BN359" s="497"/>
      <c r="BO359" s="497"/>
      <c r="BP359" s="497"/>
      <c r="BQ359" s="497"/>
      <c r="BR359" s="497"/>
      <c r="BS359" s="497"/>
      <c r="BT359" s="497"/>
      <c r="BU359" s="497"/>
      <c r="BV359" s="497"/>
      <c r="BW359" s="497"/>
      <c r="BX359" s="497"/>
      <c r="BY359" s="497"/>
      <c r="BZ359" s="497"/>
      <c r="CA359" s="497"/>
      <c r="CB359" s="497"/>
      <c r="CC359" s="497"/>
      <c r="CD359" s="497"/>
      <c r="CE359" s="497"/>
      <c r="CF359" s="497"/>
      <c r="CG359" s="497"/>
      <c r="CH359" s="497"/>
    </row>
    <row r="360" spans="1:86" s="325" customFormat="1">
      <c r="A360" s="517"/>
      <c r="B360" s="517"/>
      <c r="C360" s="517"/>
      <c r="D360" s="517"/>
      <c r="E360" s="517"/>
      <c r="F360" s="517"/>
      <c r="G360" s="517"/>
      <c r="H360" s="639"/>
      <c r="I360" s="639"/>
      <c r="J360" s="336"/>
      <c r="K360" s="2056"/>
      <c r="L360" s="337"/>
      <c r="M360" s="335"/>
      <c r="N360" s="2057"/>
      <c r="O360" s="337"/>
      <c r="P360" s="337"/>
      <c r="Q360" s="337"/>
      <c r="R360" s="337"/>
      <c r="S360" s="337"/>
      <c r="T360" s="337"/>
      <c r="U360" s="497"/>
      <c r="V360" s="497"/>
      <c r="W360" s="497"/>
      <c r="X360" s="497"/>
      <c r="Y360" s="497"/>
      <c r="Z360" s="497"/>
      <c r="AA360" s="497"/>
      <c r="AB360" s="497"/>
      <c r="AC360" s="497"/>
      <c r="AD360" s="497"/>
      <c r="AE360" s="497"/>
      <c r="AF360" s="497"/>
      <c r="AG360" s="497"/>
      <c r="AH360" s="497"/>
      <c r="AI360" s="497"/>
      <c r="AJ360" s="497"/>
      <c r="AK360" s="497"/>
      <c r="AL360" s="497"/>
      <c r="AM360" s="497"/>
      <c r="AN360" s="497"/>
      <c r="AO360" s="497"/>
      <c r="AP360" s="497"/>
      <c r="AQ360" s="497"/>
      <c r="AR360" s="497"/>
      <c r="AS360" s="497"/>
      <c r="AT360" s="497"/>
      <c r="AU360" s="497"/>
      <c r="AV360" s="497"/>
      <c r="AW360" s="497"/>
      <c r="AX360" s="497"/>
      <c r="AY360" s="497"/>
      <c r="AZ360" s="497"/>
      <c r="BA360" s="497"/>
      <c r="BB360" s="497"/>
      <c r="BC360" s="497"/>
      <c r="BD360" s="497"/>
      <c r="BE360" s="497"/>
      <c r="BF360" s="497"/>
      <c r="BG360" s="497"/>
      <c r="BH360" s="497"/>
      <c r="BI360" s="497"/>
      <c r="BJ360" s="497"/>
      <c r="BK360" s="497"/>
      <c r="BL360" s="497"/>
      <c r="BM360" s="497"/>
      <c r="BN360" s="497"/>
      <c r="BO360" s="497"/>
      <c r="BP360" s="497"/>
      <c r="BQ360" s="497"/>
      <c r="BR360" s="497"/>
      <c r="BS360" s="497"/>
      <c r="BT360" s="497"/>
      <c r="BU360" s="497"/>
      <c r="BV360" s="497"/>
      <c r="BW360" s="497"/>
      <c r="BX360" s="497"/>
      <c r="BY360" s="497"/>
      <c r="BZ360" s="497"/>
      <c r="CA360" s="497"/>
      <c r="CB360" s="497"/>
      <c r="CC360" s="497"/>
      <c r="CD360" s="497"/>
      <c r="CE360" s="497"/>
      <c r="CF360" s="497"/>
      <c r="CG360" s="497"/>
      <c r="CH360" s="497"/>
    </row>
    <row r="361" spans="1:86" s="325" customFormat="1">
      <c r="A361" s="517"/>
      <c r="B361" s="517"/>
      <c r="C361" s="517"/>
      <c r="D361" s="517"/>
      <c r="E361" s="517"/>
      <c r="F361" s="517"/>
      <c r="G361" s="517"/>
      <c r="H361" s="639"/>
      <c r="I361" s="639"/>
      <c r="J361" s="336"/>
      <c r="K361" s="2056"/>
      <c r="L361" s="337"/>
      <c r="M361" s="335"/>
      <c r="N361" s="2057"/>
      <c r="O361" s="337"/>
      <c r="P361" s="337"/>
      <c r="Q361" s="337"/>
      <c r="R361" s="337"/>
      <c r="S361" s="337"/>
      <c r="T361" s="337"/>
      <c r="U361" s="497"/>
      <c r="V361" s="497"/>
      <c r="W361" s="497"/>
      <c r="X361" s="497"/>
      <c r="Y361" s="497"/>
      <c r="Z361" s="497"/>
      <c r="AA361" s="497"/>
      <c r="AB361" s="497"/>
      <c r="AC361" s="497"/>
      <c r="AD361" s="497"/>
      <c r="AE361" s="497"/>
      <c r="AF361" s="497"/>
      <c r="AG361" s="497"/>
      <c r="AH361" s="497"/>
      <c r="AI361" s="497"/>
      <c r="AJ361" s="497"/>
      <c r="AK361" s="497"/>
      <c r="AL361" s="497"/>
      <c r="AM361" s="497"/>
      <c r="AN361" s="497"/>
      <c r="AO361" s="497"/>
      <c r="AP361" s="497"/>
      <c r="AQ361" s="497"/>
      <c r="AR361" s="497"/>
      <c r="AS361" s="497"/>
      <c r="AT361" s="497"/>
      <c r="AU361" s="497"/>
      <c r="AV361" s="497"/>
      <c r="AW361" s="497"/>
      <c r="AX361" s="497"/>
      <c r="AY361" s="497"/>
      <c r="AZ361" s="497"/>
      <c r="BA361" s="497"/>
      <c r="BB361" s="497"/>
      <c r="BC361" s="497"/>
      <c r="BD361" s="497"/>
      <c r="BE361" s="497"/>
      <c r="BF361" s="497"/>
      <c r="BG361" s="497"/>
      <c r="BH361" s="497"/>
      <c r="BI361" s="497"/>
      <c r="BJ361" s="497"/>
      <c r="BK361" s="497"/>
      <c r="BL361" s="497"/>
      <c r="BM361" s="497"/>
      <c r="BN361" s="497"/>
      <c r="BO361" s="497"/>
      <c r="BP361" s="497"/>
      <c r="BQ361" s="497"/>
      <c r="BR361" s="497"/>
      <c r="BS361" s="497"/>
      <c r="BT361" s="497"/>
      <c r="BU361" s="497"/>
      <c r="BV361" s="497"/>
      <c r="BW361" s="497"/>
      <c r="BX361" s="497"/>
      <c r="BY361" s="497"/>
      <c r="BZ361" s="497"/>
      <c r="CA361" s="497"/>
      <c r="CB361" s="497"/>
      <c r="CC361" s="497"/>
      <c r="CD361" s="497"/>
      <c r="CE361" s="497"/>
      <c r="CF361" s="497"/>
      <c r="CG361" s="497"/>
      <c r="CH361" s="497"/>
    </row>
    <row r="362" spans="1:86" s="325" customFormat="1">
      <c r="A362" s="517"/>
      <c r="B362" s="517"/>
      <c r="C362" s="517"/>
      <c r="D362" s="517"/>
      <c r="E362" s="517"/>
      <c r="F362" s="517"/>
      <c r="G362" s="517"/>
      <c r="H362" s="639"/>
      <c r="I362" s="639"/>
      <c r="J362" s="336"/>
      <c r="K362" s="2056"/>
      <c r="L362" s="337"/>
      <c r="M362" s="335"/>
      <c r="N362" s="2057"/>
      <c r="O362" s="337"/>
      <c r="P362" s="337"/>
      <c r="Q362" s="337"/>
      <c r="R362" s="337"/>
      <c r="S362" s="337"/>
      <c r="T362" s="337"/>
      <c r="U362" s="497"/>
      <c r="V362" s="497"/>
      <c r="W362" s="497"/>
      <c r="X362" s="497"/>
      <c r="Y362" s="497"/>
      <c r="Z362" s="497"/>
      <c r="AA362" s="497"/>
      <c r="AB362" s="497"/>
      <c r="AC362" s="497"/>
      <c r="AD362" s="497"/>
      <c r="AE362" s="497"/>
      <c r="AF362" s="497"/>
      <c r="AG362" s="497"/>
      <c r="AH362" s="497"/>
      <c r="AI362" s="497"/>
      <c r="AJ362" s="497"/>
      <c r="AK362" s="497"/>
      <c r="AL362" s="497"/>
      <c r="AM362" s="497"/>
      <c r="AN362" s="497"/>
      <c r="AO362" s="497"/>
      <c r="AP362" s="497"/>
      <c r="AQ362" s="497"/>
      <c r="AR362" s="497"/>
      <c r="AS362" s="497"/>
      <c r="AT362" s="497"/>
      <c r="AU362" s="497"/>
      <c r="AV362" s="497"/>
      <c r="AW362" s="497"/>
      <c r="AX362" s="497"/>
      <c r="AY362" s="497"/>
      <c r="AZ362" s="497"/>
      <c r="BA362" s="497"/>
      <c r="BB362" s="497"/>
      <c r="BC362" s="497"/>
      <c r="BD362" s="497"/>
      <c r="BE362" s="497"/>
      <c r="BF362" s="497"/>
      <c r="BG362" s="497"/>
      <c r="BH362" s="497"/>
      <c r="BI362" s="497"/>
      <c r="BJ362" s="497"/>
      <c r="BK362" s="497"/>
      <c r="BL362" s="497"/>
      <c r="BM362" s="497"/>
      <c r="BN362" s="497"/>
      <c r="BO362" s="497"/>
      <c r="BP362" s="497"/>
      <c r="BQ362" s="497"/>
      <c r="BR362" s="497"/>
      <c r="BS362" s="497"/>
      <c r="BT362" s="497"/>
      <c r="BU362" s="497"/>
      <c r="BV362" s="497"/>
      <c r="BW362" s="497"/>
      <c r="BX362" s="497"/>
      <c r="BY362" s="497"/>
      <c r="BZ362" s="497"/>
      <c r="CA362" s="497"/>
      <c r="CB362" s="497"/>
      <c r="CC362" s="497"/>
      <c r="CD362" s="497"/>
      <c r="CE362" s="497"/>
      <c r="CF362" s="497"/>
      <c r="CG362" s="497"/>
      <c r="CH362" s="497"/>
    </row>
    <row r="363" spans="1:86" s="325" customFormat="1">
      <c r="A363" s="517"/>
      <c r="B363" s="517"/>
      <c r="C363" s="517"/>
      <c r="D363" s="517"/>
      <c r="E363" s="517"/>
      <c r="F363" s="517"/>
      <c r="G363" s="517"/>
      <c r="H363" s="639"/>
      <c r="I363" s="639"/>
      <c r="J363" s="336"/>
      <c r="K363" s="2056"/>
      <c r="L363" s="337"/>
      <c r="M363" s="335"/>
      <c r="N363" s="2057"/>
      <c r="O363" s="337"/>
      <c r="P363" s="337"/>
      <c r="Q363" s="337"/>
      <c r="R363" s="337"/>
      <c r="S363" s="337"/>
      <c r="T363" s="337"/>
      <c r="U363" s="497"/>
      <c r="V363" s="497"/>
      <c r="W363" s="497"/>
      <c r="X363" s="497"/>
      <c r="Y363" s="497"/>
      <c r="Z363" s="497"/>
      <c r="AA363" s="497"/>
      <c r="AB363" s="497"/>
      <c r="AC363" s="497"/>
      <c r="AD363" s="497"/>
      <c r="AE363" s="497"/>
      <c r="AF363" s="497"/>
      <c r="AG363" s="497"/>
      <c r="AH363" s="497"/>
      <c r="AI363" s="497"/>
      <c r="AJ363" s="497"/>
      <c r="AK363" s="497"/>
      <c r="AL363" s="497"/>
      <c r="AM363" s="497"/>
      <c r="AN363" s="497"/>
      <c r="AO363" s="497"/>
      <c r="AP363" s="497"/>
      <c r="AQ363" s="497"/>
      <c r="AR363" s="497"/>
      <c r="AS363" s="497"/>
      <c r="AT363" s="497"/>
      <c r="AU363" s="497"/>
      <c r="AV363" s="497"/>
      <c r="AW363" s="497"/>
      <c r="AX363" s="497"/>
      <c r="AY363" s="497"/>
      <c r="AZ363" s="497"/>
      <c r="BA363" s="497"/>
      <c r="BB363" s="497"/>
      <c r="BC363" s="497"/>
      <c r="BD363" s="497"/>
      <c r="BE363" s="497"/>
      <c r="BF363" s="497"/>
      <c r="BG363" s="497"/>
      <c r="BH363" s="497"/>
      <c r="BI363" s="497"/>
      <c r="BJ363" s="497"/>
      <c r="BK363" s="497"/>
      <c r="BL363" s="497"/>
      <c r="BM363" s="497"/>
      <c r="BN363" s="497"/>
      <c r="BO363" s="497"/>
      <c r="BP363" s="497"/>
      <c r="BQ363" s="497"/>
      <c r="BR363" s="497"/>
      <c r="BS363" s="497"/>
      <c r="BT363" s="497"/>
      <c r="BU363" s="497"/>
      <c r="BV363" s="497"/>
      <c r="BW363" s="497"/>
      <c r="BX363" s="497"/>
      <c r="BY363" s="497"/>
      <c r="BZ363" s="497"/>
      <c r="CA363" s="497"/>
      <c r="CB363" s="497"/>
      <c r="CC363" s="497"/>
      <c r="CD363" s="497"/>
      <c r="CE363" s="497"/>
      <c r="CF363" s="497"/>
      <c r="CG363" s="497"/>
      <c r="CH363" s="497"/>
    </row>
    <row r="364" spans="1:86" s="325" customFormat="1">
      <c r="A364" s="517"/>
      <c r="B364" s="517"/>
      <c r="C364" s="517"/>
      <c r="D364" s="517"/>
      <c r="E364" s="517"/>
      <c r="F364" s="517"/>
      <c r="G364" s="517"/>
      <c r="H364" s="639"/>
      <c r="I364" s="639"/>
      <c r="J364" s="336"/>
      <c r="K364" s="2056"/>
      <c r="L364" s="337"/>
      <c r="M364" s="335"/>
      <c r="N364" s="2057"/>
      <c r="O364" s="337"/>
      <c r="P364" s="337"/>
      <c r="Q364" s="337"/>
      <c r="R364" s="337"/>
      <c r="S364" s="337"/>
      <c r="T364" s="337"/>
      <c r="U364" s="497"/>
      <c r="V364" s="497"/>
      <c r="W364" s="497"/>
      <c r="X364" s="497"/>
      <c r="Y364" s="497"/>
      <c r="Z364" s="497"/>
      <c r="AA364" s="497"/>
      <c r="AB364" s="497"/>
      <c r="AC364" s="497"/>
      <c r="AD364" s="497"/>
      <c r="AE364" s="497"/>
      <c r="AF364" s="497"/>
      <c r="AG364" s="497"/>
      <c r="AH364" s="497"/>
      <c r="AI364" s="497"/>
      <c r="AJ364" s="497"/>
      <c r="AK364" s="497"/>
      <c r="AL364" s="497"/>
      <c r="AM364" s="497"/>
      <c r="AN364" s="497"/>
      <c r="AO364" s="497"/>
      <c r="AP364" s="497"/>
      <c r="AQ364" s="497"/>
      <c r="AR364" s="497"/>
      <c r="AS364" s="497"/>
      <c r="AT364" s="497"/>
      <c r="AU364" s="497"/>
      <c r="AV364" s="497"/>
      <c r="AW364" s="497"/>
      <c r="AX364" s="497"/>
      <c r="AY364" s="497"/>
      <c r="AZ364" s="497"/>
      <c r="BA364" s="497"/>
      <c r="BB364" s="497"/>
      <c r="BC364" s="497"/>
      <c r="BD364" s="497"/>
      <c r="BE364" s="497"/>
      <c r="BF364" s="497"/>
      <c r="BG364" s="497"/>
      <c r="BH364" s="497"/>
      <c r="BI364" s="497"/>
      <c r="BJ364" s="497"/>
      <c r="BK364" s="497"/>
      <c r="BL364" s="497"/>
      <c r="BM364" s="497"/>
      <c r="BN364" s="497"/>
      <c r="BO364" s="497"/>
      <c r="BP364" s="497"/>
      <c r="BQ364" s="497"/>
      <c r="BR364" s="497"/>
      <c r="BS364" s="497"/>
      <c r="BT364" s="497"/>
      <c r="BU364" s="497"/>
      <c r="BV364" s="497"/>
      <c r="BW364" s="497"/>
      <c r="BX364" s="497"/>
      <c r="BY364" s="497"/>
      <c r="BZ364" s="497"/>
      <c r="CA364" s="497"/>
      <c r="CB364" s="497"/>
      <c r="CC364" s="497"/>
      <c r="CD364" s="497"/>
      <c r="CE364" s="497"/>
      <c r="CF364" s="497"/>
      <c r="CG364" s="497"/>
      <c r="CH364" s="497"/>
    </row>
    <row r="365" spans="1:86" s="325" customFormat="1">
      <c r="A365" s="517"/>
      <c r="B365" s="517"/>
      <c r="C365" s="517"/>
      <c r="D365" s="517"/>
      <c r="E365" s="517"/>
      <c r="F365" s="517"/>
      <c r="G365" s="517"/>
      <c r="H365" s="639"/>
      <c r="I365" s="639"/>
      <c r="J365" s="336"/>
      <c r="K365" s="2056"/>
      <c r="L365" s="337"/>
      <c r="M365" s="335"/>
      <c r="N365" s="2057"/>
      <c r="O365" s="337"/>
      <c r="P365" s="337"/>
      <c r="Q365" s="337"/>
      <c r="R365" s="337"/>
      <c r="S365" s="337"/>
      <c r="T365" s="337"/>
      <c r="U365" s="497"/>
      <c r="V365" s="497"/>
      <c r="W365" s="497"/>
      <c r="X365" s="497"/>
      <c r="Y365" s="497"/>
      <c r="Z365" s="497"/>
      <c r="AA365" s="497"/>
      <c r="AB365" s="497"/>
      <c r="AC365" s="497"/>
      <c r="AD365" s="497"/>
      <c r="AE365" s="497"/>
      <c r="AF365" s="497"/>
      <c r="AG365" s="497"/>
      <c r="AH365" s="497"/>
      <c r="AI365" s="497"/>
      <c r="AJ365" s="497"/>
      <c r="AK365" s="497"/>
      <c r="AL365" s="497"/>
      <c r="AM365" s="497"/>
      <c r="AN365" s="497"/>
      <c r="AO365" s="497"/>
      <c r="AP365" s="497"/>
      <c r="AQ365" s="497"/>
      <c r="AR365" s="497"/>
      <c r="AS365" s="497"/>
      <c r="AT365" s="497"/>
      <c r="AU365" s="497"/>
      <c r="AV365" s="497"/>
      <c r="AW365" s="497"/>
      <c r="AX365" s="497"/>
      <c r="AY365" s="497"/>
      <c r="AZ365" s="497"/>
      <c r="BA365" s="497"/>
      <c r="BB365" s="497"/>
      <c r="BC365" s="497"/>
      <c r="BD365" s="497"/>
      <c r="BE365" s="497"/>
      <c r="BF365" s="497"/>
      <c r="BG365" s="497"/>
      <c r="BH365" s="497"/>
      <c r="BI365" s="497"/>
      <c r="BJ365" s="497"/>
      <c r="BK365" s="497"/>
      <c r="BL365" s="497"/>
      <c r="BM365" s="497"/>
      <c r="BN365" s="497"/>
      <c r="BO365" s="497"/>
      <c r="BP365" s="497"/>
      <c r="BQ365" s="497"/>
      <c r="BR365" s="497"/>
      <c r="BS365" s="497"/>
      <c r="BT365" s="497"/>
      <c r="BU365" s="497"/>
      <c r="BV365" s="497"/>
      <c r="BW365" s="497"/>
      <c r="BX365" s="497"/>
      <c r="BY365" s="497"/>
      <c r="BZ365" s="497"/>
      <c r="CA365" s="497"/>
      <c r="CB365" s="497"/>
      <c r="CC365" s="497"/>
      <c r="CD365" s="497"/>
      <c r="CE365" s="497"/>
      <c r="CF365" s="497"/>
      <c r="CG365" s="497"/>
      <c r="CH365" s="497"/>
    </row>
    <row r="366" spans="1:86" s="325" customFormat="1">
      <c r="A366" s="517"/>
      <c r="B366" s="517"/>
      <c r="C366" s="517"/>
      <c r="D366" s="517"/>
      <c r="E366" s="517"/>
      <c r="F366" s="517"/>
      <c r="G366" s="517"/>
      <c r="H366" s="639"/>
      <c r="I366" s="639"/>
      <c r="J366" s="336"/>
      <c r="K366" s="2056"/>
      <c r="L366" s="337"/>
      <c r="M366" s="335"/>
      <c r="N366" s="2057"/>
      <c r="O366" s="337"/>
      <c r="P366" s="337"/>
      <c r="Q366" s="337"/>
      <c r="R366" s="337"/>
      <c r="S366" s="337"/>
      <c r="T366" s="337"/>
      <c r="U366" s="497"/>
      <c r="V366" s="497"/>
      <c r="W366" s="497"/>
      <c r="X366" s="497"/>
      <c r="Y366" s="497"/>
      <c r="Z366" s="497"/>
      <c r="AA366" s="497"/>
      <c r="AB366" s="497"/>
      <c r="AC366" s="497"/>
      <c r="AD366" s="497"/>
      <c r="AE366" s="497"/>
      <c r="AF366" s="497"/>
      <c r="AG366" s="497"/>
      <c r="AH366" s="497"/>
      <c r="AI366" s="497"/>
      <c r="AJ366" s="497"/>
      <c r="AK366" s="497"/>
      <c r="AL366" s="497"/>
      <c r="AM366" s="497"/>
      <c r="AN366" s="497"/>
      <c r="AO366" s="497"/>
      <c r="AP366" s="497"/>
      <c r="AQ366" s="497"/>
      <c r="AR366" s="497"/>
      <c r="AS366" s="497"/>
      <c r="AT366" s="497"/>
      <c r="AU366" s="497"/>
      <c r="AV366" s="497"/>
      <c r="AW366" s="497"/>
      <c r="AX366" s="497"/>
      <c r="AY366" s="497"/>
      <c r="AZ366" s="497"/>
      <c r="BA366" s="497"/>
      <c r="BB366" s="497"/>
      <c r="BC366" s="497"/>
      <c r="BD366" s="497"/>
      <c r="BE366" s="497"/>
      <c r="BF366" s="497"/>
      <c r="BG366" s="497"/>
      <c r="BH366" s="497"/>
      <c r="BI366" s="497"/>
      <c r="BJ366" s="497"/>
      <c r="BK366" s="497"/>
      <c r="BL366" s="497"/>
      <c r="BM366" s="497"/>
      <c r="BN366" s="497"/>
      <c r="BO366" s="497"/>
      <c r="BP366" s="497"/>
      <c r="BQ366" s="497"/>
      <c r="BR366" s="497"/>
      <c r="BS366" s="497"/>
      <c r="BT366" s="497"/>
      <c r="BU366" s="497"/>
      <c r="BV366" s="497"/>
      <c r="BW366" s="497"/>
      <c r="BX366" s="497"/>
      <c r="BY366" s="497"/>
      <c r="BZ366" s="497"/>
      <c r="CA366" s="497"/>
      <c r="CB366" s="497"/>
      <c r="CC366" s="497"/>
      <c r="CD366" s="497"/>
      <c r="CE366" s="497"/>
      <c r="CF366" s="497"/>
      <c r="CG366" s="497"/>
      <c r="CH366" s="497"/>
    </row>
    <row r="367" spans="1:86" s="325" customFormat="1">
      <c r="A367" s="517"/>
      <c r="B367" s="517"/>
      <c r="C367" s="517"/>
      <c r="D367" s="517"/>
      <c r="E367" s="517"/>
      <c r="F367" s="517"/>
      <c r="G367" s="517"/>
      <c r="H367" s="639"/>
      <c r="I367" s="639"/>
      <c r="J367" s="336"/>
      <c r="K367" s="2056"/>
      <c r="L367" s="337"/>
      <c r="M367" s="335"/>
      <c r="N367" s="2057"/>
      <c r="O367" s="337"/>
      <c r="P367" s="337"/>
      <c r="Q367" s="337"/>
      <c r="R367" s="337"/>
      <c r="S367" s="337"/>
      <c r="T367" s="337"/>
      <c r="U367" s="497"/>
      <c r="V367" s="497"/>
      <c r="W367" s="497"/>
      <c r="X367" s="497"/>
      <c r="Y367" s="497"/>
      <c r="Z367" s="497"/>
      <c r="AA367" s="497"/>
      <c r="AB367" s="497"/>
      <c r="AC367" s="497"/>
      <c r="AD367" s="497"/>
      <c r="AE367" s="497"/>
      <c r="AF367" s="497"/>
      <c r="AG367" s="497"/>
      <c r="AH367" s="497"/>
      <c r="AI367" s="497"/>
      <c r="AJ367" s="497"/>
      <c r="AK367" s="497"/>
      <c r="AL367" s="497"/>
      <c r="AM367" s="497"/>
      <c r="AN367" s="497"/>
      <c r="AO367" s="497"/>
      <c r="AP367" s="497"/>
      <c r="AQ367" s="497"/>
      <c r="AR367" s="497"/>
      <c r="AS367" s="497"/>
      <c r="AT367" s="497"/>
      <c r="AU367" s="497"/>
      <c r="AV367" s="497"/>
      <c r="AW367" s="497"/>
      <c r="AX367" s="497"/>
      <c r="AY367" s="497"/>
      <c r="AZ367" s="497"/>
      <c r="BA367" s="497"/>
      <c r="BB367" s="497"/>
      <c r="BC367" s="497"/>
      <c r="BD367" s="497"/>
      <c r="BE367" s="497"/>
      <c r="BF367" s="497"/>
      <c r="BG367" s="497"/>
      <c r="BH367" s="497"/>
      <c r="BI367" s="497"/>
      <c r="BJ367" s="497"/>
      <c r="BK367" s="497"/>
      <c r="BL367" s="497"/>
      <c r="BM367" s="497"/>
      <c r="BN367" s="497"/>
      <c r="BO367" s="497"/>
      <c r="BP367" s="497"/>
      <c r="BQ367" s="497"/>
      <c r="BR367" s="497"/>
      <c r="BS367" s="497"/>
      <c r="BT367" s="497"/>
      <c r="BU367" s="497"/>
      <c r="BV367" s="497"/>
      <c r="BW367" s="497"/>
      <c r="BX367" s="497"/>
      <c r="BY367" s="497"/>
      <c r="BZ367" s="497"/>
      <c r="CA367" s="497"/>
      <c r="CB367" s="497"/>
      <c r="CC367" s="497"/>
      <c r="CD367" s="497"/>
      <c r="CE367" s="497"/>
      <c r="CF367" s="497"/>
      <c r="CG367" s="497"/>
      <c r="CH367" s="497"/>
    </row>
    <row r="368" spans="1:86" s="325" customFormat="1">
      <c r="A368" s="517"/>
      <c r="B368" s="517"/>
      <c r="C368" s="517"/>
      <c r="D368" s="517"/>
      <c r="E368" s="517"/>
      <c r="F368" s="517"/>
      <c r="G368" s="517"/>
      <c r="H368" s="639"/>
      <c r="I368" s="639"/>
      <c r="J368" s="336"/>
      <c r="K368" s="2056"/>
      <c r="L368" s="337"/>
      <c r="M368" s="335"/>
      <c r="N368" s="2057"/>
      <c r="O368" s="337"/>
      <c r="P368" s="337"/>
      <c r="Q368" s="337"/>
      <c r="R368" s="337"/>
      <c r="S368" s="337"/>
      <c r="T368" s="337"/>
      <c r="U368" s="497"/>
      <c r="V368" s="497"/>
      <c r="W368" s="497"/>
      <c r="X368" s="497"/>
      <c r="Y368" s="497"/>
      <c r="Z368" s="497"/>
      <c r="AA368" s="497"/>
      <c r="AB368" s="497"/>
      <c r="AC368" s="497"/>
      <c r="AD368" s="497"/>
      <c r="AE368" s="497"/>
      <c r="AF368" s="497"/>
      <c r="AG368" s="497"/>
      <c r="AH368" s="497"/>
      <c r="AI368" s="497"/>
      <c r="AJ368" s="497"/>
      <c r="AK368" s="497"/>
      <c r="AL368" s="497"/>
      <c r="AM368" s="497"/>
      <c r="AN368" s="497"/>
      <c r="AO368" s="497"/>
      <c r="AP368" s="497"/>
      <c r="AQ368" s="497"/>
      <c r="AR368" s="497"/>
      <c r="AS368" s="497"/>
      <c r="AT368" s="497"/>
      <c r="AU368" s="497"/>
      <c r="AV368" s="497"/>
      <c r="AW368" s="497"/>
      <c r="AX368" s="497"/>
      <c r="AY368" s="497"/>
      <c r="AZ368" s="497"/>
      <c r="BA368" s="497"/>
      <c r="BB368" s="497"/>
      <c r="BC368" s="497"/>
      <c r="BD368" s="497"/>
      <c r="BE368" s="497"/>
      <c r="BF368" s="497"/>
      <c r="BG368" s="497"/>
      <c r="BH368" s="497"/>
      <c r="BI368" s="497"/>
      <c r="BJ368" s="497"/>
      <c r="BK368" s="497"/>
      <c r="BL368" s="497"/>
      <c r="BM368" s="497"/>
      <c r="BN368" s="497"/>
      <c r="BO368" s="497"/>
      <c r="BP368" s="497"/>
      <c r="BQ368" s="497"/>
      <c r="BR368" s="497"/>
      <c r="BS368" s="497"/>
      <c r="BT368" s="497"/>
      <c r="BU368" s="497"/>
      <c r="BV368" s="497"/>
      <c r="BW368" s="497"/>
      <c r="BX368" s="497"/>
      <c r="BY368" s="497"/>
      <c r="BZ368" s="497"/>
      <c r="CA368" s="497"/>
      <c r="CB368" s="497"/>
      <c r="CC368" s="497"/>
      <c r="CD368" s="497"/>
      <c r="CE368" s="497"/>
      <c r="CF368" s="497"/>
      <c r="CG368" s="497"/>
      <c r="CH368" s="497"/>
    </row>
    <row r="369" spans="1:86" s="325" customFormat="1">
      <c r="A369" s="517"/>
      <c r="B369" s="517"/>
      <c r="C369" s="517"/>
      <c r="D369" s="517"/>
      <c r="E369" s="517"/>
      <c r="F369" s="517"/>
      <c r="G369" s="517"/>
      <c r="H369" s="639"/>
      <c r="I369" s="639"/>
      <c r="J369" s="336"/>
      <c r="K369" s="2056"/>
      <c r="L369" s="337"/>
      <c r="M369" s="335"/>
      <c r="N369" s="2057"/>
      <c r="O369" s="337"/>
      <c r="P369" s="337"/>
      <c r="Q369" s="337"/>
      <c r="R369" s="337"/>
      <c r="S369" s="337"/>
      <c r="T369" s="337"/>
      <c r="U369" s="497"/>
      <c r="V369" s="497"/>
      <c r="W369" s="497"/>
      <c r="X369" s="497"/>
      <c r="Y369" s="497"/>
      <c r="Z369" s="497"/>
      <c r="AA369" s="497"/>
      <c r="AB369" s="497"/>
      <c r="AC369" s="497"/>
      <c r="AD369" s="497"/>
      <c r="AE369" s="497"/>
      <c r="AF369" s="497"/>
      <c r="AG369" s="497"/>
      <c r="AH369" s="497"/>
      <c r="AI369" s="497"/>
      <c r="AJ369" s="497"/>
      <c r="AK369" s="497"/>
      <c r="AL369" s="497"/>
      <c r="AM369" s="497"/>
      <c r="AN369" s="497"/>
      <c r="AO369" s="497"/>
      <c r="AP369" s="497"/>
      <c r="AQ369" s="497"/>
      <c r="AR369" s="497"/>
      <c r="AS369" s="497"/>
      <c r="AT369" s="497"/>
      <c r="AU369" s="497"/>
      <c r="AV369" s="497"/>
      <c r="AW369" s="497"/>
      <c r="AX369" s="497"/>
      <c r="AY369" s="497"/>
      <c r="AZ369" s="497"/>
      <c r="BA369" s="497"/>
      <c r="BB369" s="497"/>
      <c r="BC369" s="497"/>
      <c r="BD369" s="497"/>
      <c r="BE369" s="497"/>
      <c r="BF369" s="497"/>
      <c r="BG369" s="497"/>
      <c r="BH369" s="497"/>
      <c r="BI369" s="497"/>
      <c r="BJ369" s="497"/>
      <c r="BK369" s="497"/>
      <c r="BL369" s="497"/>
      <c r="BM369" s="497"/>
      <c r="BN369" s="497"/>
      <c r="BO369" s="497"/>
      <c r="BP369" s="497"/>
      <c r="BQ369" s="497"/>
      <c r="BR369" s="497"/>
      <c r="BS369" s="497"/>
      <c r="BT369" s="497"/>
      <c r="BU369" s="497"/>
      <c r="BV369" s="497"/>
      <c r="BW369" s="497"/>
      <c r="BX369" s="497"/>
      <c r="BY369" s="497"/>
      <c r="BZ369" s="497"/>
      <c r="CA369" s="497"/>
      <c r="CB369" s="497"/>
      <c r="CC369" s="497"/>
      <c r="CD369" s="497"/>
      <c r="CE369" s="497"/>
      <c r="CF369" s="497"/>
      <c r="CG369" s="497"/>
      <c r="CH369" s="497"/>
    </row>
    <row r="370" spans="1:86" s="325" customFormat="1">
      <c r="A370" s="517"/>
      <c r="B370" s="517"/>
      <c r="C370" s="517"/>
      <c r="D370" s="517"/>
      <c r="E370" s="517"/>
      <c r="F370" s="517"/>
      <c r="G370" s="517"/>
      <c r="H370" s="639"/>
      <c r="I370" s="639"/>
      <c r="J370" s="336"/>
      <c r="K370" s="2056"/>
      <c r="L370" s="337"/>
      <c r="M370" s="335"/>
      <c r="N370" s="2057"/>
      <c r="O370" s="337"/>
      <c r="P370" s="337"/>
      <c r="Q370" s="337"/>
      <c r="R370" s="337"/>
      <c r="S370" s="337"/>
      <c r="T370" s="337"/>
      <c r="U370" s="497"/>
      <c r="V370" s="497"/>
      <c r="W370" s="497"/>
      <c r="X370" s="497"/>
      <c r="Y370" s="497"/>
      <c r="Z370" s="497"/>
      <c r="AA370" s="497"/>
      <c r="AB370" s="497"/>
      <c r="AC370" s="497"/>
      <c r="AD370" s="497"/>
      <c r="AE370" s="497"/>
      <c r="AF370" s="497"/>
      <c r="AG370" s="497"/>
      <c r="AH370" s="497"/>
      <c r="AI370" s="497"/>
      <c r="AJ370" s="497"/>
      <c r="AK370" s="497"/>
      <c r="AL370" s="497"/>
      <c r="AM370" s="497"/>
      <c r="AN370" s="497"/>
      <c r="AO370" s="497"/>
      <c r="AP370" s="497"/>
      <c r="AQ370" s="497"/>
      <c r="AR370" s="497"/>
      <c r="AS370" s="497"/>
      <c r="AT370" s="497"/>
      <c r="AU370" s="497"/>
      <c r="AV370" s="497"/>
      <c r="AW370" s="497"/>
      <c r="AX370" s="497"/>
      <c r="AY370" s="497"/>
      <c r="AZ370" s="497"/>
      <c r="BA370" s="497"/>
      <c r="BB370" s="497"/>
      <c r="BC370" s="497"/>
      <c r="BD370" s="497"/>
      <c r="BE370" s="497"/>
      <c r="BF370" s="497"/>
      <c r="BG370" s="497"/>
      <c r="BH370" s="497"/>
      <c r="BI370" s="497"/>
      <c r="BJ370" s="497"/>
      <c r="BK370" s="497"/>
      <c r="BL370" s="497"/>
      <c r="BM370" s="497"/>
      <c r="BN370" s="497"/>
      <c r="BO370" s="497"/>
      <c r="BP370" s="497"/>
      <c r="BQ370" s="497"/>
      <c r="BR370" s="497"/>
      <c r="BS370" s="497"/>
      <c r="BT370" s="497"/>
      <c r="BU370" s="497"/>
      <c r="BV370" s="497"/>
      <c r="BW370" s="497"/>
      <c r="BX370" s="497"/>
      <c r="BY370" s="497"/>
      <c r="BZ370" s="497"/>
      <c r="CA370" s="497"/>
      <c r="CB370" s="497"/>
      <c r="CC370" s="497"/>
      <c r="CD370" s="497"/>
      <c r="CE370" s="497"/>
      <c r="CF370" s="497"/>
      <c r="CG370" s="497"/>
      <c r="CH370" s="497"/>
    </row>
    <row r="371" spans="1:86" s="325" customFormat="1">
      <c r="A371" s="517"/>
      <c r="B371" s="517"/>
      <c r="C371" s="517"/>
      <c r="D371" s="517"/>
      <c r="E371" s="517"/>
      <c r="F371" s="517"/>
      <c r="G371" s="517"/>
      <c r="H371" s="639"/>
      <c r="I371" s="639"/>
      <c r="J371" s="336"/>
      <c r="K371" s="2056"/>
      <c r="L371" s="337"/>
      <c r="M371" s="335"/>
      <c r="N371" s="2057"/>
      <c r="O371" s="337"/>
      <c r="P371" s="337"/>
      <c r="Q371" s="337"/>
      <c r="R371" s="337"/>
      <c r="S371" s="337"/>
      <c r="T371" s="337"/>
      <c r="U371" s="497"/>
      <c r="V371" s="497"/>
      <c r="W371" s="497"/>
      <c r="X371" s="497"/>
      <c r="Y371" s="497"/>
      <c r="Z371" s="497"/>
      <c r="AA371" s="497"/>
      <c r="AB371" s="497"/>
      <c r="AC371" s="497"/>
      <c r="AD371" s="497"/>
      <c r="AE371" s="497"/>
      <c r="AF371" s="497"/>
      <c r="AG371" s="497"/>
      <c r="AH371" s="497"/>
      <c r="AI371" s="497"/>
      <c r="AJ371" s="497"/>
      <c r="AK371" s="497"/>
      <c r="AL371" s="497"/>
      <c r="AM371" s="497"/>
      <c r="AN371" s="497"/>
      <c r="AO371" s="497"/>
      <c r="AP371" s="497"/>
      <c r="AQ371" s="497"/>
      <c r="AR371" s="497"/>
      <c r="AS371" s="497"/>
      <c r="AT371" s="497"/>
      <c r="AU371" s="497"/>
      <c r="AV371" s="497"/>
      <c r="AW371" s="497"/>
      <c r="AX371" s="497"/>
      <c r="AY371" s="497"/>
      <c r="AZ371" s="497"/>
      <c r="BA371" s="497"/>
      <c r="BB371" s="497"/>
      <c r="BC371" s="497"/>
      <c r="BD371" s="497"/>
      <c r="BE371" s="497"/>
      <c r="BF371" s="497"/>
      <c r="BG371" s="497"/>
      <c r="BH371" s="497"/>
      <c r="BI371" s="497"/>
      <c r="BJ371" s="497"/>
      <c r="BK371" s="497"/>
      <c r="BL371" s="497"/>
      <c r="BM371" s="497"/>
      <c r="BN371" s="497"/>
      <c r="BO371" s="497"/>
      <c r="BP371" s="497"/>
      <c r="BQ371" s="497"/>
      <c r="BR371" s="497"/>
      <c r="BS371" s="497"/>
      <c r="BT371" s="497"/>
      <c r="BU371" s="497"/>
      <c r="BV371" s="497"/>
      <c r="BW371" s="497"/>
      <c r="BX371" s="497"/>
      <c r="BY371" s="497"/>
      <c r="BZ371" s="497"/>
      <c r="CA371" s="497"/>
      <c r="CB371" s="497"/>
      <c r="CC371" s="497"/>
      <c r="CD371" s="497"/>
      <c r="CE371" s="497"/>
      <c r="CF371" s="497"/>
      <c r="CG371" s="497"/>
      <c r="CH371" s="497"/>
    </row>
    <row r="372" spans="1:86" s="325" customFormat="1">
      <c r="A372" s="517"/>
      <c r="B372" s="517"/>
      <c r="C372" s="517"/>
      <c r="D372" s="517"/>
      <c r="E372" s="517"/>
      <c r="F372" s="517"/>
      <c r="G372" s="517"/>
      <c r="H372" s="639"/>
      <c r="I372" s="639"/>
      <c r="J372" s="336"/>
      <c r="K372" s="2056"/>
      <c r="L372" s="337"/>
      <c r="M372" s="335"/>
      <c r="N372" s="2057"/>
      <c r="O372" s="337"/>
      <c r="P372" s="337"/>
      <c r="Q372" s="337"/>
      <c r="R372" s="337"/>
      <c r="S372" s="337"/>
      <c r="T372" s="337"/>
      <c r="U372" s="497"/>
      <c r="V372" s="497"/>
      <c r="W372" s="497"/>
      <c r="X372" s="497"/>
      <c r="Y372" s="497"/>
      <c r="Z372" s="497"/>
      <c r="AA372" s="497"/>
      <c r="AB372" s="497"/>
      <c r="AC372" s="497"/>
      <c r="AD372" s="497"/>
      <c r="AE372" s="497"/>
      <c r="AF372" s="497"/>
      <c r="AG372" s="497"/>
      <c r="AH372" s="497"/>
      <c r="AI372" s="497"/>
      <c r="AJ372" s="497"/>
      <c r="AK372" s="497"/>
      <c r="AL372" s="497"/>
      <c r="AM372" s="497"/>
      <c r="AN372" s="497"/>
      <c r="AO372" s="497"/>
      <c r="AP372" s="497"/>
      <c r="AQ372" s="497"/>
      <c r="AR372" s="497"/>
      <c r="AS372" s="497"/>
      <c r="AT372" s="497"/>
      <c r="AU372" s="497"/>
      <c r="AV372" s="497"/>
      <c r="AW372" s="497"/>
      <c r="AX372" s="497"/>
      <c r="AY372" s="497"/>
      <c r="AZ372" s="497"/>
      <c r="BA372" s="497"/>
      <c r="BB372" s="497"/>
      <c r="BC372" s="497"/>
      <c r="BD372" s="497"/>
      <c r="BE372" s="497"/>
      <c r="BF372" s="497"/>
      <c r="BG372" s="497"/>
      <c r="BH372" s="497"/>
      <c r="BI372" s="497"/>
      <c r="BJ372" s="497"/>
      <c r="BK372" s="497"/>
      <c r="BL372" s="497"/>
      <c r="BM372" s="497"/>
      <c r="BN372" s="497"/>
      <c r="BO372" s="497"/>
      <c r="BP372" s="497"/>
      <c r="BQ372" s="497"/>
      <c r="BR372" s="497"/>
      <c r="BS372" s="497"/>
      <c r="BT372" s="497"/>
      <c r="BU372" s="497"/>
      <c r="BV372" s="497"/>
      <c r="BW372" s="497"/>
      <c r="BX372" s="497"/>
      <c r="BY372" s="497"/>
      <c r="BZ372" s="497"/>
      <c r="CA372" s="497"/>
      <c r="CB372" s="497"/>
      <c r="CC372" s="497"/>
      <c r="CD372" s="497"/>
      <c r="CE372" s="497"/>
      <c r="CF372" s="497"/>
      <c r="CG372" s="497"/>
      <c r="CH372" s="497"/>
    </row>
    <row r="373" spans="1:86" s="325" customFormat="1">
      <c r="A373" s="517"/>
      <c r="B373" s="517"/>
      <c r="C373" s="517"/>
      <c r="D373" s="517"/>
      <c r="E373" s="517"/>
      <c r="F373" s="517"/>
      <c r="G373" s="517"/>
      <c r="H373" s="639"/>
      <c r="I373" s="639"/>
      <c r="J373" s="336"/>
      <c r="K373" s="2056"/>
      <c r="L373" s="337"/>
      <c r="M373" s="335"/>
      <c r="N373" s="2057"/>
      <c r="O373" s="337"/>
      <c r="P373" s="337"/>
      <c r="Q373" s="337"/>
      <c r="R373" s="337"/>
      <c r="S373" s="337"/>
      <c r="T373" s="337"/>
      <c r="U373" s="497"/>
      <c r="V373" s="497"/>
      <c r="W373" s="497"/>
      <c r="X373" s="497"/>
      <c r="Y373" s="497"/>
      <c r="Z373" s="497"/>
      <c r="AA373" s="497"/>
      <c r="AB373" s="497"/>
      <c r="AC373" s="497"/>
      <c r="AD373" s="497"/>
      <c r="AE373" s="497"/>
      <c r="AF373" s="497"/>
      <c r="AG373" s="497"/>
      <c r="AH373" s="497"/>
      <c r="AI373" s="497"/>
      <c r="AJ373" s="497"/>
      <c r="AK373" s="497"/>
      <c r="AL373" s="497"/>
      <c r="AM373" s="497"/>
      <c r="AN373" s="497"/>
      <c r="AO373" s="497"/>
      <c r="AP373" s="497"/>
      <c r="AQ373" s="497"/>
      <c r="AR373" s="497"/>
      <c r="AS373" s="497"/>
      <c r="AT373" s="497"/>
      <c r="AU373" s="497"/>
      <c r="AV373" s="497"/>
      <c r="AW373" s="497"/>
      <c r="AX373" s="497"/>
      <c r="AY373" s="497"/>
      <c r="AZ373" s="497"/>
      <c r="BA373" s="497"/>
      <c r="BB373" s="497"/>
      <c r="BC373" s="497"/>
      <c r="BD373" s="497"/>
      <c r="BE373" s="497"/>
      <c r="BF373" s="497"/>
      <c r="BG373" s="497"/>
      <c r="BH373" s="497"/>
      <c r="BI373" s="497"/>
      <c r="BJ373" s="497"/>
      <c r="BK373" s="497"/>
      <c r="BL373" s="497"/>
      <c r="BM373" s="497"/>
      <c r="BN373" s="497"/>
      <c r="BO373" s="497"/>
      <c r="BP373" s="497"/>
      <c r="BQ373" s="497"/>
      <c r="BR373" s="497"/>
      <c r="BS373" s="497"/>
      <c r="BT373" s="497"/>
      <c r="BU373" s="497"/>
      <c r="BV373" s="497"/>
      <c r="BW373" s="497"/>
      <c r="BX373" s="497"/>
      <c r="BY373" s="497"/>
      <c r="BZ373" s="497"/>
      <c r="CA373" s="497"/>
      <c r="CB373" s="497"/>
      <c r="CC373" s="497"/>
      <c r="CD373" s="497"/>
      <c r="CE373" s="497"/>
      <c r="CF373" s="497"/>
      <c r="CG373" s="497"/>
      <c r="CH373" s="497"/>
    </row>
    <row r="374" spans="1:86" s="325" customFormat="1">
      <c r="A374" s="517"/>
      <c r="B374" s="517"/>
      <c r="C374" s="517"/>
      <c r="D374" s="517"/>
      <c r="E374" s="517"/>
      <c r="F374" s="517"/>
      <c r="G374" s="517"/>
      <c r="H374" s="639"/>
      <c r="I374" s="639"/>
      <c r="J374" s="336"/>
      <c r="K374" s="2056"/>
      <c r="L374" s="337"/>
      <c r="M374" s="335"/>
      <c r="N374" s="2057"/>
      <c r="O374" s="337"/>
      <c r="P374" s="337"/>
      <c r="Q374" s="337"/>
      <c r="R374" s="337"/>
      <c r="S374" s="337"/>
      <c r="T374" s="337"/>
      <c r="U374" s="497"/>
      <c r="V374" s="497"/>
      <c r="W374" s="497"/>
      <c r="X374" s="497"/>
      <c r="Y374" s="497"/>
      <c r="Z374" s="497"/>
      <c r="AA374" s="497"/>
      <c r="AB374" s="497"/>
      <c r="AC374" s="497"/>
      <c r="AD374" s="497"/>
      <c r="AE374" s="497"/>
      <c r="AF374" s="497"/>
      <c r="AG374" s="497"/>
      <c r="AH374" s="497"/>
      <c r="AI374" s="497"/>
      <c r="AJ374" s="497"/>
      <c r="AK374" s="497"/>
      <c r="AL374" s="497"/>
      <c r="AM374" s="497"/>
      <c r="AN374" s="497"/>
      <c r="AO374" s="497"/>
      <c r="AP374" s="497"/>
      <c r="AQ374" s="497"/>
      <c r="AR374" s="497"/>
      <c r="AS374" s="497"/>
      <c r="AT374" s="497"/>
      <c r="AU374" s="497"/>
      <c r="AV374" s="497"/>
      <c r="AW374" s="497"/>
      <c r="AX374" s="497"/>
      <c r="AY374" s="497"/>
      <c r="AZ374" s="497"/>
      <c r="BA374" s="497"/>
      <c r="BB374" s="497"/>
      <c r="BC374" s="497"/>
      <c r="BD374" s="497"/>
      <c r="BE374" s="497"/>
      <c r="BF374" s="497"/>
      <c r="BG374" s="497"/>
      <c r="BH374" s="497"/>
      <c r="BI374" s="497"/>
      <c r="BJ374" s="497"/>
      <c r="BK374" s="497"/>
      <c r="BL374" s="497"/>
      <c r="BM374" s="497"/>
      <c r="BN374" s="497"/>
      <c r="BO374" s="497"/>
      <c r="BP374" s="497"/>
      <c r="BQ374" s="497"/>
      <c r="BR374" s="497"/>
      <c r="BS374" s="497"/>
      <c r="BT374" s="497"/>
      <c r="BU374" s="497"/>
      <c r="BV374" s="497"/>
      <c r="BW374" s="497"/>
      <c r="BX374" s="497"/>
      <c r="BY374" s="497"/>
      <c r="BZ374" s="497"/>
      <c r="CA374" s="497"/>
      <c r="CB374" s="497"/>
      <c r="CC374" s="497"/>
      <c r="CD374" s="497"/>
      <c r="CE374" s="497"/>
      <c r="CF374" s="497"/>
      <c r="CG374" s="497"/>
      <c r="CH374" s="497"/>
    </row>
    <row r="375" spans="1:86" s="325" customFormat="1">
      <c r="A375" s="517"/>
      <c r="B375" s="517"/>
      <c r="C375" s="517"/>
      <c r="D375" s="517"/>
      <c r="E375" s="517"/>
      <c r="F375" s="517"/>
      <c r="G375" s="517"/>
      <c r="H375" s="639"/>
      <c r="I375" s="639"/>
      <c r="J375" s="336"/>
      <c r="K375" s="2056"/>
      <c r="L375" s="337"/>
      <c r="M375" s="335"/>
      <c r="N375" s="2057"/>
      <c r="O375" s="337"/>
      <c r="P375" s="337"/>
      <c r="Q375" s="337"/>
      <c r="R375" s="337"/>
      <c r="S375" s="337"/>
      <c r="T375" s="337"/>
      <c r="U375" s="497"/>
      <c r="V375" s="497"/>
      <c r="W375" s="497"/>
      <c r="X375" s="497"/>
      <c r="Y375" s="497"/>
      <c r="Z375" s="497"/>
      <c r="AA375" s="497"/>
      <c r="AB375" s="497"/>
      <c r="AC375" s="497"/>
      <c r="AD375" s="497"/>
      <c r="AE375" s="497"/>
      <c r="AF375" s="497"/>
      <c r="AG375" s="497"/>
      <c r="AH375" s="497"/>
      <c r="AI375" s="497"/>
      <c r="AJ375" s="497"/>
      <c r="AK375" s="497"/>
      <c r="AL375" s="497"/>
      <c r="AM375" s="497"/>
      <c r="AN375" s="497"/>
      <c r="AO375" s="497"/>
      <c r="AP375" s="497"/>
      <c r="AQ375" s="497"/>
      <c r="AR375" s="497"/>
      <c r="AS375" s="497"/>
      <c r="AT375" s="497"/>
      <c r="AU375" s="497"/>
      <c r="AV375" s="497"/>
      <c r="AW375" s="497"/>
      <c r="AX375" s="497"/>
      <c r="AY375" s="497"/>
      <c r="AZ375" s="497"/>
      <c r="BA375" s="497"/>
      <c r="BB375" s="497"/>
      <c r="BC375" s="497"/>
      <c r="BD375" s="497"/>
      <c r="BE375" s="497"/>
      <c r="BF375" s="497"/>
      <c r="BG375" s="497"/>
      <c r="BH375" s="497"/>
      <c r="BI375" s="497"/>
      <c r="BJ375" s="497"/>
      <c r="BK375" s="497"/>
      <c r="BL375" s="497"/>
      <c r="BM375" s="497"/>
      <c r="BN375" s="497"/>
      <c r="BO375" s="497"/>
      <c r="BP375" s="497"/>
      <c r="BQ375" s="497"/>
      <c r="BR375" s="497"/>
      <c r="BS375" s="497"/>
      <c r="BT375" s="497"/>
      <c r="BU375" s="497"/>
      <c r="BV375" s="497"/>
      <c r="BW375" s="497"/>
      <c r="BX375" s="497"/>
      <c r="BY375" s="497"/>
      <c r="BZ375" s="497"/>
      <c r="CA375" s="497"/>
      <c r="CB375" s="497"/>
      <c r="CC375" s="497"/>
      <c r="CD375" s="497"/>
      <c r="CE375" s="497"/>
      <c r="CF375" s="497"/>
      <c r="CG375" s="497"/>
      <c r="CH375" s="497"/>
    </row>
    <row r="376" spans="1:86" s="325" customFormat="1">
      <c r="A376" s="517"/>
      <c r="B376" s="517"/>
      <c r="C376" s="517"/>
      <c r="D376" s="517"/>
      <c r="E376" s="517"/>
      <c r="F376" s="517"/>
      <c r="G376" s="517"/>
      <c r="H376" s="639"/>
      <c r="I376" s="639"/>
      <c r="J376" s="336"/>
      <c r="K376" s="2056"/>
      <c r="L376" s="337"/>
      <c r="M376" s="335"/>
      <c r="N376" s="2057"/>
      <c r="O376" s="337"/>
      <c r="P376" s="337"/>
      <c r="Q376" s="337"/>
      <c r="R376" s="337"/>
      <c r="S376" s="337"/>
      <c r="T376" s="337"/>
      <c r="U376" s="497"/>
      <c r="V376" s="497"/>
      <c r="W376" s="497"/>
      <c r="X376" s="497"/>
      <c r="Y376" s="497"/>
      <c r="Z376" s="497"/>
      <c r="AA376" s="497"/>
      <c r="AB376" s="497"/>
      <c r="AC376" s="497"/>
      <c r="AD376" s="497"/>
      <c r="AE376" s="497"/>
      <c r="AF376" s="497"/>
      <c r="AG376" s="497"/>
      <c r="AH376" s="497"/>
      <c r="AI376" s="497"/>
      <c r="AJ376" s="497"/>
      <c r="AK376" s="497"/>
      <c r="AL376" s="497"/>
      <c r="AM376" s="497"/>
      <c r="AN376" s="497"/>
      <c r="AO376" s="497"/>
      <c r="AP376" s="497"/>
      <c r="AQ376" s="497"/>
      <c r="AR376" s="497"/>
      <c r="AS376" s="497"/>
      <c r="AT376" s="497"/>
      <c r="AU376" s="497"/>
      <c r="AV376" s="497"/>
      <c r="AW376" s="497"/>
      <c r="AX376" s="497"/>
      <c r="AY376" s="497"/>
      <c r="AZ376" s="497"/>
      <c r="BA376" s="497"/>
      <c r="BB376" s="497"/>
      <c r="BC376" s="497"/>
      <c r="BD376" s="497"/>
      <c r="BE376" s="497"/>
      <c r="BF376" s="497"/>
      <c r="BG376" s="497"/>
      <c r="BH376" s="497"/>
      <c r="BI376" s="497"/>
      <c r="BJ376" s="497"/>
      <c r="BK376" s="497"/>
      <c r="BL376" s="497"/>
      <c r="BM376" s="497"/>
      <c r="BN376" s="497"/>
      <c r="BO376" s="497"/>
      <c r="BP376" s="497"/>
      <c r="BQ376" s="497"/>
      <c r="BR376" s="497"/>
      <c r="BS376" s="497"/>
      <c r="BT376" s="497"/>
      <c r="BU376" s="497"/>
      <c r="BV376" s="497"/>
      <c r="BW376" s="497"/>
      <c r="BX376" s="497"/>
      <c r="BY376" s="497"/>
      <c r="BZ376" s="497"/>
      <c r="CA376" s="497"/>
      <c r="CB376" s="497"/>
      <c r="CC376" s="497"/>
      <c r="CD376" s="497"/>
      <c r="CE376" s="497"/>
      <c r="CF376" s="497"/>
      <c r="CG376" s="497"/>
      <c r="CH376" s="497"/>
    </row>
    <row r="377" spans="1:86" s="325" customFormat="1">
      <c r="A377" s="517"/>
      <c r="B377" s="517"/>
      <c r="C377" s="517"/>
      <c r="D377" s="517"/>
      <c r="E377" s="517"/>
      <c r="F377" s="517"/>
      <c r="G377" s="517"/>
      <c r="H377" s="639"/>
      <c r="I377" s="639"/>
      <c r="J377" s="336"/>
      <c r="K377" s="2056"/>
      <c r="L377" s="337"/>
      <c r="M377" s="335"/>
      <c r="N377" s="2057"/>
      <c r="O377" s="337"/>
      <c r="P377" s="337"/>
      <c r="Q377" s="337"/>
      <c r="R377" s="337"/>
      <c r="S377" s="337"/>
      <c r="T377" s="337"/>
      <c r="U377" s="497"/>
      <c r="V377" s="497"/>
      <c r="W377" s="497"/>
      <c r="X377" s="497"/>
      <c r="Y377" s="497"/>
      <c r="Z377" s="497"/>
      <c r="AA377" s="497"/>
      <c r="AB377" s="497"/>
      <c r="AC377" s="497"/>
      <c r="AD377" s="497"/>
      <c r="AE377" s="497"/>
      <c r="AF377" s="497"/>
      <c r="AG377" s="497"/>
      <c r="AH377" s="497"/>
      <c r="AI377" s="497"/>
      <c r="AJ377" s="497"/>
      <c r="AK377" s="497"/>
      <c r="AL377" s="497"/>
      <c r="AM377" s="497"/>
      <c r="AN377" s="497"/>
      <c r="AO377" s="497"/>
      <c r="AP377" s="497"/>
      <c r="AQ377" s="497"/>
      <c r="AR377" s="497"/>
      <c r="AS377" s="497"/>
      <c r="AT377" s="497"/>
      <c r="AU377" s="497"/>
      <c r="AV377" s="497"/>
      <c r="AW377" s="497"/>
      <c r="AX377" s="497"/>
      <c r="AY377" s="497"/>
      <c r="AZ377" s="497"/>
      <c r="BA377" s="497"/>
      <c r="BB377" s="497"/>
      <c r="BC377" s="497"/>
      <c r="BD377" s="497"/>
      <c r="BE377" s="497"/>
      <c r="BF377" s="497"/>
      <c r="BG377" s="497"/>
      <c r="BH377" s="497"/>
      <c r="BI377" s="497"/>
      <c r="BJ377" s="497"/>
      <c r="BK377" s="497"/>
      <c r="BL377" s="497"/>
      <c r="BM377" s="497"/>
      <c r="BN377" s="497"/>
      <c r="BO377" s="497"/>
      <c r="BP377" s="497"/>
      <c r="BQ377" s="497"/>
      <c r="BR377" s="497"/>
      <c r="BS377" s="497"/>
      <c r="BT377" s="497"/>
      <c r="BU377" s="497"/>
      <c r="BV377" s="497"/>
      <c r="BW377" s="497"/>
      <c r="BX377" s="497"/>
      <c r="BY377" s="497"/>
      <c r="BZ377" s="497"/>
      <c r="CA377" s="497"/>
      <c r="CB377" s="497"/>
      <c r="CC377" s="497"/>
      <c r="CD377" s="497"/>
      <c r="CE377" s="497"/>
      <c r="CF377" s="497"/>
      <c r="CG377" s="497"/>
      <c r="CH377" s="497"/>
    </row>
    <row r="378" spans="1:86" s="325" customFormat="1">
      <c r="A378" s="517"/>
      <c r="B378" s="517"/>
      <c r="C378" s="517"/>
      <c r="D378" s="517"/>
      <c r="E378" s="517"/>
      <c r="F378" s="517"/>
      <c r="G378" s="517"/>
      <c r="H378" s="639"/>
      <c r="I378" s="639"/>
      <c r="J378" s="336"/>
      <c r="K378" s="2056"/>
      <c r="L378" s="337"/>
      <c r="M378" s="335"/>
      <c r="N378" s="2057"/>
      <c r="O378" s="337"/>
      <c r="P378" s="337"/>
      <c r="Q378" s="337"/>
      <c r="R378" s="337"/>
      <c r="S378" s="337"/>
      <c r="T378" s="337"/>
      <c r="U378" s="497"/>
      <c r="V378" s="497"/>
      <c r="W378" s="497"/>
      <c r="X378" s="497"/>
      <c r="Y378" s="497"/>
      <c r="Z378" s="497"/>
      <c r="AA378" s="497"/>
      <c r="AB378" s="497"/>
      <c r="AC378" s="497"/>
      <c r="AD378" s="497"/>
      <c r="AE378" s="497"/>
      <c r="AF378" s="497"/>
      <c r="AG378" s="497"/>
      <c r="AH378" s="497"/>
      <c r="AI378" s="497"/>
      <c r="AJ378" s="497"/>
      <c r="AK378" s="497"/>
      <c r="AL378" s="497"/>
      <c r="AM378" s="497"/>
      <c r="AN378" s="497"/>
      <c r="AO378" s="497"/>
      <c r="AP378" s="497"/>
      <c r="AQ378" s="497"/>
      <c r="AR378" s="497"/>
      <c r="AS378" s="497"/>
      <c r="AT378" s="497"/>
      <c r="AU378" s="497"/>
      <c r="AV378" s="497"/>
      <c r="AW378" s="497"/>
      <c r="AX378" s="497"/>
      <c r="AY378" s="497"/>
      <c r="AZ378" s="497"/>
      <c r="BA378" s="497"/>
      <c r="BB378" s="497"/>
      <c r="BC378" s="497"/>
      <c r="BD378" s="497"/>
      <c r="BE378" s="497"/>
      <c r="BF378" s="497"/>
      <c r="BG378" s="497"/>
      <c r="BH378" s="497"/>
      <c r="BI378" s="497"/>
      <c r="BJ378" s="497"/>
      <c r="BK378" s="497"/>
      <c r="BL378" s="497"/>
      <c r="BM378" s="497"/>
      <c r="BN378" s="497"/>
      <c r="BO378" s="497"/>
      <c r="BP378" s="497"/>
      <c r="BQ378" s="497"/>
      <c r="BR378" s="497"/>
      <c r="BS378" s="497"/>
      <c r="BT378" s="497"/>
      <c r="BU378" s="497"/>
      <c r="BV378" s="497"/>
      <c r="BW378" s="497"/>
      <c r="BX378" s="497"/>
      <c r="BY378" s="497"/>
      <c r="BZ378" s="497"/>
      <c r="CA378" s="497"/>
      <c r="CB378" s="497"/>
      <c r="CC378" s="497"/>
      <c r="CD378" s="497"/>
      <c r="CE378" s="497"/>
      <c r="CF378" s="497"/>
      <c r="CG378" s="497"/>
      <c r="CH378" s="497"/>
    </row>
    <row r="379" spans="1:86" s="325" customFormat="1">
      <c r="A379" s="517"/>
      <c r="B379" s="517"/>
      <c r="C379" s="517"/>
      <c r="D379" s="517"/>
      <c r="E379" s="517"/>
      <c r="F379" s="517"/>
      <c r="G379" s="517"/>
      <c r="H379" s="639"/>
      <c r="I379" s="639"/>
      <c r="J379" s="336"/>
      <c r="K379" s="2056"/>
      <c r="L379" s="337"/>
      <c r="M379" s="335"/>
      <c r="N379" s="2057"/>
      <c r="O379" s="337"/>
      <c r="P379" s="337"/>
      <c r="Q379" s="337"/>
      <c r="R379" s="337"/>
      <c r="S379" s="337"/>
      <c r="T379" s="337"/>
      <c r="U379" s="497"/>
      <c r="V379" s="497"/>
      <c r="W379" s="497"/>
      <c r="X379" s="497"/>
      <c r="Y379" s="497"/>
      <c r="Z379" s="497"/>
      <c r="AA379" s="497"/>
      <c r="AB379" s="497"/>
      <c r="AC379" s="497"/>
      <c r="AD379" s="497"/>
      <c r="AE379" s="497"/>
      <c r="AF379" s="497"/>
      <c r="AG379" s="497"/>
      <c r="AH379" s="497"/>
      <c r="AI379" s="497"/>
      <c r="AJ379" s="497"/>
      <c r="AK379" s="497"/>
      <c r="AL379" s="497"/>
      <c r="AM379" s="497"/>
      <c r="AN379" s="497"/>
      <c r="AO379" s="497"/>
      <c r="AP379" s="497"/>
      <c r="AQ379" s="497"/>
      <c r="AR379" s="497"/>
      <c r="AS379" s="497"/>
      <c r="AT379" s="497"/>
      <c r="AU379" s="497"/>
      <c r="AV379" s="497"/>
      <c r="AW379" s="497"/>
      <c r="AX379" s="497"/>
      <c r="AY379" s="497"/>
      <c r="AZ379" s="497"/>
      <c r="BA379" s="497"/>
      <c r="BB379" s="497"/>
      <c r="BC379" s="497"/>
      <c r="BD379" s="497"/>
      <c r="BE379" s="497"/>
      <c r="BF379" s="497"/>
      <c r="BG379" s="497"/>
      <c r="BH379" s="497"/>
      <c r="BI379" s="497"/>
      <c r="BJ379" s="497"/>
      <c r="BK379" s="497"/>
      <c r="BL379" s="497"/>
      <c r="BM379" s="497"/>
      <c r="BN379" s="497"/>
      <c r="BO379" s="497"/>
      <c r="BP379" s="497"/>
      <c r="BQ379" s="497"/>
      <c r="BR379" s="497"/>
      <c r="BS379" s="497"/>
      <c r="BT379" s="497"/>
      <c r="BU379" s="497"/>
      <c r="BV379" s="497"/>
      <c r="BW379" s="497"/>
      <c r="BX379" s="497"/>
      <c r="BY379" s="497"/>
      <c r="BZ379" s="497"/>
      <c r="CA379" s="497"/>
      <c r="CB379" s="497"/>
      <c r="CC379" s="497"/>
      <c r="CD379" s="497"/>
      <c r="CE379" s="497"/>
      <c r="CF379" s="497"/>
      <c r="CG379" s="497"/>
      <c r="CH379" s="497"/>
    </row>
    <row r="380" spans="1:86" s="325" customFormat="1">
      <c r="A380" s="517"/>
      <c r="B380" s="517"/>
      <c r="C380" s="517"/>
      <c r="D380" s="517"/>
      <c r="E380" s="517"/>
      <c r="F380" s="517"/>
      <c r="G380" s="517"/>
      <c r="H380" s="639"/>
      <c r="I380" s="639"/>
      <c r="J380" s="336"/>
      <c r="K380" s="2056"/>
      <c r="L380" s="337"/>
      <c r="M380" s="335"/>
      <c r="N380" s="2057"/>
      <c r="O380" s="337"/>
      <c r="P380" s="337"/>
      <c r="Q380" s="337"/>
      <c r="R380" s="337"/>
      <c r="S380" s="337"/>
      <c r="T380" s="337"/>
      <c r="U380" s="497"/>
      <c r="V380" s="497"/>
      <c r="W380" s="497"/>
      <c r="X380" s="497"/>
      <c r="Y380" s="497"/>
      <c r="Z380" s="497"/>
      <c r="AA380" s="497"/>
      <c r="AB380" s="497"/>
      <c r="AC380" s="497"/>
      <c r="AD380" s="497"/>
      <c r="AE380" s="497"/>
      <c r="AF380" s="497"/>
      <c r="AG380" s="497"/>
      <c r="AH380" s="497"/>
      <c r="AI380" s="497"/>
      <c r="AJ380" s="497"/>
      <c r="AK380" s="497"/>
      <c r="AL380" s="497"/>
      <c r="AM380" s="497"/>
      <c r="AN380" s="497"/>
      <c r="AO380" s="497"/>
      <c r="AP380" s="497"/>
      <c r="AQ380" s="497"/>
      <c r="AR380" s="497"/>
      <c r="AS380" s="497"/>
      <c r="AT380" s="497"/>
      <c r="AU380" s="497"/>
      <c r="AV380" s="497"/>
      <c r="AW380" s="497"/>
      <c r="AX380" s="497"/>
      <c r="AY380" s="497"/>
      <c r="AZ380" s="497"/>
      <c r="BA380" s="497"/>
      <c r="BB380" s="497"/>
      <c r="BC380" s="497"/>
      <c r="BD380" s="497"/>
      <c r="BE380" s="497"/>
      <c r="BF380" s="497"/>
      <c r="BG380" s="497"/>
      <c r="BH380" s="497"/>
      <c r="BI380" s="497"/>
      <c r="BJ380" s="497"/>
      <c r="BK380" s="497"/>
      <c r="BL380" s="497"/>
      <c r="BM380" s="497"/>
      <c r="BN380" s="497"/>
      <c r="BO380" s="497"/>
      <c r="BP380" s="497"/>
      <c r="BQ380" s="497"/>
      <c r="BR380" s="497"/>
      <c r="BS380" s="497"/>
      <c r="BT380" s="497"/>
      <c r="BU380" s="497"/>
      <c r="BV380" s="497"/>
      <c r="BW380" s="497"/>
      <c r="BX380" s="497"/>
      <c r="BY380" s="497"/>
      <c r="BZ380" s="497"/>
      <c r="CA380" s="497"/>
      <c r="CB380" s="497"/>
      <c r="CC380" s="497"/>
      <c r="CD380" s="497"/>
      <c r="CE380" s="497"/>
      <c r="CF380" s="497"/>
      <c r="CG380" s="497"/>
      <c r="CH380" s="497"/>
    </row>
    <row r="381" spans="1:86" s="325" customFormat="1">
      <c r="A381" s="517"/>
      <c r="B381" s="517"/>
      <c r="C381" s="517"/>
      <c r="D381" s="517"/>
      <c r="E381" s="517"/>
      <c r="F381" s="517"/>
      <c r="G381" s="517"/>
      <c r="H381" s="639"/>
      <c r="I381" s="639"/>
      <c r="J381" s="336"/>
      <c r="K381" s="2056"/>
      <c r="L381" s="337"/>
      <c r="M381" s="335"/>
      <c r="N381" s="2057"/>
      <c r="O381" s="337"/>
      <c r="P381" s="337"/>
      <c r="Q381" s="337"/>
      <c r="R381" s="337"/>
      <c r="S381" s="337"/>
      <c r="T381" s="337"/>
      <c r="U381" s="497"/>
      <c r="V381" s="497"/>
      <c r="W381" s="497"/>
      <c r="X381" s="497"/>
      <c r="Y381" s="497"/>
      <c r="Z381" s="497"/>
      <c r="AA381" s="497"/>
      <c r="AB381" s="497"/>
      <c r="AC381" s="497"/>
      <c r="AD381" s="497"/>
      <c r="AE381" s="497"/>
      <c r="AF381" s="497"/>
      <c r="AG381" s="497"/>
      <c r="AH381" s="497"/>
      <c r="AI381" s="497"/>
      <c r="AJ381" s="497"/>
      <c r="AK381" s="497"/>
      <c r="AL381" s="497"/>
      <c r="AM381" s="497"/>
      <c r="AN381" s="497"/>
      <c r="AO381" s="497"/>
      <c r="AP381" s="497"/>
      <c r="AQ381" s="497"/>
      <c r="AR381" s="497"/>
      <c r="AS381" s="497"/>
      <c r="AT381" s="497"/>
      <c r="AU381" s="497"/>
      <c r="AV381" s="497"/>
      <c r="AW381" s="497"/>
      <c r="AX381" s="497"/>
      <c r="AY381" s="497"/>
      <c r="AZ381" s="497"/>
      <c r="BA381" s="497"/>
      <c r="BB381" s="497"/>
      <c r="BC381" s="497"/>
      <c r="BD381" s="497"/>
      <c r="BE381" s="497"/>
      <c r="BF381" s="497"/>
      <c r="BG381" s="497"/>
      <c r="BH381" s="497"/>
      <c r="BI381" s="497"/>
      <c r="BJ381" s="497"/>
      <c r="BK381" s="497"/>
      <c r="BL381" s="497"/>
      <c r="BM381" s="497"/>
      <c r="BN381" s="497"/>
      <c r="BO381" s="497"/>
      <c r="BP381" s="497"/>
      <c r="BQ381" s="497"/>
      <c r="BR381" s="497"/>
      <c r="BS381" s="497"/>
      <c r="BT381" s="497"/>
      <c r="BU381" s="497"/>
      <c r="BV381" s="497"/>
      <c r="BW381" s="497"/>
      <c r="BX381" s="497"/>
      <c r="BY381" s="497"/>
      <c r="BZ381" s="497"/>
      <c r="CA381" s="497"/>
      <c r="CB381" s="497"/>
      <c r="CC381" s="497"/>
      <c r="CD381" s="497"/>
      <c r="CE381" s="497"/>
      <c r="CF381" s="497"/>
      <c r="CG381" s="497"/>
      <c r="CH381" s="497"/>
    </row>
    <row r="382" spans="1:86" s="325" customFormat="1">
      <c r="A382" s="517"/>
      <c r="B382" s="517"/>
      <c r="C382" s="517"/>
      <c r="D382" s="517"/>
      <c r="E382" s="517"/>
      <c r="F382" s="517"/>
      <c r="G382" s="517"/>
      <c r="H382" s="639"/>
      <c r="I382" s="639"/>
      <c r="J382" s="336"/>
      <c r="K382" s="2056"/>
      <c r="L382" s="337"/>
      <c r="M382" s="335"/>
      <c r="N382" s="2057"/>
      <c r="O382" s="337"/>
      <c r="P382" s="337"/>
      <c r="Q382" s="337"/>
      <c r="R382" s="337"/>
      <c r="S382" s="337"/>
      <c r="T382" s="337"/>
      <c r="U382" s="497"/>
      <c r="V382" s="497"/>
      <c r="W382" s="497"/>
      <c r="X382" s="497"/>
      <c r="Y382" s="497"/>
      <c r="Z382" s="497"/>
      <c r="AA382" s="497"/>
      <c r="AB382" s="497"/>
      <c r="AC382" s="497"/>
      <c r="AD382" s="497"/>
      <c r="AE382" s="497"/>
      <c r="AF382" s="497"/>
      <c r="AG382" s="497"/>
      <c r="AH382" s="497"/>
      <c r="AI382" s="497"/>
      <c r="AJ382" s="497"/>
      <c r="AK382" s="497"/>
      <c r="AL382" s="497"/>
      <c r="AM382" s="497"/>
      <c r="AN382" s="497"/>
      <c r="AO382" s="497"/>
      <c r="AP382" s="497"/>
      <c r="AQ382" s="497"/>
      <c r="AR382" s="497"/>
      <c r="AS382" s="497"/>
      <c r="AT382" s="497"/>
      <c r="AU382" s="497"/>
      <c r="AV382" s="497"/>
      <c r="AW382" s="497"/>
      <c r="AX382" s="497"/>
      <c r="AY382" s="497"/>
      <c r="AZ382" s="497"/>
      <c r="BA382" s="497"/>
      <c r="BB382" s="497"/>
      <c r="BC382" s="497"/>
      <c r="BD382" s="497"/>
      <c r="BE382" s="497"/>
      <c r="BF382" s="497"/>
      <c r="BG382" s="497"/>
      <c r="BH382" s="497"/>
      <c r="BI382" s="497"/>
      <c r="BJ382" s="497"/>
      <c r="BK382" s="497"/>
      <c r="BL382" s="497"/>
      <c r="BM382" s="497"/>
      <c r="BN382" s="497"/>
      <c r="BO382" s="497"/>
      <c r="BP382" s="497"/>
      <c r="BQ382" s="497"/>
      <c r="BR382" s="497"/>
      <c r="BS382" s="497"/>
      <c r="BT382" s="497"/>
      <c r="BU382" s="497"/>
      <c r="BV382" s="497"/>
      <c r="BW382" s="497"/>
      <c r="BX382" s="497"/>
      <c r="BY382" s="497"/>
      <c r="BZ382" s="497"/>
      <c r="CA382" s="497"/>
      <c r="CB382" s="497"/>
      <c r="CC382" s="497"/>
      <c r="CD382" s="497"/>
      <c r="CE382" s="497"/>
      <c r="CF382" s="497"/>
      <c r="CG382" s="497"/>
      <c r="CH382" s="497"/>
    </row>
    <row r="383" spans="1:86" s="325" customFormat="1">
      <c r="A383" s="517"/>
      <c r="B383" s="517"/>
      <c r="C383" s="517"/>
      <c r="D383" s="517"/>
      <c r="E383" s="517"/>
      <c r="F383" s="517"/>
      <c r="G383" s="517"/>
      <c r="H383" s="639"/>
      <c r="I383" s="639"/>
      <c r="J383" s="336"/>
      <c r="K383" s="2056"/>
      <c r="L383" s="337"/>
      <c r="M383" s="335"/>
      <c r="N383" s="2057"/>
      <c r="O383" s="337"/>
      <c r="P383" s="337"/>
      <c r="Q383" s="337"/>
      <c r="R383" s="337"/>
      <c r="S383" s="337"/>
      <c r="T383" s="337"/>
      <c r="U383" s="497"/>
      <c r="V383" s="497"/>
      <c r="W383" s="497"/>
      <c r="X383" s="497"/>
      <c r="Y383" s="497"/>
      <c r="Z383" s="497"/>
      <c r="AA383" s="497"/>
      <c r="AB383" s="497"/>
      <c r="AC383" s="497"/>
      <c r="AD383" s="497"/>
      <c r="AE383" s="497"/>
      <c r="AF383" s="497"/>
      <c r="AG383" s="497"/>
      <c r="AH383" s="497"/>
      <c r="AI383" s="497"/>
      <c r="AJ383" s="497"/>
      <c r="AK383" s="497"/>
      <c r="AL383" s="497"/>
      <c r="AM383" s="497"/>
      <c r="AN383" s="497"/>
      <c r="AO383" s="497"/>
      <c r="AP383" s="497"/>
      <c r="AQ383" s="497"/>
      <c r="AR383" s="497"/>
      <c r="AS383" s="497"/>
      <c r="AT383" s="497"/>
      <c r="AU383" s="497"/>
      <c r="AV383" s="497"/>
      <c r="AW383" s="497"/>
      <c r="AX383" s="497"/>
      <c r="AY383" s="497"/>
      <c r="AZ383" s="497"/>
      <c r="BA383" s="497"/>
      <c r="BB383" s="497"/>
      <c r="BC383" s="497"/>
      <c r="BD383" s="497"/>
      <c r="BE383" s="497"/>
      <c r="BF383" s="497"/>
      <c r="BG383" s="497"/>
      <c r="BH383" s="497"/>
      <c r="BI383" s="497"/>
      <c r="BJ383" s="497"/>
      <c r="BK383" s="497"/>
      <c r="BL383" s="497"/>
      <c r="BM383" s="497"/>
      <c r="BN383" s="497"/>
      <c r="BO383" s="497"/>
      <c r="BP383" s="497"/>
      <c r="BQ383" s="497"/>
      <c r="BR383" s="497"/>
      <c r="BS383" s="497"/>
      <c r="BT383" s="497"/>
      <c r="BU383" s="497"/>
      <c r="BV383" s="497"/>
      <c r="BW383" s="497"/>
      <c r="BX383" s="497"/>
      <c r="BY383" s="497"/>
      <c r="BZ383" s="497"/>
      <c r="CA383" s="497"/>
      <c r="CB383" s="497"/>
      <c r="CC383" s="497"/>
      <c r="CD383" s="497"/>
      <c r="CE383" s="497"/>
      <c r="CF383" s="497"/>
      <c r="CG383" s="497"/>
      <c r="CH383" s="497"/>
    </row>
    <row r="384" spans="1:86" s="325" customFormat="1">
      <c r="A384" s="517"/>
      <c r="B384" s="517"/>
      <c r="C384" s="517"/>
      <c r="D384" s="517"/>
      <c r="E384" s="517"/>
      <c r="F384" s="517"/>
      <c r="G384" s="517"/>
      <c r="H384" s="639"/>
      <c r="I384" s="639"/>
      <c r="J384" s="336"/>
      <c r="K384" s="2056"/>
      <c r="L384" s="337"/>
      <c r="M384" s="335"/>
      <c r="N384" s="2057"/>
      <c r="O384" s="337"/>
      <c r="P384" s="337"/>
      <c r="Q384" s="337"/>
      <c r="R384" s="337"/>
      <c r="S384" s="337"/>
      <c r="T384" s="337"/>
      <c r="U384" s="497"/>
      <c r="V384" s="497"/>
      <c r="W384" s="497"/>
      <c r="X384" s="497"/>
      <c r="Y384" s="497"/>
      <c r="Z384" s="497"/>
      <c r="AA384" s="497"/>
      <c r="AB384" s="497"/>
      <c r="AC384" s="497"/>
      <c r="AD384" s="497"/>
      <c r="AE384" s="497"/>
      <c r="AF384" s="497"/>
      <c r="AG384" s="497"/>
      <c r="AH384" s="497"/>
      <c r="AI384" s="497"/>
      <c r="AJ384" s="497"/>
      <c r="AK384" s="497"/>
      <c r="AL384" s="497"/>
      <c r="AM384" s="497"/>
      <c r="AN384" s="497"/>
      <c r="AO384" s="497"/>
      <c r="AP384" s="497"/>
      <c r="AQ384" s="497"/>
      <c r="AR384" s="497"/>
      <c r="AS384" s="497"/>
      <c r="AT384" s="497"/>
      <c r="AU384" s="497"/>
      <c r="AV384" s="497"/>
      <c r="AW384" s="497"/>
      <c r="AX384" s="497"/>
      <c r="AY384" s="497"/>
      <c r="AZ384" s="497"/>
      <c r="BA384" s="497"/>
      <c r="BB384" s="497"/>
      <c r="BC384" s="497"/>
      <c r="BD384" s="497"/>
      <c r="BE384" s="497"/>
      <c r="BF384" s="497"/>
      <c r="BG384" s="497"/>
      <c r="BH384" s="497"/>
      <c r="BI384" s="497"/>
      <c r="BJ384" s="497"/>
      <c r="BK384" s="497"/>
      <c r="BL384" s="497"/>
      <c r="BM384" s="497"/>
      <c r="BN384" s="497"/>
      <c r="BO384" s="497"/>
      <c r="BP384" s="497"/>
      <c r="BQ384" s="497"/>
      <c r="BR384" s="497"/>
      <c r="BS384" s="497"/>
      <c r="BT384" s="497"/>
      <c r="BU384" s="497"/>
      <c r="BV384" s="497"/>
      <c r="BW384" s="497"/>
      <c r="BX384" s="497"/>
      <c r="BY384" s="497"/>
      <c r="BZ384" s="497"/>
      <c r="CA384" s="497"/>
      <c r="CB384" s="497"/>
      <c r="CC384" s="497"/>
      <c r="CD384" s="497"/>
      <c r="CE384" s="497"/>
      <c r="CF384" s="497"/>
      <c r="CG384" s="497"/>
      <c r="CH384" s="497"/>
    </row>
    <row r="385" spans="1:86" s="325" customFormat="1">
      <c r="A385" s="517"/>
      <c r="B385" s="517"/>
      <c r="C385" s="517"/>
      <c r="D385" s="517"/>
      <c r="E385" s="517"/>
      <c r="F385" s="517"/>
      <c r="G385" s="517"/>
      <c r="H385" s="639"/>
      <c r="I385" s="639"/>
      <c r="J385" s="336"/>
      <c r="K385" s="2056"/>
      <c r="L385" s="337"/>
      <c r="M385" s="335"/>
      <c r="N385" s="2057"/>
      <c r="O385" s="337"/>
      <c r="P385" s="337"/>
      <c r="Q385" s="337"/>
      <c r="R385" s="337"/>
      <c r="S385" s="337"/>
      <c r="T385" s="337"/>
      <c r="U385" s="497"/>
      <c r="V385" s="497"/>
      <c r="W385" s="497"/>
      <c r="X385" s="497"/>
      <c r="Y385" s="497"/>
      <c r="Z385" s="497"/>
      <c r="AA385" s="497"/>
      <c r="AB385" s="497"/>
      <c r="AC385" s="497"/>
      <c r="AD385" s="497"/>
      <c r="AE385" s="497"/>
      <c r="AF385" s="497"/>
      <c r="AG385" s="497"/>
      <c r="AH385" s="497"/>
      <c r="AI385" s="497"/>
      <c r="AJ385" s="497"/>
      <c r="AK385" s="497"/>
      <c r="AL385" s="497"/>
      <c r="AM385" s="497"/>
      <c r="AN385" s="497"/>
      <c r="AO385" s="497"/>
      <c r="AP385" s="497"/>
      <c r="AQ385" s="497"/>
      <c r="AR385" s="497"/>
      <c r="AS385" s="497"/>
      <c r="AT385" s="497"/>
      <c r="AU385" s="497"/>
      <c r="AV385" s="497"/>
      <c r="AW385" s="497"/>
      <c r="AX385" s="497"/>
      <c r="AY385" s="497"/>
      <c r="AZ385" s="497"/>
      <c r="BA385" s="497"/>
      <c r="BB385" s="497"/>
      <c r="BC385" s="497"/>
      <c r="BD385" s="497"/>
      <c r="BE385" s="497"/>
      <c r="BF385" s="497"/>
      <c r="BG385" s="497"/>
      <c r="BH385" s="497"/>
      <c r="BI385" s="497"/>
      <c r="BJ385" s="497"/>
      <c r="BK385" s="497"/>
      <c r="BL385" s="497"/>
      <c r="BM385" s="497"/>
      <c r="BN385" s="497"/>
      <c r="BO385" s="497"/>
      <c r="BP385" s="497"/>
      <c r="BQ385" s="497"/>
      <c r="BR385" s="497"/>
      <c r="BS385" s="497"/>
      <c r="BT385" s="497"/>
      <c r="BU385" s="497"/>
      <c r="BV385" s="497"/>
      <c r="BW385" s="497"/>
      <c r="BX385" s="497"/>
      <c r="BY385" s="497"/>
      <c r="BZ385" s="497"/>
      <c r="CA385" s="497"/>
      <c r="CB385" s="497"/>
      <c r="CC385" s="497"/>
      <c r="CD385" s="497"/>
      <c r="CE385" s="497"/>
      <c r="CF385" s="497"/>
      <c r="CG385" s="497"/>
      <c r="CH385" s="497"/>
    </row>
    <row r="386" spans="1:86" s="325" customFormat="1">
      <c r="A386" s="517"/>
      <c r="B386" s="517"/>
      <c r="C386" s="517"/>
      <c r="D386" s="517"/>
      <c r="E386" s="517"/>
      <c r="F386" s="517"/>
      <c r="G386" s="517"/>
      <c r="H386" s="639"/>
      <c r="I386" s="639"/>
      <c r="J386" s="336"/>
      <c r="K386" s="2056"/>
      <c r="L386" s="337"/>
      <c r="M386" s="335"/>
      <c r="N386" s="2057"/>
      <c r="O386" s="337"/>
      <c r="P386" s="337"/>
      <c r="Q386" s="337"/>
      <c r="R386" s="337"/>
      <c r="S386" s="337"/>
      <c r="T386" s="337"/>
      <c r="U386" s="497"/>
      <c r="V386" s="497"/>
      <c r="W386" s="497"/>
      <c r="X386" s="497"/>
      <c r="Y386" s="497"/>
      <c r="Z386" s="497"/>
      <c r="AA386" s="497"/>
      <c r="AB386" s="497"/>
      <c r="AC386" s="497"/>
      <c r="AD386" s="497"/>
      <c r="AE386" s="497"/>
      <c r="AF386" s="497"/>
      <c r="AG386" s="497"/>
      <c r="AH386" s="497"/>
      <c r="AI386" s="497"/>
      <c r="AJ386" s="497"/>
      <c r="AK386" s="497"/>
      <c r="AL386" s="497"/>
      <c r="AM386" s="497"/>
      <c r="AN386" s="497"/>
      <c r="AO386" s="497"/>
      <c r="AP386" s="497"/>
      <c r="AQ386" s="497"/>
      <c r="AR386" s="497"/>
      <c r="AS386" s="497"/>
      <c r="AT386" s="497"/>
      <c r="AU386" s="497"/>
      <c r="AV386" s="497"/>
      <c r="AW386" s="497"/>
      <c r="AX386" s="497"/>
      <c r="AY386" s="497"/>
      <c r="AZ386" s="497"/>
      <c r="BA386" s="497"/>
      <c r="BB386" s="497"/>
      <c r="BC386" s="497"/>
      <c r="BD386" s="497"/>
      <c r="BE386" s="497"/>
      <c r="BF386" s="497"/>
      <c r="BG386" s="497"/>
      <c r="BH386" s="497"/>
      <c r="BI386" s="497"/>
      <c r="BJ386" s="497"/>
      <c r="BK386" s="497"/>
      <c r="BL386" s="497"/>
      <c r="BM386" s="497"/>
      <c r="BN386" s="497"/>
      <c r="BO386" s="497"/>
      <c r="BP386" s="497"/>
      <c r="BQ386" s="497"/>
      <c r="BR386" s="497"/>
      <c r="BS386" s="497"/>
      <c r="BT386" s="497"/>
      <c r="BU386" s="497"/>
      <c r="BV386" s="497"/>
      <c r="BW386" s="497"/>
      <c r="BX386" s="497"/>
      <c r="BY386" s="497"/>
      <c r="BZ386" s="497"/>
      <c r="CA386" s="497"/>
      <c r="CB386" s="497"/>
      <c r="CC386" s="497"/>
      <c r="CD386" s="497"/>
      <c r="CE386" s="497"/>
      <c r="CF386" s="497"/>
      <c r="CG386" s="497"/>
      <c r="CH386" s="497"/>
    </row>
    <row r="387" spans="1:86" s="325" customFormat="1">
      <c r="A387" s="517"/>
      <c r="B387" s="517"/>
      <c r="C387" s="517"/>
      <c r="D387" s="517"/>
      <c r="E387" s="517"/>
      <c r="F387" s="517"/>
      <c r="G387" s="517"/>
      <c r="H387" s="639"/>
      <c r="I387" s="639"/>
      <c r="J387" s="336"/>
      <c r="K387" s="2056"/>
      <c r="L387" s="337"/>
      <c r="M387" s="335"/>
      <c r="N387" s="2057"/>
      <c r="O387" s="337"/>
      <c r="P387" s="337"/>
      <c r="Q387" s="337"/>
      <c r="R387" s="337"/>
      <c r="S387" s="337"/>
      <c r="T387" s="337"/>
      <c r="U387" s="497"/>
      <c r="V387" s="497"/>
      <c r="W387" s="497"/>
      <c r="X387" s="497"/>
      <c r="Y387" s="497"/>
      <c r="Z387" s="497"/>
      <c r="AA387" s="497"/>
      <c r="AB387" s="497"/>
      <c r="AC387" s="497"/>
      <c r="AD387" s="497"/>
      <c r="AE387" s="497"/>
      <c r="AF387" s="497"/>
      <c r="AG387" s="497"/>
      <c r="AH387" s="497"/>
      <c r="AI387" s="497"/>
      <c r="AJ387" s="497"/>
      <c r="AK387" s="497"/>
      <c r="AL387" s="497"/>
      <c r="AM387" s="497"/>
      <c r="AN387" s="497"/>
      <c r="AO387" s="497"/>
      <c r="AP387" s="497"/>
      <c r="AQ387" s="497"/>
      <c r="AR387" s="497"/>
      <c r="AS387" s="497"/>
      <c r="AT387" s="497"/>
      <c r="AU387" s="497"/>
      <c r="AV387" s="497"/>
      <c r="AW387" s="497"/>
      <c r="AX387" s="497"/>
      <c r="AY387" s="497"/>
      <c r="AZ387" s="497"/>
      <c r="BA387" s="497"/>
      <c r="BB387" s="497"/>
      <c r="BC387" s="497"/>
      <c r="BD387" s="497"/>
      <c r="BE387" s="497"/>
      <c r="BF387" s="497"/>
      <c r="BG387" s="497"/>
      <c r="BH387" s="497"/>
      <c r="BI387" s="497"/>
      <c r="BJ387" s="497"/>
      <c r="BK387" s="497"/>
      <c r="BL387" s="497"/>
      <c r="BM387" s="497"/>
      <c r="BN387" s="497"/>
      <c r="BO387" s="497"/>
      <c r="BP387" s="497"/>
      <c r="BQ387" s="497"/>
      <c r="BR387" s="497"/>
      <c r="BS387" s="497"/>
      <c r="BT387" s="497"/>
      <c r="BU387" s="497"/>
      <c r="BV387" s="497"/>
      <c r="BW387" s="497"/>
      <c r="BX387" s="497"/>
      <c r="BY387" s="497"/>
      <c r="BZ387" s="497"/>
      <c r="CA387" s="497"/>
      <c r="CB387" s="497"/>
      <c r="CC387" s="497"/>
      <c r="CD387" s="497"/>
      <c r="CE387" s="497"/>
      <c r="CF387" s="497"/>
      <c r="CG387" s="497"/>
      <c r="CH387" s="497"/>
    </row>
    <row r="388" spans="1:86" s="325" customFormat="1">
      <c r="A388" s="517"/>
      <c r="B388" s="517"/>
      <c r="C388" s="517"/>
      <c r="D388" s="517"/>
      <c r="E388" s="517"/>
      <c r="F388" s="517"/>
      <c r="G388" s="517"/>
      <c r="H388" s="639"/>
      <c r="I388" s="639"/>
      <c r="J388" s="336"/>
      <c r="K388" s="2056"/>
      <c r="L388" s="337"/>
      <c r="M388" s="335"/>
      <c r="N388" s="2057"/>
      <c r="O388" s="337"/>
      <c r="P388" s="337"/>
      <c r="Q388" s="337"/>
      <c r="R388" s="337"/>
      <c r="S388" s="337"/>
      <c r="T388" s="337"/>
      <c r="U388" s="497"/>
      <c r="V388" s="497"/>
      <c r="W388" s="497"/>
      <c r="X388" s="497"/>
      <c r="Y388" s="497"/>
      <c r="Z388" s="497"/>
      <c r="AA388" s="497"/>
      <c r="AB388" s="497"/>
      <c r="AC388" s="497"/>
      <c r="AD388" s="497"/>
      <c r="AE388" s="497"/>
      <c r="AF388" s="497"/>
      <c r="AG388" s="497"/>
      <c r="AH388" s="497"/>
      <c r="AI388" s="497"/>
      <c r="AJ388" s="497"/>
      <c r="AK388" s="497"/>
      <c r="AL388" s="497"/>
      <c r="AM388" s="497"/>
      <c r="AN388" s="497"/>
      <c r="AO388" s="497"/>
      <c r="AP388" s="497"/>
      <c r="AQ388" s="497"/>
      <c r="AR388" s="497"/>
      <c r="AS388" s="497"/>
      <c r="AT388" s="497"/>
      <c r="AU388" s="497"/>
      <c r="AV388" s="497"/>
      <c r="AW388" s="497"/>
      <c r="AX388" s="497"/>
      <c r="AY388" s="497"/>
      <c r="AZ388" s="497"/>
      <c r="BA388" s="497"/>
      <c r="BB388" s="497"/>
      <c r="BC388" s="497"/>
      <c r="BD388" s="497"/>
      <c r="BE388" s="497"/>
      <c r="BF388" s="497"/>
      <c r="BG388" s="497"/>
      <c r="BH388" s="497"/>
      <c r="BI388" s="497"/>
      <c r="BJ388" s="497"/>
      <c r="BK388" s="497"/>
      <c r="BL388" s="497"/>
      <c r="BM388" s="497"/>
      <c r="BN388" s="497"/>
      <c r="BO388" s="497"/>
      <c r="BP388" s="497"/>
      <c r="BQ388" s="497"/>
      <c r="BR388" s="497"/>
      <c r="BS388" s="497"/>
      <c r="BT388" s="497"/>
      <c r="BU388" s="497"/>
      <c r="BV388" s="497"/>
      <c r="BW388" s="497"/>
      <c r="BX388" s="497"/>
      <c r="BY388" s="497"/>
      <c r="BZ388" s="497"/>
      <c r="CA388" s="497"/>
      <c r="CB388" s="497"/>
      <c r="CC388" s="497"/>
      <c r="CD388" s="497"/>
      <c r="CE388" s="497"/>
      <c r="CF388" s="497"/>
      <c r="CG388" s="497"/>
      <c r="CH388" s="497"/>
    </row>
    <row r="389" spans="1:86" s="325" customFormat="1">
      <c r="A389" s="517"/>
      <c r="B389" s="517"/>
      <c r="C389" s="517"/>
      <c r="D389" s="517"/>
      <c r="E389" s="517"/>
      <c r="F389" s="517"/>
      <c r="G389" s="517"/>
      <c r="H389" s="639"/>
      <c r="I389" s="639"/>
      <c r="J389" s="336"/>
      <c r="K389" s="2056"/>
      <c r="L389" s="337"/>
      <c r="M389" s="335"/>
      <c r="N389" s="2057"/>
      <c r="O389" s="337"/>
      <c r="P389" s="337"/>
      <c r="Q389" s="337"/>
      <c r="R389" s="337"/>
      <c r="S389" s="337"/>
      <c r="T389" s="337"/>
      <c r="U389" s="497"/>
      <c r="V389" s="497"/>
      <c r="W389" s="497"/>
      <c r="X389" s="497"/>
      <c r="Y389" s="497"/>
      <c r="Z389" s="497"/>
      <c r="AA389" s="497"/>
      <c r="AB389" s="497"/>
      <c r="AC389" s="497"/>
      <c r="AD389" s="497"/>
      <c r="AE389" s="497"/>
      <c r="AF389" s="497"/>
      <c r="AG389" s="497"/>
      <c r="AH389" s="497"/>
      <c r="AI389" s="497"/>
      <c r="AJ389" s="497"/>
      <c r="AK389" s="497"/>
      <c r="AL389" s="497"/>
      <c r="AM389" s="497"/>
      <c r="AN389" s="497"/>
      <c r="AO389" s="497"/>
      <c r="AP389" s="497"/>
      <c r="AQ389" s="497"/>
      <c r="AR389" s="497"/>
      <c r="AS389" s="497"/>
      <c r="AT389" s="497"/>
      <c r="AU389" s="497"/>
      <c r="AV389" s="497"/>
      <c r="AW389" s="497"/>
      <c r="AX389" s="497"/>
      <c r="AY389" s="497"/>
      <c r="AZ389" s="497"/>
      <c r="BA389" s="497"/>
      <c r="BB389" s="497"/>
      <c r="BC389" s="497"/>
      <c r="BD389" s="497"/>
      <c r="BE389" s="497"/>
      <c r="BF389" s="497"/>
      <c r="BG389" s="497"/>
      <c r="BH389" s="497"/>
      <c r="BI389" s="497"/>
      <c r="BJ389" s="497"/>
      <c r="BK389" s="497"/>
      <c r="BL389" s="497"/>
      <c r="BM389" s="497"/>
      <c r="BN389" s="497"/>
      <c r="BO389" s="497"/>
      <c r="BP389" s="497"/>
      <c r="BQ389" s="497"/>
      <c r="BR389" s="497"/>
      <c r="BS389" s="497"/>
      <c r="BT389" s="497"/>
      <c r="BU389" s="497"/>
      <c r="BV389" s="497"/>
      <c r="BW389" s="497"/>
      <c r="BX389" s="497"/>
      <c r="BY389" s="497"/>
      <c r="BZ389" s="497"/>
      <c r="CA389" s="497"/>
      <c r="CB389" s="497"/>
      <c r="CC389" s="497"/>
      <c r="CD389" s="497"/>
      <c r="CE389" s="497"/>
      <c r="CF389" s="497"/>
      <c r="CG389" s="497"/>
      <c r="CH389" s="497"/>
    </row>
    <row r="390" spans="1:86" s="325" customFormat="1">
      <c r="A390" s="517"/>
      <c r="B390" s="517"/>
      <c r="C390" s="517"/>
      <c r="D390" s="517"/>
      <c r="E390" s="517"/>
      <c r="F390" s="517"/>
      <c r="G390" s="517"/>
      <c r="H390" s="639"/>
      <c r="I390" s="639"/>
      <c r="J390" s="336"/>
      <c r="K390" s="2056"/>
      <c r="L390" s="337"/>
      <c r="M390" s="335"/>
      <c r="N390" s="2057"/>
      <c r="O390" s="337"/>
      <c r="P390" s="337"/>
      <c r="Q390" s="337"/>
      <c r="R390" s="337"/>
      <c r="S390" s="337"/>
      <c r="T390" s="337"/>
      <c r="U390" s="497"/>
      <c r="V390" s="497"/>
      <c r="W390" s="497"/>
      <c r="X390" s="497"/>
      <c r="Y390" s="497"/>
      <c r="Z390" s="497"/>
      <c r="AA390" s="497"/>
      <c r="AB390" s="497"/>
      <c r="AC390" s="497"/>
      <c r="AD390" s="497"/>
      <c r="AE390" s="497"/>
      <c r="AF390" s="497"/>
      <c r="AG390" s="497"/>
      <c r="AH390" s="497"/>
      <c r="AI390" s="497"/>
      <c r="AJ390" s="497"/>
      <c r="AK390" s="497"/>
      <c r="AL390" s="497"/>
      <c r="AM390" s="497"/>
      <c r="AN390" s="497"/>
      <c r="AO390" s="497"/>
      <c r="AP390" s="497"/>
      <c r="AQ390" s="497"/>
      <c r="AR390" s="497"/>
      <c r="AS390" s="497"/>
      <c r="AT390" s="497"/>
      <c r="AU390" s="497"/>
      <c r="AV390" s="497"/>
      <c r="AW390" s="497"/>
      <c r="AX390" s="497"/>
      <c r="AY390" s="497"/>
      <c r="AZ390" s="497"/>
      <c r="BA390" s="497"/>
      <c r="BB390" s="497"/>
      <c r="BC390" s="497"/>
      <c r="BD390" s="497"/>
      <c r="BE390" s="497"/>
      <c r="BF390" s="497"/>
      <c r="BG390" s="497"/>
      <c r="BH390" s="497"/>
      <c r="BI390" s="497"/>
      <c r="BJ390" s="497"/>
      <c r="BK390" s="497"/>
      <c r="BL390" s="497"/>
      <c r="BM390" s="497"/>
      <c r="BN390" s="497"/>
      <c r="BO390" s="497"/>
      <c r="BP390" s="497"/>
      <c r="BQ390" s="497"/>
      <c r="BR390" s="497"/>
      <c r="BS390" s="497"/>
      <c r="BT390" s="497"/>
      <c r="BU390" s="497"/>
      <c r="BV390" s="497"/>
      <c r="BW390" s="497"/>
      <c r="BX390" s="497"/>
      <c r="BY390" s="497"/>
      <c r="BZ390" s="497"/>
      <c r="CA390" s="497"/>
      <c r="CB390" s="497"/>
      <c r="CC390" s="497"/>
      <c r="CD390" s="497"/>
      <c r="CE390" s="497"/>
      <c r="CF390" s="497"/>
      <c r="CG390" s="497"/>
      <c r="CH390" s="497"/>
    </row>
    <row r="391" spans="1:86" s="325" customFormat="1">
      <c r="A391" s="517"/>
      <c r="B391" s="517"/>
      <c r="C391" s="517"/>
      <c r="D391" s="517"/>
      <c r="E391" s="517"/>
      <c r="F391" s="517"/>
      <c r="G391" s="517"/>
      <c r="H391" s="639"/>
      <c r="I391" s="639"/>
      <c r="J391" s="336"/>
      <c r="K391" s="2056"/>
      <c r="L391" s="337"/>
      <c r="M391" s="335"/>
      <c r="N391" s="2057"/>
      <c r="O391" s="337"/>
      <c r="P391" s="337"/>
      <c r="Q391" s="337"/>
      <c r="R391" s="337"/>
      <c r="S391" s="337"/>
      <c r="T391" s="337"/>
      <c r="U391" s="497"/>
      <c r="V391" s="497"/>
      <c r="W391" s="497"/>
      <c r="X391" s="497"/>
      <c r="Y391" s="497"/>
      <c r="Z391" s="497"/>
      <c r="AA391" s="497"/>
      <c r="AB391" s="497"/>
      <c r="AC391" s="497"/>
      <c r="AD391" s="497"/>
      <c r="AE391" s="497"/>
      <c r="AF391" s="497"/>
      <c r="AG391" s="497"/>
      <c r="AH391" s="497"/>
      <c r="AI391" s="497"/>
      <c r="AJ391" s="497"/>
      <c r="AK391" s="497"/>
      <c r="AL391" s="497"/>
      <c r="AM391" s="497"/>
      <c r="AN391" s="497"/>
      <c r="AO391" s="497"/>
      <c r="AP391" s="497"/>
      <c r="AQ391" s="497"/>
      <c r="AR391" s="497"/>
      <c r="AS391" s="497"/>
      <c r="AT391" s="497"/>
      <c r="AU391" s="497"/>
      <c r="AV391" s="497"/>
      <c r="AW391" s="497"/>
      <c r="AX391" s="497"/>
      <c r="AY391" s="497"/>
      <c r="AZ391" s="497"/>
      <c r="BA391" s="497"/>
      <c r="BB391" s="497"/>
      <c r="BC391" s="497"/>
      <c r="BD391" s="497"/>
      <c r="BE391" s="497"/>
      <c r="BF391" s="497"/>
      <c r="BG391" s="497"/>
      <c r="BH391" s="497"/>
      <c r="BI391" s="497"/>
      <c r="BJ391" s="497"/>
      <c r="BK391" s="497"/>
      <c r="BL391" s="497"/>
      <c r="BM391" s="497"/>
      <c r="BN391" s="497"/>
      <c r="BO391" s="497"/>
      <c r="BP391" s="497"/>
      <c r="BQ391" s="497"/>
      <c r="BR391" s="497"/>
      <c r="BS391" s="497"/>
      <c r="BT391" s="497"/>
      <c r="BU391" s="497"/>
      <c r="BV391" s="497"/>
      <c r="BW391" s="497"/>
      <c r="BX391" s="497"/>
      <c r="BY391" s="497"/>
      <c r="BZ391" s="497"/>
      <c r="CA391" s="497"/>
      <c r="CB391" s="497"/>
      <c r="CC391" s="497"/>
      <c r="CD391" s="497"/>
      <c r="CE391" s="497"/>
      <c r="CF391" s="497"/>
      <c r="CG391" s="497"/>
      <c r="CH391" s="497"/>
    </row>
    <row r="392" spans="1:86" s="325" customFormat="1">
      <c r="A392" s="517"/>
      <c r="B392" s="517"/>
      <c r="C392" s="517"/>
      <c r="D392" s="517"/>
      <c r="E392" s="517"/>
      <c r="F392" s="517"/>
      <c r="G392" s="517"/>
      <c r="H392" s="639"/>
      <c r="I392" s="639"/>
      <c r="J392" s="336"/>
      <c r="K392" s="2056"/>
      <c r="L392" s="337"/>
      <c r="M392" s="335"/>
      <c r="N392" s="2057"/>
      <c r="O392" s="337"/>
      <c r="P392" s="337"/>
      <c r="Q392" s="337"/>
      <c r="R392" s="337"/>
      <c r="S392" s="337"/>
      <c r="T392" s="337"/>
      <c r="U392" s="497"/>
      <c r="V392" s="497"/>
      <c r="W392" s="497"/>
      <c r="X392" s="497"/>
      <c r="Y392" s="497"/>
      <c r="Z392" s="497"/>
      <c r="AA392" s="497"/>
      <c r="AB392" s="497"/>
      <c r="AC392" s="497"/>
      <c r="AD392" s="497"/>
      <c r="AE392" s="497"/>
      <c r="AF392" s="497"/>
      <c r="AG392" s="497"/>
      <c r="AH392" s="497"/>
      <c r="AI392" s="497"/>
      <c r="AJ392" s="497"/>
      <c r="AK392" s="497"/>
      <c r="AL392" s="497"/>
      <c r="AM392" s="497"/>
      <c r="AN392" s="497"/>
      <c r="AO392" s="497"/>
      <c r="AP392" s="497"/>
      <c r="AQ392" s="497"/>
      <c r="AR392" s="497"/>
      <c r="AS392" s="497"/>
      <c r="AT392" s="497"/>
      <c r="AU392" s="497"/>
      <c r="AV392" s="497"/>
      <c r="AW392" s="497"/>
      <c r="AX392" s="497"/>
      <c r="AY392" s="497"/>
      <c r="AZ392" s="497"/>
      <c r="BA392" s="497"/>
      <c r="BB392" s="497"/>
      <c r="BC392" s="497"/>
      <c r="BD392" s="497"/>
      <c r="BE392" s="497"/>
      <c r="BF392" s="497"/>
      <c r="BG392" s="497"/>
      <c r="BH392" s="497"/>
      <c r="BI392" s="497"/>
      <c r="BJ392" s="497"/>
      <c r="BK392" s="497"/>
      <c r="BL392" s="497"/>
      <c r="BM392" s="497"/>
      <c r="BN392" s="497"/>
      <c r="BO392" s="497"/>
      <c r="BP392" s="497"/>
      <c r="BQ392" s="497"/>
      <c r="BR392" s="497"/>
      <c r="BS392" s="497"/>
      <c r="BT392" s="497"/>
      <c r="BU392" s="497"/>
      <c r="BV392" s="497"/>
      <c r="BW392" s="497"/>
      <c r="BX392" s="497"/>
      <c r="BY392" s="497"/>
      <c r="BZ392" s="497"/>
      <c r="CA392" s="497"/>
      <c r="CB392" s="497"/>
      <c r="CC392" s="497"/>
      <c r="CD392" s="497"/>
      <c r="CE392" s="497"/>
      <c r="CF392" s="497"/>
      <c r="CG392" s="497"/>
      <c r="CH392" s="497"/>
    </row>
    <row r="393" spans="1:86" s="325" customFormat="1">
      <c r="A393" s="517"/>
      <c r="B393" s="517"/>
      <c r="C393" s="517"/>
      <c r="D393" s="517"/>
      <c r="E393" s="517"/>
      <c r="F393" s="517"/>
      <c r="G393" s="517"/>
      <c r="H393" s="639"/>
      <c r="I393" s="639"/>
      <c r="J393" s="336"/>
      <c r="K393" s="2056"/>
      <c r="L393" s="337"/>
      <c r="M393" s="335"/>
      <c r="N393" s="2057"/>
      <c r="O393" s="337"/>
      <c r="P393" s="337"/>
      <c r="Q393" s="337"/>
      <c r="R393" s="337"/>
      <c r="S393" s="337"/>
      <c r="T393" s="337"/>
      <c r="U393" s="497"/>
      <c r="V393" s="497"/>
      <c r="W393" s="497"/>
      <c r="X393" s="497"/>
      <c r="Y393" s="497"/>
      <c r="Z393" s="497"/>
      <c r="AA393" s="497"/>
      <c r="AB393" s="497"/>
      <c r="AC393" s="497"/>
      <c r="AD393" s="497"/>
      <c r="AE393" s="497"/>
      <c r="AF393" s="497"/>
      <c r="AG393" s="497"/>
      <c r="AH393" s="497"/>
      <c r="AI393" s="497"/>
      <c r="AJ393" s="497"/>
      <c r="AK393" s="497"/>
      <c r="AL393" s="497"/>
      <c r="AM393" s="497"/>
      <c r="AN393" s="497"/>
      <c r="AO393" s="497"/>
      <c r="AP393" s="497"/>
      <c r="AQ393" s="497"/>
      <c r="AR393" s="497"/>
      <c r="AS393" s="497"/>
      <c r="AT393" s="497"/>
      <c r="AU393" s="497"/>
      <c r="AV393" s="497"/>
      <c r="AW393" s="497"/>
      <c r="AX393" s="497"/>
      <c r="AY393" s="497"/>
      <c r="AZ393" s="497"/>
      <c r="BA393" s="497"/>
      <c r="BB393" s="497"/>
      <c r="BC393" s="497"/>
      <c r="BD393" s="497"/>
      <c r="BE393" s="497"/>
      <c r="BF393" s="497"/>
      <c r="BG393" s="497"/>
      <c r="BH393" s="497"/>
      <c r="BI393" s="497"/>
      <c r="BJ393" s="497"/>
      <c r="BK393" s="497"/>
      <c r="BL393" s="497"/>
      <c r="BM393" s="497"/>
      <c r="BN393" s="497"/>
      <c r="BO393" s="497"/>
      <c r="BP393" s="497"/>
      <c r="BQ393" s="497"/>
      <c r="BR393" s="497"/>
      <c r="BS393" s="497"/>
      <c r="BT393" s="497"/>
      <c r="BU393" s="497"/>
      <c r="BV393" s="497"/>
      <c r="BW393" s="497"/>
      <c r="BX393" s="497"/>
      <c r="BY393" s="497"/>
      <c r="BZ393" s="497"/>
      <c r="CA393" s="497"/>
      <c r="CB393" s="497"/>
      <c r="CC393" s="497"/>
      <c r="CD393" s="497"/>
      <c r="CE393" s="497"/>
      <c r="CF393" s="497"/>
      <c r="CG393" s="497"/>
      <c r="CH393" s="497"/>
    </row>
    <row r="394" spans="1:86" s="325" customFormat="1">
      <c r="A394" s="517"/>
      <c r="B394" s="517"/>
      <c r="C394" s="517"/>
      <c r="D394" s="517"/>
      <c r="E394" s="517"/>
      <c r="F394" s="517"/>
      <c r="G394" s="517"/>
      <c r="H394" s="639"/>
      <c r="I394" s="639"/>
      <c r="J394" s="336"/>
      <c r="K394" s="2056"/>
      <c r="L394" s="337"/>
      <c r="M394" s="335"/>
      <c r="N394" s="2057"/>
      <c r="O394" s="337"/>
      <c r="P394" s="337"/>
      <c r="Q394" s="337"/>
      <c r="R394" s="337"/>
      <c r="S394" s="337"/>
      <c r="T394" s="337"/>
      <c r="U394" s="497"/>
      <c r="V394" s="497"/>
      <c r="W394" s="497"/>
      <c r="X394" s="497"/>
      <c r="Y394" s="497"/>
      <c r="Z394" s="497"/>
      <c r="AA394" s="497"/>
      <c r="AB394" s="497"/>
      <c r="AC394" s="497"/>
      <c r="AD394" s="497"/>
      <c r="AE394" s="497"/>
      <c r="AF394" s="497"/>
      <c r="AG394" s="497"/>
      <c r="AH394" s="497"/>
      <c r="AI394" s="497"/>
      <c r="AJ394" s="497"/>
      <c r="AK394" s="497"/>
      <c r="AL394" s="497"/>
      <c r="AM394" s="497"/>
      <c r="AN394" s="497"/>
      <c r="AO394" s="497"/>
      <c r="AP394" s="497"/>
      <c r="AQ394" s="497"/>
      <c r="AR394" s="497"/>
      <c r="AS394" s="497"/>
      <c r="AT394" s="497"/>
      <c r="AU394" s="497"/>
      <c r="AV394" s="497"/>
      <c r="AW394" s="497"/>
      <c r="AX394" s="497"/>
      <c r="AY394" s="497"/>
      <c r="AZ394" s="497"/>
      <c r="BA394" s="497"/>
      <c r="BB394" s="497"/>
      <c r="BC394" s="497"/>
      <c r="BD394" s="497"/>
      <c r="BE394" s="497"/>
      <c r="BF394" s="497"/>
      <c r="BG394" s="497"/>
      <c r="BH394" s="497"/>
      <c r="BI394" s="497"/>
      <c r="BJ394" s="497"/>
      <c r="BK394" s="497"/>
      <c r="BL394" s="497"/>
      <c r="BM394" s="497"/>
      <c r="BN394" s="497"/>
      <c r="BO394" s="497"/>
      <c r="BP394" s="497"/>
      <c r="BQ394" s="497"/>
      <c r="BR394" s="497"/>
      <c r="BS394" s="497"/>
      <c r="BT394" s="497"/>
      <c r="BU394" s="497"/>
      <c r="BV394" s="497"/>
      <c r="BW394" s="497"/>
      <c r="BX394" s="497"/>
      <c r="BY394" s="497"/>
      <c r="BZ394" s="497"/>
      <c r="CA394" s="497"/>
      <c r="CB394" s="497"/>
      <c r="CC394" s="497"/>
      <c r="CD394" s="497"/>
      <c r="CE394" s="497"/>
      <c r="CF394" s="497"/>
      <c r="CG394" s="497"/>
      <c r="CH394" s="497"/>
    </row>
    <row r="395" spans="1:86" s="325" customFormat="1">
      <c r="A395" s="517"/>
      <c r="B395" s="517"/>
      <c r="C395" s="517"/>
      <c r="D395" s="517"/>
      <c r="E395" s="517"/>
      <c r="F395" s="517"/>
      <c r="G395" s="517"/>
      <c r="H395" s="639"/>
      <c r="I395" s="639"/>
      <c r="J395" s="336"/>
      <c r="K395" s="2056"/>
      <c r="L395" s="337"/>
      <c r="M395" s="335"/>
      <c r="N395" s="2057"/>
      <c r="O395" s="337"/>
      <c r="P395" s="337"/>
      <c r="Q395" s="337"/>
      <c r="R395" s="337"/>
      <c r="S395" s="337"/>
      <c r="T395" s="337"/>
      <c r="U395" s="497"/>
      <c r="V395" s="497"/>
      <c r="W395" s="497"/>
      <c r="X395" s="497"/>
      <c r="Y395" s="497"/>
      <c r="Z395" s="497"/>
      <c r="AA395" s="497"/>
      <c r="AB395" s="497"/>
      <c r="AC395" s="497"/>
      <c r="AD395" s="497"/>
      <c r="AE395" s="497"/>
      <c r="AF395" s="497"/>
      <c r="AG395" s="497"/>
      <c r="AH395" s="497"/>
      <c r="AI395" s="497"/>
      <c r="AJ395" s="497"/>
      <c r="AK395" s="497"/>
      <c r="AL395" s="497"/>
      <c r="AM395" s="497"/>
      <c r="AN395" s="497"/>
      <c r="AO395" s="497"/>
      <c r="AP395" s="497"/>
      <c r="AQ395" s="497"/>
      <c r="AR395" s="497"/>
      <c r="AS395" s="497"/>
      <c r="AT395" s="497"/>
      <c r="AU395" s="497"/>
      <c r="AV395" s="497"/>
      <c r="AW395" s="497"/>
      <c r="AX395" s="497"/>
      <c r="AY395" s="497"/>
      <c r="AZ395" s="497"/>
      <c r="BA395" s="497"/>
      <c r="BB395" s="497"/>
      <c r="BC395" s="497"/>
      <c r="BD395" s="497"/>
      <c r="BE395" s="497"/>
      <c r="BF395" s="497"/>
      <c r="BG395" s="497"/>
      <c r="BH395" s="497"/>
      <c r="BI395" s="497"/>
      <c r="BJ395" s="497"/>
      <c r="BK395" s="497"/>
      <c r="BL395" s="497"/>
      <c r="BM395" s="497"/>
      <c r="BN395" s="497"/>
      <c r="BO395" s="497"/>
      <c r="BP395" s="497"/>
      <c r="BQ395" s="497"/>
      <c r="BR395" s="497"/>
      <c r="BS395" s="497"/>
      <c r="BT395" s="497"/>
      <c r="BU395" s="497"/>
      <c r="BV395" s="497"/>
      <c r="BW395" s="497"/>
      <c r="BX395" s="497"/>
      <c r="BY395" s="497"/>
      <c r="BZ395" s="497"/>
      <c r="CA395" s="497"/>
      <c r="CB395" s="497"/>
      <c r="CC395" s="497"/>
      <c r="CD395" s="497"/>
      <c r="CE395" s="497"/>
      <c r="CF395" s="497"/>
      <c r="CG395" s="497"/>
      <c r="CH395" s="497"/>
    </row>
    <row r="396" spans="1:86" s="325" customFormat="1">
      <c r="A396" s="517"/>
      <c r="B396" s="517"/>
      <c r="C396" s="517"/>
      <c r="D396" s="517"/>
      <c r="E396" s="517"/>
      <c r="F396" s="517"/>
      <c r="G396" s="517"/>
      <c r="H396" s="639"/>
      <c r="I396" s="639"/>
      <c r="J396" s="336"/>
      <c r="K396" s="2056"/>
      <c r="L396" s="337"/>
      <c r="M396" s="335"/>
      <c r="N396" s="2057"/>
      <c r="O396" s="337"/>
      <c r="P396" s="337"/>
      <c r="Q396" s="337"/>
      <c r="R396" s="337"/>
      <c r="S396" s="337"/>
      <c r="T396" s="337"/>
      <c r="U396" s="497"/>
      <c r="V396" s="497"/>
      <c r="W396" s="497"/>
      <c r="X396" s="497"/>
      <c r="Y396" s="497"/>
      <c r="Z396" s="497"/>
      <c r="AA396" s="497"/>
      <c r="AB396" s="497"/>
      <c r="AC396" s="497"/>
      <c r="AD396" s="497"/>
      <c r="AE396" s="497"/>
      <c r="AF396" s="497"/>
      <c r="AG396" s="497"/>
      <c r="AH396" s="497"/>
      <c r="AI396" s="497"/>
      <c r="AJ396" s="497"/>
      <c r="AK396" s="497"/>
      <c r="AL396" s="497"/>
      <c r="AM396" s="497"/>
      <c r="AN396" s="497"/>
      <c r="AO396" s="497"/>
      <c r="AP396" s="497"/>
      <c r="AQ396" s="497"/>
      <c r="AR396" s="497"/>
      <c r="AS396" s="497"/>
      <c r="AT396" s="497"/>
      <c r="AU396" s="497"/>
      <c r="AV396" s="497"/>
      <c r="AW396" s="497"/>
      <c r="AX396" s="497"/>
      <c r="AY396" s="497"/>
      <c r="AZ396" s="497"/>
      <c r="BA396" s="497"/>
      <c r="BB396" s="497"/>
      <c r="BC396" s="497"/>
      <c r="BD396" s="497"/>
      <c r="BE396" s="497"/>
      <c r="BF396" s="497"/>
      <c r="BG396" s="497"/>
      <c r="BH396" s="497"/>
      <c r="BI396" s="497"/>
      <c r="BJ396" s="497"/>
      <c r="BK396" s="497"/>
      <c r="BL396" s="497"/>
      <c r="BM396" s="497"/>
      <c r="BN396" s="497"/>
      <c r="BO396" s="497"/>
      <c r="BP396" s="497"/>
      <c r="BQ396" s="497"/>
      <c r="BR396" s="497"/>
      <c r="BS396" s="497"/>
      <c r="BT396" s="497"/>
      <c r="BU396" s="497"/>
      <c r="BV396" s="497"/>
      <c r="BW396" s="497"/>
      <c r="BX396" s="497"/>
      <c r="BY396" s="497"/>
      <c r="BZ396" s="497"/>
      <c r="CA396" s="497"/>
      <c r="CB396" s="497"/>
      <c r="CC396" s="497"/>
      <c r="CD396" s="497"/>
      <c r="CE396" s="497"/>
      <c r="CF396" s="497"/>
      <c r="CG396" s="497"/>
      <c r="CH396" s="497"/>
    </row>
    <row r="397" spans="1:86" s="325" customFormat="1">
      <c r="A397" s="517"/>
      <c r="B397" s="517"/>
      <c r="C397" s="517"/>
      <c r="D397" s="517"/>
      <c r="E397" s="517"/>
      <c r="F397" s="517"/>
      <c r="G397" s="517"/>
      <c r="H397" s="639"/>
      <c r="I397" s="639"/>
      <c r="J397" s="336"/>
      <c r="K397" s="2056"/>
      <c r="L397" s="337"/>
      <c r="M397" s="335"/>
      <c r="N397" s="2057"/>
      <c r="O397" s="337"/>
      <c r="P397" s="337"/>
      <c r="Q397" s="337"/>
      <c r="R397" s="337"/>
      <c r="S397" s="337"/>
      <c r="T397" s="337"/>
      <c r="U397" s="497"/>
      <c r="V397" s="497"/>
      <c r="W397" s="497"/>
      <c r="X397" s="497"/>
      <c r="Y397" s="497"/>
      <c r="Z397" s="497"/>
      <c r="AA397" s="497"/>
      <c r="AB397" s="497"/>
      <c r="AC397" s="497"/>
      <c r="AD397" s="497"/>
      <c r="AE397" s="497"/>
      <c r="AF397" s="497"/>
      <c r="AG397" s="497"/>
      <c r="AH397" s="497"/>
      <c r="AI397" s="497"/>
      <c r="AJ397" s="497"/>
      <c r="AK397" s="497"/>
      <c r="AL397" s="497"/>
      <c r="AM397" s="497"/>
      <c r="AN397" s="497"/>
      <c r="AO397" s="497"/>
      <c r="AP397" s="497"/>
      <c r="AQ397" s="497"/>
      <c r="AR397" s="497"/>
      <c r="AS397" s="497"/>
      <c r="AT397" s="497"/>
      <c r="AU397" s="497"/>
      <c r="AV397" s="497"/>
      <c r="AW397" s="497"/>
      <c r="AX397" s="497"/>
      <c r="AY397" s="497"/>
      <c r="AZ397" s="497"/>
      <c r="BA397" s="497"/>
      <c r="BB397" s="497"/>
      <c r="BC397" s="497"/>
      <c r="BD397" s="497"/>
      <c r="BE397" s="497"/>
      <c r="BF397" s="497"/>
      <c r="BG397" s="497"/>
      <c r="BH397" s="497"/>
      <c r="BI397" s="497"/>
      <c r="BJ397" s="497"/>
      <c r="BK397" s="497"/>
      <c r="BL397" s="497"/>
      <c r="BM397" s="497"/>
      <c r="BN397" s="497"/>
      <c r="BO397" s="497"/>
      <c r="BP397" s="497"/>
      <c r="BQ397" s="497"/>
      <c r="BR397" s="497"/>
      <c r="BS397" s="497"/>
      <c r="BT397" s="497"/>
      <c r="BU397" s="497"/>
      <c r="BV397" s="497"/>
      <c r="BW397" s="497"/>
      <c r="BX397" s="497"/>
      <c r="BY397" s="497"/>
      <c r="BZ397" s="497"/>
      <c r="CA397" s="497"/>
      <c r="CB397" s="497"/>
      <c r="CC397" s="497"/>
      <c r="CD397" s="497"/>
      <c r="CE397" s="497"/>
      <c r="CF397" s="497"/>
      <c r="CG397" s="497"/>
      <c r="CH397" s="497"/>
    </row>
    <row r="398" spans="1:86" s="325" customFormat="1">
      <c r="A398" s="517"/>
      <c r="B398" s="517"/>
      <c r="C398" s="517"/>
      <c r="D398" s="517"/>
      <c r="E398" s="517"/>
      <c r="F398" s="517"/>
      <c r="G398" s="517"/>
      <c r="H398" s="639"/>
      <c r="I398" s="639"/>
      <c r="J398" s="336"/>
      <c r="K398" s="2056"/>
      <c r="L398" s="337"/>
      <c r="M398" s="335"/>
      <c r="N398" s="2057"/>
      <c r="O398" s="337"/>
      <c r="P398" s="337"/>
      <c r="Q398" s="337"/>
      <c r="R398" s="337"/>
      <c r="S398" s="337"/>
      <c r="T398" s="337"/>
      <c r="U398" s="497"/>
      <c r="V398" s="497"/>
      <c r="W398" s="497"/>
      <c r="X398" s="497"/>
      <c r="Y398" s="497"/>
      <c r="Z398" s="497"/>
      <c r="AA398" s="497"/>
      <c r="AB398" s="497"/>
      <c r="AC398" s="497"/>
      <c r="AD398" s="497"/>
      <c r="AE398" s="497"/>
      <c r="AF398" s="497"/>
      <c r="AG398" s="497"/>
      <c r="AH398" s="497"/>
      <c r="AI398" s="497"/>
      <c r="AJ398" s="497"/>
      <c r="AK398" s="497"/>
      <c r="AL398" s="497"/>
      <c r="AM398" s="497"/>
      <c r="AN398" s="497"/>
      <c r="AO398" s="497"/>
      <c r="AP398" s="497"/>
      <c r="AQ398" s="497"/>
      <c r="AR398" s="497"/>
      <c r="AS398" s="497"/>
      <c r="AT398" s="497"/>
      <c r="AU398" s="497"/>
      <c r="AV398" s="497"/>
      <c r="AW398" s="497"/>
      <c r="AX398" s="497"/>
      <c r="AY398" s="497"/>
      <c r="AZ398" s="497"/>
      <c r="BA398" s="497"/>
      <c r="BB398" s="497"/>
      <c r="BC398" s="497"/>
      <c r="BD398" s="497"/>
      <c r="BE398" s="497"/>
      <c r="BF398" s="497"/>
      <c r="BG398" s="497"/>
      <c r="BH398" s="497"/>
      <c r="BI398" s="497"/>
      <c r="BJ398" s="497"/>
      <c r="BK398" s="497"/>
      <c r="BL398" s="497"/>
      <c r="BM398" s="497"/>
      <c r="BN398" s="497"/>
      <c r="BO398" s="497"/>
      <c r="BP398" s="497"/>
      <c r="BQ398" s="497"/>
      <c r="BR398" s="497"/>
      <c r="BS398" s="497"/>
      <c r="BT398" s="497"/>
      <c r="BU398" s="497"/>
      <c r="BV398" s="497"/>
      <c r="BW398" s="497"/>
      <c r="BX398" s="497"/>
      <c r="BY398" s="497"/>
      <c r="BZ398" s="497"/>
      <c r="CA398" s="497"/>
      <c r="CB398" s="497"/>
      <c r="CC398" s="497"/>
      <c r="CD398" s="497"/>
      <c r="CE398" s="497"/>
      <c r="CF398" s="497"/>
      <c r="CG398" s="497"/>
      <c r="CH398" s="497"/>
    </row>
    <row r="399" spans="1:86" s="325" customFormat="1">
      <c r="A399" s="517"/>
      <c r="B399" s="517"/>
      <c r="C399" s="517"/>
      <c r="D399" s="517"/>
      <c r="E399" s="517"/>
      <c r="F399" s="517"/>
      <c r="G399" s="517"/>
      <c r="H399" s="639"/>
      <c r="I399" s="639"/>
      <c r="J399" s="336"/>
      <c r="K399" s="2056"/>
      <c r="L399" s="337"/>
      <c r="M399" s="335"/>
      <c r="N399" s="2057"/>
      <c r="O399" s="337"/>
      <c r="P399" s="337"/>
      <c r="Q399" s="337"/>
      <c r="R399" s="337"/>
      <c r="S399" s="337"/>
      <c r="T399" s="337"/>
      <c r="U399" s="497"/>
      <c r="V399" s="497"/>
      <c r="W399" s="497"/>
      <c r="X399" s="497"/>
      <c r="Y399" s="497"/>
      <c r="Z399" s="497"/>
      <c r="AA399" s="497"/>
      <c r="AB399" s="497"/>
      <c r="AC399" s="497"/>
      <c r="AD399" s="497"/>
      <c r="AE399" s="497"/>
      <c r="AF399" s="497"/>
      <c r="AG399" s="497"/>
      <c r="AH399" s="497"/>
      <c r="AI399" s="497"/>
      <c r="AJ399" s="497"/>
      <c r="AK399" s="497"/>
      <c r="AL399" s="497"/>
      <c r="AM399" s="497"/>
      <c r="AN399" s="497"/>
      <c r="AO399" s="497"/>
      <c r="AP399" s="497"/>
      <c r="AQ399" s="497"/>
      <c r="AR399" s="497"/>
      <c r="AS399" s="497"/>
      <c r="AT399" s="497"/>
      <c r="AU399" s="497"/>
      <c r="AV399" s="497"/>
      <c r="AW399" s="497"/>
      <c r="AX399" s="497"/>
      <c r="AY399" s="497"/>
      <c r="AZ399" s="497"/>
      <c r="BA399" s="497"/>
      <c r="BB399" s="497"/>
      <c r="BC399" s="497"/>
      <c r="BD399" s="497"/>
      <c r="BE399" s="497"/>
      <c r="BF399" s="497"/>
      <c r="BG399" s="497"/>
      <c r="BH399" s="497"/>
      <c r="BI399" s="497"/>
      <c r="BJ399" s="497"/>
      <c r="BK399" s="497"/>
      <c r="BL399" s="497"/>
      <c r="BM399" s="497"/>
      <c r="BN399" s="497"/>
      <c r="BO399" s="497"/>
      <c r="BP399" s="497"/>
      <c r="BQ399" s="497"/>
      <c r="BR399" s="497"/>
      <c r="BS399" s="497"/>
      <c r="BT399" s="497"/>
      <c r="BU399" s="497"/>
      <c r="BV399" s="497"/>
      <c r="BW399" s="497"/>
      <c r="BX399" s="497"/>
      <c r="BY399" s="497"/>
      <c r="BZ399" s="497"/>
      <c r="CA399" s="497"/>
      <c r="CB399" s="497"/>
      <c r="CC399" s="497"/>
      <c r="CD399" s="497"/>
      <c r="CE399" s="497"/>
      <c r="CF399" s="497"/>
      <c r="CG399" s="497"/>
      <c r="CH399" s="497"/>
    </row>
    <row r="400" spans="1:86" s="325" customFormat="1">
      <c r="A400" s="517"/>
      <c r="B400" s="517"/>
      <c r="C400" s="517"/>
      <c r="D400" s="517"/>
      <c r="E400" s="517"/>
      <c r="F400" s="517"/>
      <c r="G400" s="517"/>
      <c r="H400" s="639"/>
      <c r="I400" s="639"/>
      <c r="J400" s="336"/>
      <c r="K400" s="2056"/>
      <c r="L400" s="337"/>
      <c r="M400" s="335"/>
      <c r="N400" s="2057"/>
      <c r="O400" s="337"/>
      <c r="P400" s="337"/>
      <c r="Q400" s="337"/>
      <c r="R400" s="337"/>
      <c r="S400" s="337"/>
      <c r="T400" s="337"/>
      <c r="U400" s="497"/>
      <c r="V400" s="497"/>
      <c r="W400" s="497"/>
      <c r="X400" s="497"/>
      <c r="Y400" s="497"/>
      <c r="Z400" s="497"/>
      <c r="AA400" s="497"/>
      <c r="AB400" s="497"/>
      <c r="AC400" s="497"/>
      <c r="AD400" s="497"/>
      <c r="AE400" s="497"/>
      <c r="AF400" s="497"/>
      <c r="AG400" s="497"/>
      <c r="AH400" s="497"/>
      <c r="AI400" s="497"/>
      <c r="AJ400" s="497"/>
      <c r="AK400" s="497"/>
      <c r="AL400" s="497"/>
      <c r="AM400" s="497"/>
      <c r="AN400" s="497"/>
      <c r="AO400" s="497"/>
      <c r="AP400" s="497"/>
      <c r="AQ400" s="497"/>
      <c r="AR400" s="497"/>
      <c r="AS400" s="497"/>
      <c r="AT400" s="497"/>
      <c r="AU400" s="497"/>
      <c r="AV400" s="497"/>
      <c r="AW400" s="497"/>
      <c r="AX400" s="497"/>
      <c r="AY400" s="497"/>
      <c r="AZ400" s="497"/>
      <c r="BA400" s="497"/>
      <c r="BB400" s="497"/>
      <c r="BC400" s="497"/>
      <c r="BD400" s="497"/>
      <c r="BE400" s="497"/>
      <c r="BF400" s="497"/>
      <c r="BG400" s="497"/>
      <c r="BH400" s="497"/>
      <c r="BI400" s="497"/>
      <c r="BJ400" s="497"/>
      <c r="BK400" s="497"/>
      <c r="BL400" s="497"/>
      <c r="BM400" s="497"/>
      <c r="BN400" s="497"/>
      <c r="BO400" s="497"/>
      <c r="BP400" s="497"/>
      <c r="BQ400" s="497"/>
      <c r="BR400" s="497"/>
      <c r="BS400" s="497"/>
      <c r="BT400" s="497"/>
      <c r="BU400" s="497"/>
      <c r="BV400" s="497"/>
      <c r="BW400" s="497"/>
      <c r="BX400" s="497"/>
      <c r="BY400" s="497"/>
      <c r="BZ400" s="497"/>
      <c r="CA400" s="497"/>
      <c r="CB400" s="497"/>
      <c r="CC400" s="497"/>
      <c r="CD400" s="497"/>
      <c r="CE400" s="497"/>
      <c r="CF400" s="497"/>
      <c r="CG400" s="497"/>
      <c r="CH400" s="497"/>
    </row>
    <row r="401" spans="1:86" s="325" customFormat="1">
      <c r="A401" s="517"/>
      <c r="B401" s="517"/>
      <c r="C401" s="517"/>
      <c r="D401" s="517"/>
      <c r="E401" s="517"/>
      <c r="F401" s="517"/>
      <c r="G401" s="517"/>
      <c r="H401" s="639"/>
      <c r="I401" s="639"/>
      <c r="J401" s="336"/>
      <c r="K401" s="2056"/>
      <c r="L401" s="337"/>
      <c r="M401" s="335"/>
      <c r="N401" s="2057"/>
      <c r="O401" s="337"/>
      <c r="P401" s="337"/>
      <c r="Q401" s="337"/>
      <c r="R401" s="337"/>
      <c r="S401" s="337"/>
      <c r="T401" s="337"/>
      <c r="U401" s="497"/>
      <c r="V401" s="497"/>
      <c r="W401" s="497"/>
      <c r="X401" s="497"/>
      <c r="Y401" s="497"/>
      <c r="Z401" s="497"/>
      <c r="AA401" s="497"/>
      <c r="AB401" s="497"/>
      <c r="AC401" s="497"/>
      <c r="AD401" s="497"/>
      <c r="AE401" s="497"/>
      <c r="AF401" s="497"/>
      <c r="AG401" s="497"/>
      <c r="AH401" s="497"/>
      <c r="AI401" s="497"/>
      <c r="AJ401" s="497"/>
      <c r="AK401" s="497"/>
      <c r="AL401" s="497"/>
      <c r="AM401" s="497"/>
      <c r="AN401" s="497"/>
      <c r="AO401" s="497"/>
      <c r="AP401" s="497"/>
      <c r="AQ401" s="497"/>
      <c r="AR401" s="497"/>
      <c r="AS401" s="497"/>
      <c r="AT401" s="497"/>
      <c r="AU401" s="497"/>
      <c r="AV401" s="497"/>
      <c r="AW401" s="497"/>
      <c r="AX401" s="497"/>
      <c r="AY401" s="497"/>
      <c r="AZ401" s="497"/>
      <c r="BA401" s="497"/>
      <c r="BB401" s="497"/>
      <c r="BC401" s="497"/>
      <c r="BD401" s="497"/>
      <c r="BE401" s="497"/>
      <c r="BF401" s="497"/>
      <c r="BG401" s="497"/>
      <c r="BH401" s="497"/>
      <c r="BI401" s="497"/>
      <c r="BJ401" s="497"/>
      <c r="BK401" s="497"/>
      <c r="BL401" s="497"/>
      <c r="BM401" s="497"/>
      <c r="BN401" s="497"/>
      <c r="BO401" s="497"/>
      <c r="BP401" s="497"/>
      <c r="BQ401" s="497"/>
      <c r="BR401" s="497"/>
      <c r="BS401" s="497"/>
      <c r="BT401" s="497"/>
      <c r="BU401" s="497"/>
      <c r="BV401" s="497"/>
      <c r="BW401" s="497"/>
      <c r="BX401" s="497"/>
      <c r="BY401" s="497"/>
      <c r="BZ401" s="497"/>
      <c r="CA401" s="497"/>
      <c r="CB401" s="497"/>
      <c r="CC401" s="497"/>
      <c r="CD401" s="497"/>
      <c r="CE401" s="497"/>
      <c r="CF401" s="497"/>
      <c r="CG401" s="497"/>
      <c r="CH401" s="497"/>
    </row>
    <row r="402" spans="1:86" s="325" customFormat="1">
      <c r="A402" s="517"/>
      <c r="B402" s="517"/>
      <c r="C402" s="517"/>
      <c r="D402" s="517"/>
      <c r="E402" s="517"/>
      <c r="F402" s="517"/>
      <c r="G402" s="517"/>
      <c r="H402" s="639"/>
      <c r="I402" s="639"/>
      <c r="J402" s="336"/>
      <c r="K402" s="2056"/>
      <c r="L402" s="337"/>
      <c r="M402" s="335"/>
      <c r="N402" s="2057"/>
      <c r="O402" s="337"/>
      <c r="P402" s="337"/>
      <c r="Q402" s="337"/>
      <c r="R402" s="337"/>
      <c r="S402" s="337"/>
      <c r="T402" s="337"/>
      <c r="U402" s="497"/>
      <c r="V402" s="497"/>
      <c r="W402" s="497"/>
      <c r="X402" s="497"/>
      <c r="Y402" s="497"/>
      <c r="Z402" s="497"/>
      <c r="AA402" s="497"/>
      <c r="AB402" s="497"/>
      <c r="AC402" s="497"/>
      <c r="AD402" s="497"/>
      <c r="AE402" s="497"/>
      <c r="AF402" s="497"/>
      <c r="AG402" s="497"/>
      <c r="AH402" s="497"/>
      <c r="AI402" s="497"/>
      <c r="AJ402" s="497"/>
      <c r="AK402" s="497"/>
      <c r="AL402" s="497"/>
      <c r="AM402" s="497"/>
      <c r="AN402" s="497"/>
      <c r="AO402" s="497"/>
      <c r="AP402" s="497"/>
      <c r="AQ402" s="497"/>
      <c r="AR402" s="497"/>
      <c r="AS402" s="497"/>
      <c r="AT402" s="497"/>
      <c r="AU402" s="497"/>
      <c r="AV402" s="497"/>
      <c r="AW402" s="497"/>
      <c r="AX402" s="497"/>
      <c r="AY402" s="497"/>
      <c r="AZ402" s="497"/>
      <c r="BA402" s="497"/>
      <c r="BB402" s="497"/>
      <c r="BC402" s="497"/>
      <c r="BD402" s="497"/>
      <c r="BE402" s="497"/>
      <c r="BF402" s="497"/>
      <c r="BG402" s="497"/>
      <c r="BH402" s="497"/>
      <c r="BI402" s="497"/>
      <c r="BJ402" s="497"/>
      <c r="BK402" s="497"/>
      <c r="BL402" s="497"/>
      <c r="BM402" s="497"/>
      <c r="BN402" s="497"/>
      <c r="BO402" s="497"/>
      <c r="BP402" s="497"/>
      <c r="BQ402" s="497"/>
      <c r="BR402" s="497"/>
      <c r="BS402" s="497"/>
      <c r="BT402" s="497"/>
      <c r="BU402" s="497"/>
      <c r="BV402" s="497"/>
      <c r="BW402" s="497"/>
      <c r="BX402" s="497"/>
      <c r="BY402" s="497"/>
      <c r="BZ402" s="497"/>
      <c r="CA402" s="497"/>
      <c r="CB402" s="497"/>
      <c r="CC402" s="497"/>
      <c r="CD402" s="497"/>
      <c r="CE402" s="497"/>
      <c r="CF402" s="497"/>
      <c r="CG402" s="497"/>
      <c r="CH402" s="497"/>
    </row>
    <row r="403" spans="1:86" s="325" customFormat="1">
      <c r="A403" s="517"/>
      <c r="B403" s="517"/>
      <c r="C403" s="517"/>
      <c r="D403" s="517"/>
      <c r="E403" s="517"/>
      <c r="F403" s="517"/>
      <c r="G403" s="517"/>
      <c r="H403" s="639"/>
      <c r="I403" s="639"/>
      <c r="J403" s="336"/>
      <c r="K403" s="2056"/>
      <c r="L403" s="337"/>
      <c r="M403" s="335"/>
      <c r="N403" s="2057"/>
      <c r="O403" s="337"/>
      <c r="P403" s="337"/>
      <c r="Q403" s="337"/>
      <c r="R403" s="337"/>
      <c r="S403" s="337"/>
      <c r="T403" s="337"/>
      <c r="U403" s="497"/>
      <c r="V403" s="497"/>
      <c r="W403" s="497"/>
      <c r="X403" s="497"/>
      <c r="Y403" s="497"/>
      <c r="Z403" s="497"/>
      <c r="AA403" s="497"/>
      <c r="AB403" s="497"/>
      <c r="AC403" s="497"/>
      <c r="AD403" s="497"/>
      <c r="AE403" s="497"/>
      <c r="AF403" s="497"/>
      <c r="AG403" s="497"/>
      <c r="AH403" s="497"/>
      <c r="AI403" s="497"/>
      <c r="AJ403" s="497"/>
      <c r="AK403" s="497"/>
      <c r="AL403" s="497"/>
      <c r="AM403" s="497"/>
      <c r="AN403" s="497"/>
      <c r="AO403" s="497"/>
      <c r="AP403" s="497"/>
      <c r="AQ403" s="497"/>
      <c r="AR403" s="497"/>
      <c r="AS403" s="497"/>
      <c r="AT403" s="497"/>
      <c r="AU403" s="497"/>
      <c r="AV403" s="497"/>
      <c r="AW403" s="497"/>
      <c r="AX403" s="497"/>
      <c r="AY403" s="497"/>
      <c r="AZ403" s="497"/>
      <c r="BA403" s="497"/>
      <c r="BB403" s="497"/>
      <c r="BC403" s="497"/>
      <c r="BD403" s="497"/>
      <c r="BE403" s="497"/>
      <c r="BF403" s="497"/>
      <c r="BG403" s="497"/>
      <c r="BH403" s="497"/>
      <c r="BI403" s="497"/>
      <c r="BJ403" s="497"/>
      <c r="BK403" s="497"/>
      <c r="BL403" s="497"/>
      <c r="BM403" s="497"/>
      <c r="BN403" s="497"/>
      <c r="BO403" s="497"/>
      <c r="BP403" s="497"/>
      <c r="BQ403" s="497"/>
      <c r="BR403" s="497"/>
      <c r="BS403" s="497"/>
      <c r="BT403" s="497"/>
      <c r="BU403" s="497"/>
      <c r="BV403" s="497"/>
      <c r="BW403" s="497"/>
      <c r="BX403" s="497"/>
      <c r="BY403" s="497"/>
      <c r="BZ403" s="497"/>
      <c r="CA403" s="497"/>
      <c r="CB403" s="497"/>
      <c r="CC403" s="497"/>
      <c r="CD403" s="497"/>
      <c r="CE403" s="497"/>
      <c r="CF403" s="497"/>
      <c r="CG403" s="497"/>
      <c r="CH403" s="497"/>
    </row>
    <row r="404" spans="1:86" s="325" customFormat="1">
      <c r="A404" s="517"/>
      <c r="B404" s="517"/>
      <c r="C404" s="517"/>
      <c r="D404" s="517"/>
      <c r="E404" s="517"/>
      <c r="F404" s="517"/>
      <c r="G404" s="517"/>
      <c r="H404" s="639"/>
      <c r="I404" s="639"/>
      <c r="J404" s="336"/>
      <c r="K404" s="2056"/>
      <c r="L404" s="337"/>
      <c r="M404" s="335"/>
      <c r="N404" s="2057"/>
      <c r="O404" s="337"/>
      <c r="P404" s="337"/>
      <c r="Q404" s="337"/>
      <c r="R404" s="337"/>
      <c r="S404" s="337"/>
      <c r="T404" s="337"/>
      <c r="U404" s="497"/>
      <c r="V404" s="497"/>
      <c r="W404" s="497"/>
      <c r="X404" s="497"/>
      <c r="Y404" s="497"/>
      <c r="Z404" s="497"/>
      <c r="AA404" s="497"/>
      <c r="AB404" s="497"/>
      <c r="AC404" s="497"/>
      <c r="AD404" s="497"/>
      <c r="AE404" s="497"/>
      <c r="AF404" s="497"/>
      <c r="AG404" s="497"/>
      <c r="AH404" s="497"/>
      <c r="AI404" s="497"/>
      <c r="AJ404" s="497"/>
      <c r="AK404" s="497"/>
      <c r="AL404" s="497"/>
      <c r="AM404" s="497"/>
      <c r="AN404" s="497"/>
      <c r="AO404" s="497"/>
      <c r="AP404" s="497"/>
      <c r="AQ404" s="497"/>
      <c r="AR404" s="497"/>
      <c r="AS404" s="497"/>
      <c r="AT404" s="497"/>
      <c r="AU404" s="497"/>
      <c r="AV404" s="497"/>
      <c r="AW404" s="497"/>
      <c r="AX404" s="497"/>
      <c r="AY404" s="497"/>
      <c r="AZ404" s="497"/>
      <c r="BA404" s="497"/>
      <c r="BB404" s="497"/>
      <c r="BC404" s="497"/>
      <c r="BD404" s="497"/>
      <c r="BE404" s="497"/>
      <c r="BF404" s="497"/>
      <c r="BG404" s="497"/>
      <c r="BH404" s="497"/>
      <c r="BI404" s="497"/>
      <c r="BJ404" s="497"/>
      <c r="BK404" s="497"/>
      <c r="BL404" s="497"/>
      <c r="BM404" s="497"/>
      <c r="BN404" s="497"/>
      <c r="BO404" s="497"/>
      <c r="BP404" s="497"/>
      <c r="BQ404" s="497"/>
      <c r="BR404" s="497"/>
      <c r="BS404" s="497"/>
      <c r="BT404" s="497"/>
      <c r="BU404" s="497"/>
      <c r="BV404" s="497"/>
      <c r="BW404" s="497"/>
      <c r="BX404" s="497"/>
      <c r="BY404" s="497"/>
      <c r="BZ404" s="497"/>
      <c r="CA404" s="497"/>
      <c r="CB404" s="497"/>
      <c r="CC404" s="497"/>
      <c r="CD404" s="497"/>
      <c r="CE404" s="497"/>
      <c r="CF404" s="497"/>
      <c r="CG404" s="497"/>
      <c r="CH404" s="497"/>
    </row>
    <row r="405" spans="1:86" s="325" customFormat="1">
      <c r="A405" s="517"/>
      <c r="B405" s="517"/>
      <c r="C405" s="517"/>
      <c r="D405" s="517"/>
      <c r="E405" s="517"/>
      <c r="F405" s="517"/>
      <c r="G405" s="517"/>
      <c r="H405" s="639"/>
      <c r="I405" s="639"/>
      <c r="J405" s="336"/>
      <c r="K405" s="2056"/>
      <c r="L405" s="337"/>
      <c r="M405" s="335"/>
      <c r="N405" s="2057"/>
      <c r="O405" s="337"/>
      <c r="P405" s="337"/>
      <c r="Q405" s="337"/>
      <c r="R405" s="337"/>
      <c r="S405" s="337"/>
      <c r="T405" s="337"/>
      <c r="U405" s="497"/>
      <c r="V405" s="497"/>
      <c r="W405" s="497"/>
      <c r="X405" s="497"/>
      <c r="Y405" s="497"/>
      <c r="Z405" s="497"/>
      <c r="AA405" s="497"/>
      <c r="AB405" s="497"/>
      <c r="AC405" s="497"/>
      <c r="AD405" s="497"/>
      <c r="AE405" s="497"/>
      <c r="AF405" s="497"/>
      <c r="AG405" s="497"/>
      <c r="AH405" s="497"/>
      <c r="AI405" s="497"/>
      <c r="AJ405" s="497"/>
      <c r="AK405" s="497"/>
      <c r="AL405" s="497"/>
      <c r="AM405" s="497"/>
      <c r="AN405" s="497"/>
      <c r="AO405" s="497"/>
      <c r="AP405" s="497"/>
      <c r="AQ405" s="497"/>
      <c r="AR405" s="497"/>
      <c r="AS405" s="497"/>
      <c r="AT405" s="497"/>
      <c r="AU405" s="497"/>
      <c r="AV405" s="497"/>
      <c r="AW405" s="497"/>
      <c r="AX405" s="497"/>
      <c r="AY405" s="497"/>
      <c r="AZ405" s="497"/>
      <c r="BA405" s="497"/>
      <c r="BB405" s="497"/>
      <c r="BC405" s="497"/>
      <c r="BD405" s="497"/>
      <c r="BE405" s="497"/>
      <c r="BF405" s="497"/>
      <c r="BG405" s="497"/>
      <c r="BH405" s="497"/>
      <c r="BI405" s="497"/>
      <c r="BJ405" s="497"/>
      <c r="BK405" s="497"/>
      <c r="BL405" s="497"/>
      <c r="BM405" s="497"/>
      <c r="BN405" s="497"/>
      <c r="BO405" s="497"/>
      <c r="BP405" s="497"/>
      <c r="BQ405" s="497"/>
      <c r="BR405" s="497"/>
      <c r="BS405" s="497"/>
      <c r="BT405" s="497"/>
      <c r="BU405" s="497"/>
      <c r="BV405" s="497"/>
      <c r="BW405" s="497"/>
      <c r="BX405" s="497"/>
      <c r="BY405" s="497"/>
      <c r="BZ405" s="497"/>
      <c r="CA405" s="497"/>
      <c r="CB405" s="497"/>
      <c r="CC405" s="497"/>
      <c r="CD405" s="497"/>
      <c r="CE405" s="497"/>
      <c r="CF405" s="497"/>
      <c r="CG405" s="497"/>
      <c r="CH405" s="497"/>
    </row>
    <row r="406" spans="1:86" s="325" customFormat="1">
      <c r="A406" s="517"/>
      <c r="B406" s="517"/>
      <c r="C406" s="517"/>
      <c r="D406" s="517"/>
      <c r="E406" s="517"/>
      <c r="F406" s="517"/>
      <c r="G406" s="517"/>
      <c r="H406" s="639"/>
      <c r="I406" s="639"/>
      <c r="J406" s="336"/>
      <c r="K406" s="2056"/>
      <c r="L406" s="337"/>
      <c r="M406" s="335"/>
      <c r="N406" s="2057"/>
      <c r="O406" s="337"/>
      <c r="P406" s="337"/>
      <c r="Q406" s="337"/>
      <c r="R406" s="337"/>
      <c r="S406" s="337"/>
      <c r="T406" s="337"/>
      <c r="U406" s="497"/>
      <c r="V406" s="497"/>
      <c r="W406" s="497"/>
      <c r="X406" s="497"/>
      <c r="Y406" s="497"/>
      <c r="Z406" s="497"/>
      <c r="AA406" s="497"/>
      <c r="AB406" s="497"/>
      <c r="AC406" s="497"/>
      <c r="AD406" s="497"/>
      <c r="AE406" s="497"/>
      <c r="AF406" s="497"/>
      <c r="AG406" s="497"/>
      <c r="AH406" s="497"/>
      <c r="AI406" s="497"/>
      <c r="AJ406" s="497"/>
      <c r="AK406" s="497"/>
      <c r="AL406" s="497"/>
      <c r="AM406" s="497"/>
      <c r="AN406" s="497"/>
      <c r="AO406" s="497"/>
      <c r="AP406" s="497"/>
      <c r="AQ406" s="497"/>
      <c r="AR406" s="497"/>
      <c r="AS406" s="497"/>
      <c r="AT406" s="497"/>
      <c r="AU406" s="497"/>
      <c r="AV406" s="497"/>
      <c r="AW406" s="497"/>
      <c r="AX406" s="497"/>
      <c r="AY406" s="497"/>
      <c r="AZ406" s="497"/>
      <c r="BA406" s="497"/>
      <c r="BB406" s="497"/>
      <c r="BC406" s="497"/>
      <c r="BD406" s="497"/>
      <c r="BE406" s="497"/>
      <c r="BF406" s="497"/>
      <c r="BG406" s="497"/>
      <c r="BH406" s="497"/>
      <c r="BI406" s="497"/>
      <c r="BJ406" s="497"/>
      <c r="BK406" s="497"/>
      <c r="BL406" s="497"/>
      <c r="BM406" s="497"/>
      <c r="BN406" s="497"/>
      <c r="BO406" s="497"/>
      <c r="BP406" s="497"/>
      <c r="BQ406" s="497"/>
      <c r="BR406" s="497"/>
      <c r="BS406" s="497"/>
      <c r="BT406" s="497"/>
      <c r="BU406" s="497"/>
      <c r="BV406" s="497"/>
      <c r="BW406" s="497"/>
      <c r="BX406" s="497"/>
      <c r="BY406" s="497"/>
      <c r="BZ406" s="497"/>
      <c r="CA406" s="497"/>
      <c r="CB406" s="497"/>
      <c r="CC406" s="497"/>
      <c r="CD406" s="497"/>
      <c r="CE406" s="497"/>
      <c r="CF406" s="497"/>
      <c r="CG406" s="497"/>
      <c r="CH406" s="497"/>
    </row>
    <row r="407" spans="1:86" s="325" customFormat="1">
      <c r="A407" s="517"/>
      <c r="B407" s="517"/>
      <c r="C407" s="517"/>
      <c r="D407" s="517"/>
      <c r="E407" s="517"/>
      <c r="F407" s="517"/>
      <c r="G407" s="517"/>
      <c r="H407" s="639"/>
      <c r="I407" s="639"/>
      <c r="J407" s="336"/>
      <c r="K407" s="2056"/>
      <c r="L407" s="337"/>
      <c r="M407" s="335"/>
      <c r="N407" s="2057"/>
      <c r="O407" s="337"/>
      <c r="P407" s="337"/>
      <c r="Q407" s="337"/>
      <c r="R407" s="337"/>
      <c r="S407" s="337"/>
      <c r="T407" s="337"/>
      <c r="U407" s="497"/>
      <c r="V407" s="497"/>
      <c r="W407" s="497"/>
      <c r="X407" s="497"/>
      <c r="Y407" s="497"/>
      <c r="Z407" s="497"/>
      <c r="AA407" s="497"/>
      <c r="AB407" s="497"/>
      <c r="AC407" s="497"/>
      <c r="AD407" s="497"/>
      <c r="AE407" s="497"/>
      <c r="AF407" s="497"/>
      <c r="AG407" s="497"/>
      <c r="AH407" s="497"/>
      <c r="AI407" s="497"/>
      <c r="AJ407" s="497"/>
      <c r="AK407" s="497"/>
      <c r="AL407" s="497"/>
      <c r="AM407" s="497"/>
      <c r="AN407" s="497"/>
      <c r="AO407" s="497"/>
      <c r="AP407" s="497"/>
      <c r="AQ407" s="497"/>
      <c r="AR407" s="497"/>
      <c r="AS407" s="497"/>
      <c r="AT407" s="497"/>
      <c r="AU407" s="497"/>
      <c r="AV407" s="497"/>
      <c r="AW407" s="497"/>
      <c r="AX407" s="497"/>
      <c r="AY407" s="497"/>
      <c r="AZ407" s="497"/>
      <c r="BA407" s="497"/>
      <c r="BB407" s="497"/>
      <c r="BC407" s="497"/>
      <c r="BD407" s="497"/>
      <c r="BE407" s="497"/>
      <c r="BF407" s="497"/>
      <c r="BG407" s="497"/>
      <c r="BH407" s="497"/>
      <c r="BI407" s="497"/>
      <c r="BJ407" s="497"/>
      <c r="BK407" s="497"/>
      <c r="BL407" s="497"/>
      <c r="BM407" s="497"/>
      <c r="BN407" s="497"/>
      <c r="BO407" s="497"/>
      <c r="BP407" s="497"/>
      <c r="BQ407" s="497"/>
      <c r="BR407" s="497"/>
      <c r="BS407" s="497"/>
      <c r="BT407" s="497"/>
      <c r="BU407" s="497"/>
      <c r="BV407" s="497"/>
      <c r="BW407" s="497"/>
      <c r="BX407" s="497"/>
      <c r="BY407" s="497"/>
      <c r="BZ407" s="497"/>
      <c r="CA407" s="497"/>
      <c r="CB407" s="497"/>
      <c r="CC407" s="497"/>
      <c r="CD407" s="497"/>
      <c r="CE407" s="497"/>
      <c r="CF407" s="497"/>
      <c r="CG407" s="497"/>
      <c r="CH407" s="497"/>
    </row>
    <row r="408" spans="1:86" s="325" customFormat="1">
      <c r="A408" s="517"/>
      <c r="B408" s="517"/>
      <c r="C408" s="517"/>
      <c r="D408" s="517"/>
      <c r="E408" s="517"/>
      <c r="F408" s="517"/>
      <c r="G408" s="517"/>
      <c r="H408" s="639"/>
      <c r="I408" s="639"/>
      <c r="J408" s="336"/>
      <c r="K408" s="2056"/>
      <c r="L408" s="337"/>
      <c r="M408" s="335"/>
      <c r="N408" s="2057"/>
      <c r="O408" s="337"/>
      <c r="P408" s="337"/>
      <c r="Q408" s="337"/>
      <c r="R408" s="337"/>
      <c r="S408" s="337"/>
      <c r="T408" s="337"/>
      <c r="U408" s="497"/>
      <c r="V408" s="497"/>
      <c r="W408" s="497"/>
      <c r="X408" s="497"/>
      <c r="Y408" s="497"/>
      <c r="Z408" s="497"/>
      <c r="AA408" s="497"/>
      <c r="AB408" s="497"/>
      <c r="AC408" s="497"/>
      <c r="AD408" s="497"/>
      <c r="AE408" s="497"/>
      <c r="AF408" s="497"/>
      <c r="AG408" s="497"/>
      <c r="AH408" s="497"/>
      <c r="AI408" s="497"/>
      <c r="AJ408" s="497"/>
      <c r="AK408" s="497"/>
      <c r="AL408" s="497"/>
      <c r="AM408" s="497"/>
      <c r="AN408" s="497"/>
      <c r="AO408" s="497"/>
      <c r="AP408" s="497"/>
      <c r="AQ408" s="497"/>
      <c r="AR408" s="497"/>
      <c r="AS408" s="497"/>
      <c r="AT408" s="497"/>
      <c r="AU408" s="497"/>
      <c r="AV408" s="497"/>
      <c r="AW408" s="497"/>
      <c r="AX408" s="497"/>
      <c r="AY408" s="497"/>
      <c r="AZ408" s="497"/>
      <c r="BA408" s="497"/>
      <c r="BB408" s="497"/>
      <c r="BC408" s="497"/>
      <c r="BD408" s="497"/>
      <c r="BE408" s="497"/>
      <c r="BF408" s="497"/>
      <c r="BG408" s="497"/>
      <c r="BH408" s="497"/>
      <c r="BI408" s="497"/>
      <c r="BJ408" s="497"/>
      <c r="BK408" s="497"/>
      <c r="BL408" s="497"/>
      <c r="BM408" s="497"/>
      <c r="BN408" s="497"/>
      <c r="BO408" s="497"/>
      <c r="BP408" s="497"/>
      <c r="BQ408" s="497"/>
      <c r="BR408" s="497"/>
      <c r="BS408" s="497"/>
      <c r="BT408" s="497"/>
      <c r="BU408" s="497"/>
      <c r="BV408" s="497"/>
      <c r="BW408" s="497"/>
      <c r="BX408" s="497"/>
      <c r="BY408" s="497"/>
      <c r="BZ408" s="497"/>
      <c r="CA408" s="497"/>
      <c r="CB408" s="497"/>
      <c r="CC408" s="497"/>
      <c r="CD408" s="497"/>
      <c r="CE408" s="497"/>
      <c r="CF408" s="497"/>
      <c r="CG408" s="497"/>
      <c r="CH408" s="497"/>
    </row>
    <row r="409" spans="1:86" s="325" customFormat="1">
      <c r="A409" s="517"/>
      <c r="B409" s="517"/>
      <c r="C409" s="517"/>
      <c r="D409" s="517"/>
      <c r="E409" s="517"/>
      <c r="F409" s="517"/>
      <c r="G409" s="517"/>
      <c r="H409" s="639"/>
      <c r="I409" s="639"/>
      <c r="J409" s="336"/>
      <c r="K409" s="2056"/>
      <c r="L409" s="337"/>
      <c r="M409" s="335"/>
      <c r="N409" s="2057"/>
      <c r="O409" s="337"/>
      <c r="P409" s="337"/>
      <c r="Q409" s="337"/>
      <c r="R409" s="337"/>
      <c r="S409" s="337"/>
      <c r="T409" s="337"/>
      <c r="U409" s="497"/>
      <c r="V409" s="497"/>
      <c r="W409" s="497"/>
      <c r="X409" s="497"/>
      <c r="Y409" s="497"/>
      <c r="Z409" s="497"/>
      <c r="AA409" s="497"/>
      <c r="AB409" s="497"/>
      <c r="AC409" s="497"/>
      <c r="AD409" s="497"/>
      <c r="AE409" s="497"/>
      <c r="AF409" s="497"/>
      <c r="AG409" s="497"/>
      <c r="AH409" s="497"/>
      <c r="AI409" s="497"/>
      <c r="AJ409" s="497"/>
      <c r="AK409" s="497"/>
      <c r="AL409" s="497"/>
      <c r="AM409" s="497"/>
      <c r="AN409" s="497"/>
      <c r="AO409" s="497"/>
      <c r="AP409" s="497"/>
      <c r="AQ409" s="497"/>
      <c r="AR409" s="497"/>
      <c r="AS409" s="497"/>
      <c r="AT409" s="497"/>
      <c r="AU409" s="497"/>
      <c r="AV409" s="497"/>
      <c r="AW409" s="497"/>
      <c r="AX409" s="497"/>
      <c r="AY409" s="497"/>
      <c r="AZ409" s="497"/>
      <c r="BA409" s="497"/>
      <c r="BB409" s="497"/>
      <c r="BC409" s="497"/>
      <c r="BD409" s="497"/>
      <c r="BE409" s="497"/>
      <c r="BF409" s="497"/>
      <c r="BG409" s="497"/>
      <c r="BH409" s="497"/>
      <c r="BI409" s="497"/>
      <c r="BJ409" s="497"/>
      <c r="BK409" s="497"/>
      <c r="BL409" s="497"/>
      <c r="BM409" s="497"/>
      <c r="BN409" s="497"/>
      <c r="BO409" s="497"/>
      <c r="BP409" s="497"/>
      <c r="BQ409" s="497"/>
      <c r="BR409" s="497"/>
      <c r="BS409" s="497"/>
      <c r="BT409" s="497"/>
      <c r="BU409" s="497"/>
      <c r="BV409" s="497"/>
      <c r="BW409" s="497"/>
      <c r="BX409" s="497"/>
      <c r="BY409" s="497"/>
      <c r="BZ409" s="497"/>
      <c r="CA409" s="497"/>
      <c r="CB409" s="497"/>
      <c r="CC409" s="497"/>
      <c r="CD409" s="497"/>
      <c r="CE409" s="497"/>
      <c r="CF409" s="497"/>
      <c r="CG409" s="497"/>
      <c r="CH409" s="497"/>
    </row>
    <row r="410" spans="1:86" s="325" customFormat="1">
      <c r="A410" s="517"/>
      <c r="B410" s="517"/>
      <c r="C410" s="517"/>
      <c r="D410" s="517"/>
      <c r="E410" s="517"/>
      <c r="F410" s="517"/>
      <c r="G410" s="517"/>
      <c r="H410" s="639"/>
      <c r="I410" s="639"/>
      <c r="J410" s="336"/>
      <c r="K410" s="2056"/>
      <c r="L410" s="337"/>
      <c r="M410" s="335"/>
      <c r="N410" s="2057"/>
      <c r="O410" s="337"/>
      <c r="P410" s="337"/>
      <c r="Q410" s="337"/>
      <c r="R410" s="337"/>
      <c r="S410" s="337"/>
      <c r="T410" s="337"/>
      <c r="U410" s="497"/>
      <c r="V410" s="497"/>
      <c r="W410" s="497"/>
      <c r="X410" s="497"/>
      <c r="Y410" s="497"/>
      <c r="Z410" s="497"/>
      <c r="AA410" s="497"/>
      <c r="AB410" s="497"/>
      <c r="AC410" s="497"/>
      <c r="AD410" s="497"/>
      <c r="AE410" s="497"/>
      <c r="AF410" s="497"/>
      <c r="AG410" s="497"/>
      <c r="AH410" s="497"/>
      <c r="AI410" s="497"/>
      <c r="AJ410" s="497"/>
      <c r="AK410" s="497"/>
      <c r="AL410" s="497"/>
      <c r="AM410" s="497"/>
      <c r="AN410" s="497"/>
      <c r="AO410" s="497"/>
      <c r="AP410" s="497"/>
      <c r="AQ410" s="497"/>
      <c r="AR410" s="497"/>
      <c r="AS410" s="497"/>
      <c r="AT410" s="497"/>
      <c r="AU410" s="497"/>
      <c r="AV410" s="497"/>
      <c r="AW410" s="497"/>
      <c r="AX410" s="497"/>
      <c r="AY410" s="497"/>
      <c r="AZ410" s="497"/>
      <c r="BA410" s="497"/>
      <c r="BB410" s="497"/>
      <c r="BC410" s="497"/>
      <c r="BD410" s="497"/>
      <c r="BE410" s="497"/>
      <c r="BF410" s="497"/>
      <c r="BG410" s="497"/>
      <c r="BH410" s="497"/>
      <c r="BI410" s="497"/>
      <c r="BJ410" s="497"/>
      <c r="BK410" s="497"/>
      <c r="BL410" s="497"/>
      <c r="BM410" s="497"/>
      <c r="BN410" s="497"/>
      <c r="BO410" s="497"/>
      <c r="BP410" s="497"/>
      <c r="BQ410" s="497"/>
      <c r="BR410" s="497"/>
      <c r="BS410" s="497"/>
      <c r="BT410" s="497"/>
      <c r="BU410" s="497"/>
      <c r="BV410" s="497"/>
      <c r="BW410" s="497"/>
      <c r="BX410" s="497"/>
      <c r="BY410" s="497"/>
      <c r="BZ410" s="497"/>
      <c r="CA410" s="497"/>
      <c r="CB410" s="497"/>
      <c r="CC410" s="497"/>
      <c r="CD410" s="497"/>
      <c r="CE410" s="497"/>
      <c r="CF410" s="497"/>
      <c r="CG410" s="497"/>
      <c r="CH410" s="497"/>
    </row>
    <row r="411" spans="1:86" s="325" customFormat="1">
      <c r="A411" s="517"/>
      <c r="B411" s="517"/>
      <c r="C411" s="517"/>
      <c r="D411" s="517"/>
      <c r="E411" s="517"/>
      <c r="F411" s="517"/>
      <c r="G411" s="517"/>
      <c r="H411" s="639"/>
      <c r="I411" s="639"/>
      <c r="J411" s="336"/>
      <c r="K411" s="2056"/>
      <c r="L411" s="337"/>
      <c r="M411" s="335"/>
      <c r="N411" s="2057"/>
      <c r="O411" s="337"/>
      <c r="P411" s="337"/>
      <c r="Q411" s="337"/>
      <c r="R411" s="337"/>
      <c r="S411" s="337"/>
      <c r="T411" s="337"/>
      <c r="U411" s="497"/>
      <c r="V411" s="497"/>
      <c r="W411" s="497"/>
      <c r="X411" s="497"/>
      <c r="Y411" s="497"/>
      <c r="Z411" s="497"/>
      <c r="AA411" s="497"/>
      <c r="AB411" s="497"/>
      <c r="AC411" s="497"/>
      <c r="AD411" s="497"/>
      <c r="AE411" s="497"/>
      <c r="AF411" s="497"/>
      <c r="AG411" s="497"/>
      <c r="AH411" s="497"/>
      <c r="AI411" s="497"/>
      <c r="AJ411" s="497"/>
      <c r="AK411" s="497"/>
      <c r="AL411" s="497"/>
      <c r="AM411" s="497"/>
      <c r="AN411" s="497"/>
      <c r="AO411" s="497"/>
      <c r="AP411" s="497"/>
      <c r="AQ411" s="497"/>
      <c r="AR411" s="497"/>
      <c r="AS411" s="497"/>
      <c r="AT411" s="497"/>
      <c r="AU411" s="497"/>
      <c r="AV411" s="497"/>
      <c r="AW411" s="497"/>
      <c r="AX411" s="497"/>
      <c r="AY411" s="497"/>
      <c r="AZ411" s="497"/>
      <c r="BA411" s="497"/>
      <c r="BB411" s="497"/>
      <c r="BC411" s="497"/>
      <c r="BD411" s="497"/>
      <c r="BE411" s="497"/>
      <c r="BF411" s="497"/>
      <c r="BG411" s="497"/>
      <c r="BH411" s="497"/>
      <c r="BI411" s="497"/>
      <c r="BJ411" s="497"/>
      <c r="BK411" s="497"/>
      <c r="BL411" s="497"/>
      <c r="BM411" s="497"/>
      <c r="BN411" s="497"/>
      <c r="BO411" s="497"/>
      <c r="BP411" s="497"/>
      <c r="BQ411" s="497"/>
      <c r="BR411" s="497"/>
      <c r="BS411" s="497"/>
      <c r="BT411" s="497"/>
      <c r="BU411" s="497"/>
      <c r="BV411" s="497"/>
      <c r="BW411" s="497"/>
      <c r="BX411" s="497"/>
      <c r="BY411" s="497"/>
      <c r="BZ411" s="497"/>
      <c r="CA411" s="497"/>
      <c r="CB411" s="497"/>
      <c r="CC411" s="497"/>
      <c r="CD411" s="497"/>
      <c r="CE411" s="497"/>
      <c r="CF411" s="497"/>
      <c r="CG411" s="497"/>
      <c r="CH411" s="497"/>
    </row>
    <row r="412" spans="1:86" s="335" customFormat="1">
      <c r="A412" s="517"/>
      <c r="B412" s="517"/>
      <c r="C412" s="517"/>
      <c r="D412" s="517"/>
      <c r="E412" s="517"/>
      <c r="F412" s="517"/>
      <c r="G412" s="517"/>
      <c r="H412" s="639"/>
      <c r="I412" s="639"/>
      <c r="J412" s="336"/>
      <c r="K412" s="2056"/>
      <c r="L412" s="337"/>
      <c r="N412" s="2057"/>
      <c r="O412" s="337"/>
      <c r="P412" s="337"/>
      <c r="Q412" s="337"/>
      <c r="R412" s="337"/>
      <c r="S412" s="337"/>
      <c r="T412" s="337"/>
      <c r="U412" s="497"/>
      <c r="V412" s="497"/>
      <c r="W412" s="497"/>
      <c r="X412" s="497"/>
      <c r="Y412" s="497"/>
      <c r="Z412" s="497"/>
      <c r="AA412" s="497"/>
      <c r="AB412" s="497"/>
      <c r="AC412" s="497"/>
      <c r="AD412" s="497"/>
      <c r="AE412" s="497"/>
      <c r="AF412" s="497"/>
      <c r="AG412" s="497"/>
      <c r="AH412" s="497"/>
      <c r="AI412" s="497"/>
      <c r="AJ412" s="497"/>
      <c r="AK412" s="497"/>
      <c r="AL412" s="497"/>
      <c r="AM412" s="497"/>
      <c r="AN412" s="497"/>
      <c r="AO412" s="497"/>
      <c r="AP412" s="497"/>
      <c r="AQ412" s="497"/>
      <c r="AR412" s="497"/>
      <c r="AS412" s="497"/>
      <c r="AT412" s="497"/>
      <c r="AU412" s="497"/>
      <c r="AV412" s="497"/>
      <c r="AW412" s="497"/>
      <c r="AX412" s="497"/>
      <c r="AY412" s="497"/>
      <c r="AZ412" s="497"/>
      <c r="BA412" s="497"/>
      <c r="BB412" s="497"/>
      <c r="BC412" s="497"/>
      <c r="BD412" s="497"/>
      <c r="BE412" s="497"/>
      <c r="BF412" s="497"/>
      <c r="BG412" s="497"/>
      <c r="BH412" s="497"/>
      <c r="BI412" s="497"/>
      <c r="BJ412" s="497"/>
      <c r="BK412" s="497"/>
      <c r="BL412" s="497"/>
      <c r="BM412" s="497"/>
      <c r="BN412" s="497"/>
      <c r="BO412" s="497"/>
      <c r="BP412" s="497"/>
      <c r="BQ412" s="497"/>
      <c r="BR412" s="497"/>
      <c r="BS412" s="497"/>
      <c r="BT412" s="497"/>
      <c r="BU412" s="497"/>
      <c r="BV412" s="497"/>
      <c r="BW412" s="497"/>
      <c r="BX412" s="497"/>
      <c r="BY412" s="497"/>
      <c r="BZ412" s="497"/>
      <c r="CA412" s="497"/>
      <c r="CB412" s="497"/>
      <c r="CC412" s="497"/>
      <c r="CD412" s="497"/>
      <c r="CE412" s="497"/>
      <c r="CF412" s="497"/>
      <c r="CG412" s="497"/>
      <c r="CH412" s="497"/>
    </row>
    <row r="413" spans="1:86" s="335" customFormat="1">
      <c r="A413" s="517"/>
      <c r="B413" s="517"/>
      <c r="C413" s="517"/>
      <c r="D413" s="517"/>
      <c r="E413" s="517"/>
      <c r="F413" s="517"/>
      <c r="G413" s="517"/>
      <c r="H413" s="639"/>
      <c r="I413" s="639"/>
      <c r="J413" s="336"/>
      <c r="K413" s="2056"/>
      <c r="L413" s="337"/>
      <c r="N413" s="2057"/>
      <c r="O413" s="337"/>
      <c r="P413" s="337"/>
      <c r="Q413" s="337"/>
      <c r="R413" s="337"/>
      <c r="S413" s="337"/>
      <c r="T413" s="337"/>
      <c r="U413" s="497"/>
      <c r="V413" s="497"/>
      <c r="W413" s="497"/>
      <c r="X413" s="497"/>
      <c r="Y413" s="497"/>
      <c r="Z413" s="497"/>
      <c r="AA413" s="497"/>
      <c r="AB413" s="497"/>
      <c r="AC413" s="497"/>
      <c r="AD413" s="497"/>
      <c r="AE413" s="497"/>
      <c r="AF413" s="497"/>
      <c r="AG413" s="497"/>
      <c r="AH413" s="497"/>
      <c r="AI413" s="497"/>
      <c r="AJ413" s="497"/>
      <c r="AK413" s="497"/>
      <c r="AL413" s="497"/>
      <c r="AM413" s="497"/>
      <c r="AN413" s="497"/>
      <c r="AO413" s="497"/>
      <c r="AP413" s="497"/>
      <c r="AQ413" s="497"/>
      <c r="AR413" s="497"/>
      <c r="AS413" s="497"/>
      <c r="AT413" s="497"/>
      <c r="AU413" s="497"/>
      <c r="AV413" s="497"/>
      <c r="AW413" s="497"/>
      <c r="AX413" s="497"/>
      <c r="AY413" s="497"/>
      <c r="AZ413" s="497"/>
      <c r="BA413" s="497"/>
      <c r="BB413" s="497"/>
      <c r="BC413" s="497"/>
      <c r="BD413" s="497"/>
      <c r="BE413" s="497"/>
      <c r="BF413" s="497"/>
      <c r="BG413" s="497"/>
      <c r="BH413" s="497"/>
      <c r="BI413" s="497"/>
      <c r="BJ413" s="497"/>
      <c r="BK413" s="497"/>
      <c r="BL413" s="497"/>
      <c r="BM413" s="497"/>
      <c r="BN413" s="497"/>
      <c r="BO413" s="497"/>
      <c r="BP413" s="497"/>
      <c r="BQ413" s="497"/>
      <c r="BR413" s="497"/>
      <c r="BS413" s="497"/>
      <c r="BT413" s="497"/>
      <c r="BU413" s="497"/>
      <c r="BV413" s="497"/>
      <c r="BW413" s="497"/>
      <c r="BX413" s="497"/>
      <c r="BY413" s="497"/>
      <c r="BZ413" s="497"/>
      <c r="CA413" s="497"/>
      <c r="CB413" s="497"/>
      <c r="CC413" s="497"/>
      <c r="CD413" s="497"/>
      <c r="CE413" s="497"/>
      <c r="CF413" s="497"/>
      <c r="CG413" s="497"/>
      <c r="CH413" s="497"/>
    </row>
    <row r="414" spans="1:86" s="335" customFormat="1">
      <c r="A414" s="517"/>
      <c r="B414" s="517"/>
      <c r="C414" s="517"/>
      <c r="D414" s="517"/>
      <c r="E414" s="517"/>
      <c r="F414" s="517"/>
      <c r="G414" s="517"/>
      <c r="H414" s="639"/>
      <c r="I414" s="639"/>
      <c r="J414" s="336"/>
      <c r="K414" s="2056"/>
      <c r="L414" s="337"/>
      <c r="N414" s="2057"/>
      <c r="O414" s="337"/>
      <c r="P414" s="337"/>
      <c r="Q414" s="337"/>
      <c r="R414" s="337"/>
      <c r="S414" s="337"/>
      <c r="T414" s="337"/>
      <c r="U414" s="497"/>
      <c r="V414" s="497"/>
      <c r="W414" s="497"/>
      <c r="X414" s="497"/>
      <c r="Y414" s="497"/>
      <c r="Z414" s="497"/>
      <c r="AA414" s="497"/>
      <c r="AB414" s="497"/>
      <c r="AC414" s="497"/>
      <c r="AD414" s="497"/>
      <c r="AE414" s="497"/>
      <c r="AF414" s="497"/>
      <c r="AG414" s="497"/>
      <c r="AH414" s="497"/>
      <c r="AI414" s="497"/>
      <c r="AJ414" s="497"/>
      <c r="AK414" s="497"/>
      <c r="AL414" s="497"/>
      <c r="AM414" s="497"/>
      <c r="AN414" s="497"/>
      <c r="AO414" s="497"/>
      <c r="AP414" s="497"/>
      <c r="AQ414" s="497"/>
      <c r="AR414" s="497"/>
      <c r="AS414" s="497"/>
      <c r="AT414" s="497"/>
      <c r="AU414" s="497"/>
      <c r="AV414" s="497"/>
      <c r="AW414" s="497"/>
      <c r="AX414" s="497"/>
      <c r="AY414" s="497"/>
      <c r="AZ414" s="497"/>
      <c r="BA414" s="497"/>
      <c r="BB414" s="497"/>
      <c r="BC414" s="497"/>
      <c r="BD414" s="497"/>
      <c r="BE414" s="497"/>
      <c r="BF414" s="497"/>
      <c r="BG414" s="497"/>
      <c r="BH414" s="497"/>
      <c r="BI414" s="497"/>
      <c r="BJ414" s="497"/>
      <c r="BK414" s="497"/>
      <c r="BL414" s="497"/>
      <c r="BM414" s="497"/>
      <c r="BN414" s="497"/>
      <c r="BO414" s="497"/>
      <c r="BP414" s="497"/>
      <c r="BQ414" s="497"/>
      <c r="BR414" s="497"/>
      <c r="BS414" s="497"/>
      <c r="BT414" s="497"/>
      <c r="BU414" s="497"/>
      <c r="BV414" s="497"/>
      <c r="BW414" s="497"/>
      <c r="BX414" s="497"/>
      <c r="BY414" s="497"/>
      <c r="BZ414" s="497"/>
      <c r="CA414" s="497"/>
      <c r="CB414" s="497"/>
      <c r="CC414" s="497"/>
      <c r="CD414" s="497"/>
      <c r="CE414" s="497"/>
      <c r="CF414" s="497"/>
      <c r="CG414" s="497"/>
      <c r="CH414" s="497"/>
    </row>
    <row r="415" spans="1:86" s="335" customFormat="1">
      <c r="A415" s="517"/>
      <c r="B415" s="517"/>
      <c r="C415" s="517"/>
      <c r="D415" s="517"/>
      <c r="E415" s="517"/>
      <c r="F415" s="517"/>
      <c r="G415" s="517"/>
      <c r="H415" s="639"/>
      <c r="I415" s="639"/>
      <c r="J415" s="336"/>
      <c r="K415" s="2056"/>
      <c r="L415" s="337"/>
      <c r="N415" s="2057"/>
      <c r="O415" s="337"/>
      <c r="P415" s="337"/>
      <c r="Q415" s="337"/>
      <c r="R415" s="337"/>
      <c r="S415" s="337"/>
      <c r="T415" s="337"/>
      <c r="U415" s="497"/>
      <c r="V415" s="497"/>
      <c r="W415" s="497"/>
      <c r="X415" s="497"/>
      <c r="Y415" s="497"/>
      <c r="Z415" s="497"/>
      <c r="AA415" s="497"/>
      <c r="AB415" s="497"/>
      <c r="AC415" s="497"/>
      <c r="AD415" s="497"/>
      <c r="AE415" s="497"/>
      <c r="AF415" s="497"/>
      <c r="AG415" s="497"/>
      <c r="AH415" s="497"/>
      <c r="AI415" s="497"/>
      <c r="AJ415" s="497"/>
      <c r="AK415" s="497"/>
      <c r="AL415" s="497"/>
      <c r="AM415" s="497"/>
      <c r="AN415" s="497"/>
      <c r="AO415" s="497"/>
      <c r="AP415" s="497"/>
      <c r="AQ415" s="497"/>
      <c r="AR415" s="497"/>
      <c r="AS415" s="497"/>
      <c r="AT415" s="497"/>
      <c r="AU415" s="497"/>
      <c r="AV415" s="497"/>
      <c r="AW415" s="497"/>
      <c r="AX415" s="497"/>
      <c r="AY415" s="497"/>
      <c r="AZ415" s="497"/>
      <c r="BA415" s="497"/>
      <c r="BB415" s="497"/>
      <c r="BC415" s="497"/>
      <c r="BD415" s="497"/>
      <c r="BE415" s="497"/>
      <c r="BF415" s="497"/>
      <c r="BG415" s="497"/>
      <c r="BH415" s="497"/>
      <c r="BI415" s="497"/>
      <c r="BJ415" s="497"/>
      <c r="BK415" s="497"/>
      <c r="BL415" s="497"/>
      <c r="BM415" s="497"/>
      <c r="BN415" s="497"/>
      <c r="BO415" s="497"/>
      <c r="BP415" s="497"/>
      <c r="BQ415" s="497"/>
      <c r="BR415" s="497"/>
      <c r="BS415" s="497"/>
      <c r="BT415" s="497"/>
      <c r="BU415" s="497"/>
      <c r="BV415" s="497"/>
      <c r="BW415" s="497"/>
      <c r="BX415" s="497"/>
      <c r="BY415" s="497"/>
      <c r="BZ415" s="497"/>
      <c r="CA415" s="497"/>
      <c r="CB415" s="497"/>
      <c r="CC415" s="497"/>
      <c r="CD415" s="497"/>
      <c r="CE415" s="497"/>
      <c r="CF415" s="497"/>
      <c r="CG415" s="497"/>
      <c r="CH415" s="497"/>
    </row>
    <row r="416" spans="1:86" s="335" customFormat="1">
      <c r="A416" s="517"/>
      <c r="B416" s="517"/>
      <c r="C416" s="517"/>
      <c r="D416" s="517"/>
      <c r="E416" s="517"/>
      <c r="F416" s="517"/>
      <c r="G416" s="517"/>
      <c r="H416" s="639"/>
      <c r="I416" s="639"/>
      <c r="J416" s="336"/>
      <c r="K416" s="2056"/>
      <c r="L416" s="337"/>
      <c r="N416" s="2057"/>
      <c r="O416" s="337"/>
      <c r="P416" s="337"/>
      <c r="Q416" s="337"/>
      <c r="R416" s="337"/>
      <c r="S416" s="337"/>
      <c r="T416" s="337"/>
      <c r="U416" s="497"/>
      <c r="V416" s="497"/>
      <c r="W416" s="497"/>
      <c r="X416" s="497"/>
      <c r="Y416" s="497"/>
      <c r="Z416" s="497"/>
      <c r="AA416" s="497"/>
      <c r="AB416" s="497"/>
      <c r="AC416" s="497"/>
      <c r="AD416" s="497"/>
      <c r="AE416" s="497"/>
      <c r="AF416" s="497"/>
      <c r="AG416" s="497"/>
      <c r="AH416" s="497"/>
      <c r="AI416" s="497"/>
      <c r="AJ416" s="497"/>
      <c r="AK416" s="497"/>
      <c r="AL416" s="497"/>
      <c r="AM416" s="497"/>
      <c r="AN416" s="497"/>
      <c r="AO416" s="497"/>
      <c r="AP416" s="497"/>
      <c r="AQ416" s="497"/>
      <c r="AR416" s="497"/>
      <c r="AS416" s="497"/>
      <c r="AT416" s="497"/>
      <c r="AU416" s="497"/>
      <c r="AV416" s="497"/>
      <c r="AW416" s="497"/>
      <c r="AX416" s="497"/>
      <c r="AY416" s="497"/>
      <c r="AZ416" s="497"/>
      <c r="BA416" s="497"/>
      <c r="BB416" s="497"/>
      <c r="BC416" s="497"/>
      <c r="BD416" s="497"/>
      <c r="BE416" s="497"/>
      <c r="BF416" s="497"/>
      <c r="BG416" s="497"/>
      <c r="BH416" s="497"/>
      <c r="BI416" s="497"/>
      <c r="BJ416" s="497"/>
      <c r="BK416" s="497"/>
      <c r="BL416" s="497"/>
      <c r="BM416" s="497"/>
      <c r="BN416" s="497"/>
      <c r="BO416" s="497"/>
      <c r="BP416" s="497"/>
      <c r="BQ416" s="497"/>
      <c r="BR416" s="497"/>
      <c r="BS416" s="497"/>
      <c r="BT416" s="497"/>
      <c r="BU416" s="497"/>
      <c r="BV416" s="497"/>
      <c r="BW416" s="497"/>
      <c r="BX416" s="497"/>
      <c r="BY416" s="497"/>
      <c r="BZ416" s="497"/>
      <c r="CA416" s="497"/>
      <c r="CB416" s="497"/>
      <c r="CC416" s="497"/>
      <c r="CD416" s="497"/>
      <c r="CE416" s="497"/>
      <c r="CF416" s="497"/>
      <c r="CG416" s="497"/>
      <c r="CH416" s="497"/>
    </row>
    <row r="417" spans="1:86" s="335" customFormat="1">
      <c r="A417" s="517"/>
      <c r="B417" s="517"/>
      <c r="C417" s="517"/>
      <c r="D417" s="517"/>
      <c r="E417" s="517"/>
      <c r="F417" s="517"/>
      <c r="G417" s="517"/>
      <c r="H417" s="639"/>
      <c r="I417" s="639"/>
      <c r="J417" s="336"/>
      <c r="K417" s="2056"/>
      <c r="L417" s="337"/>
      <c r="N417" s="2057"/>
      <c r="O417" s="337"/>
      <c r="P417" s="337"/>
      <c r="Q417" s="337"/>
      <c r="R417" s="337"/>
      <c r="S417" s="337"/>
      <c r="T417" s="337"/>
      <c r="U417" s="497"/>
      <c r="V417" s="497"/>
      <c r="W417" s="497"/>
      <c r="X417" s="497"/>
      <c r="Y417" s="497"/>
      <c r="Z417" s="497"/>
      <c r="AA417" s="497"/>
      <c r="AB417" s="497"/>
      <c r="AC417" s="497"/>
      <c r="AD417" s="497"/>
      <c r="AE417" s="497"/>
      <c r="AF417" s="497"/>
      <c r="AG417" s="497"/>
      <c r="AH417" s="497"/>
      <c r="AI417" s="497"/>
      <c r="AJ417" s="497"/>
      <c r="AK417" s="497"/>
      <c r="AL417" s="497"/>
      <c r="AM417" s="497"/>
      <c r="AN417" s="497"/>
      <c r="AO417" s="497"/>
      <c r="AP417" s="497"/>
      <c r="AQ417" s="497"/>
      <c r="AR417" s="497"/>
      <c r="AS417" s="497"/>
      <c r="AT417" s="497"/>
      <c r="AU417" s="497"/>
      <c r="AV417" s="497"/>
      <c r="AW417" s="497"/>
      <c r="AX417" s="497"/>
      <c r="AY417" s="497"/>
      <c r="AZ417" s="497"/>
      <c r="BA417" s="497"/>
      <c r="BB417" s="497"/>
      <c r="BC417" s="497"/>
      <c r="BD417" s="497"/>
      <c r="BE417" s="497"/>
      <c r="BF417" s="497"/>
      <c r="BG417" s="497"/>
      <c r="BH417" s="497"/>
      <c r="BI417" s="497"/>
      <c r="BJ417" s="497"/>
      <c r="BK417" s="497"/>
      <c r="BL417" s="497"/>
      <c r="BM417" s="497"/>
      <c r="BN417" s="497"/>
      <c r="BO417" s="497"/>
      <c r="BP417" s="497"/>
      <c r="BQ417" s="497"/>
      <c r="BR417" s="497"/>
      <c r="BS417" s="497"/>
      <c r="BT417" s="497"/>
      <c r="BU417" s="497"/>
      <c r="BV417" s="497"/>
      <c r="BW417" s="497"/>
      <c r="BX417" s="497"/>
      <c r="BY417" s="497"/>
      <c r="BZ417" s="497"/>
      <c r="CA417" s="497"/>
      <c r="CB417" s="497"/>
      <c r="CC417" s="497"/>
      <c r="CD417" s="497"/>
      <c r="CE417" s="497"/>
      <c r="CF417" s="497"/>
      <c r="CG417" s="497"/>
      <c r="CH417" s="497"/>
    </row>
    <row r="418" spans="1:86" s="335" customFormat="1">
      <c r="A418" s="517"/>
      <c r="B418" s="517"/>
      <c r="C418" s="517"/>
      <c r="D418" s="517"/>
      <c r="E418" s="517"/>
      <c r="F418" s="517"/>
      <c r="G418" s="517"/>
      <c r="H418" s="639"/>
      <c r="I418" s="639"/>
      <c r="J418" s="336"/>
      <c r="K418" s="2056"/>
      <c r="L418" s="337"/>
      <c r="N418" s="2057"/>
      <c r="O418" s="337"/>
      <c r="P418" s="337"/>
      <c r="Q418" s="337"/>
      <c r="R418" s="337"/>
      <c r="S418" s="337"/>
      <c r="T418" s="337"/>
      <c r="U418" s="497"/>
      <c r="V418" s="497"/>
      <c r="W418" s="497"/>
      <c r="X418" s="497"/>
      <c r="Y418" s="497"/>
      <c r="Z418" s="497"/>
      <c r="AA418" s="497"/>
      <c r="AB418" s="497"/>
      <c r="AC418" s="497"/>
      <c r="AD418" s="497"/>
      <c r="AE418" s="497"/>
      <c r="AF418" s="497"/>
      <c r="AG418" s="497"/>
      <c r="AH418" s="497"/>
      <c r="AI418" s="497"/>
      <c r="AJ418" s="497"/>
      <c r="AK418" s="497"/>
      <c r="AL418" s="497"/>
      <c r="AM418" s="497"/>
      <c r="AN418" s="497"/>
      <c r="AO418" s="497"/>
      <c r="AP418" s="497"/>
      <c r="AQ418" s="497"/>
      <c r="AR418" s="497"/>
      <c r="AS418" s="497"/>
      <c r="AT418" s="497"/>
      <c r="AU418" s="497"/>
      <c r="AV418" s="497"/>
      <c r="AW418" s="497"/>
      <c r="AX418" s="497"/>
      <c r="AY418" s="497"/>
      <c r="AZ418" s="497"/>
      <c r="BA418" s="497"/>
      <c r="BB418" s="497"/>
      <c r="BC418" s="497"/>
      <c r="BD418" s="497"/>
      <c r="BE418" s="497"/>
      <c r="BF418" s="497"/>
      <c r="BG418" s="497"/>
      <c r="BH418" s="497"/>
      <c r="BI418" s="497"/>
      <c r="BJ418" s="497"/>
      <c r="BK418" s="497"/>
      <c r="BL418" s="497"/>
      <c r="BM418" s="497"/>
      <c r="BN418" s="497"/>
      <c r="BO418" s="497"/>
      <c r="BP418" s="497"/>
      <c r="BQ418" s="497"/>
      <c r="BR418" s="497"/>
      <c r="BS418" s="497"/>
      <c r="BT418" s="497"/>
      <c r="BU418" s="497"/>
      <c r="BV418" s="497"/>
      <c r="BW418" s="497"/>
      <c r="BX418" s="497"/>
      <c r="BY418" s="497"/>
      <c r="BZ418" s="497"/>
      <c r="CA418" s="497"/>
      <c r="CB418" s="497"/>
      <c r="CC418" s="497"/>
      <c r="CD418" s="497"/>
      <c r="CE418" s="497"/>
      <c r="CF418" s="497"/>
      <c r="CG418" s="497"/>
      <c r="CH418" s="497"/>
    </row>
    <row r="419" spans="1:86" s="335" customFormat="1">
      <c r="A419" s="517"/>
      <c r="B419" s="517"/>
      <c r="C419" s="517"/>
      <c r="D419" s="517"/>
      <c r="E419" s="517"/>
      <c r="F419" s="517"/>
      <c r="G419" s="517"/>
      <c r="H419" s="639"/>
      <c r="I419" s="639"/>
      <c r="J419" s="336"/>
      <c r="K419" s="2056"/>
      <c r="L419" s="337"/>
      <c r="N419" s="2057"/>
      <c r="O419" s="337"/>
      <c r="P419" s="337"/>
      <c r="Q419" s="337"/>
      <c r="R419" s="337"/>
      <c r="S419" s="337"/>
      <c r="T419" s="337"/>
      <c r="U419" s="497"/>
      <c r="V419" s="497"/>
      <c r="W419" s="497"/>
      <c r="X419" s="497"/>
      <c r="Y419" s="497"/>
      <c r="Z419" s="497"/>
      <c r="AA419" s="497"/>
      <c r="AB419" s="497"/>
      <c r="AC419" s="497"/>
      <c r="AD419" s="497"/>
      <c r="AE419" s="497"/>
      <c r="AF419" s="497"/>
      <c r="AG419" s="497"/>
      <c r="AH419" s="497"/>
      <c r="AI419" s="497"/>
      <c r="AJ419" s="497"/>
      <c r="AK419" s="497"/>
      <c r="AL419" s="497"/>
      <c r="AM419" s="497"/>
      <c r="AN419" s="497"/>
      <c r="AO419" s="497"/>
      <c r="AP419" s="497"/>
      <c r="AQ419" s="497"/>
      <c r="AR419" s="497"/>
      <c r="AS419" s="497"/>
      <c r="AT419" s="497"/>
      <c r="AU419" s="497"/>
      <c r="AV419" s="497"/>
      <c r="AW419" s="497"/>
      <c r="AX419" s="497"/>
      <c r="AY419" s="497"/>
      <c r="AZ419" s="497"/>
      <c r="BA419" s="497"/>
      <c r="BB419" s="497"/>
      <c r="BC419" s="497"/>
      <c r="BD419" s="497"/>
      <c r="BE419" s="497"/>
      <c r="BF419" s="497"/>
      <c r="BG419" s="497"/>
      <c r="BH419" s="497"/>
      <c r="BI419" s="497"/>
      <c r="BJ419" s="497"/>
      <c r="BK419" s="497"/>
      <c r="BL419" s="497"/>
      <c r="BM419" s="497"/>
      <c r="BN419" s="497"/>
      <c r="BO419" s="497"/>
      <c r="BP419" s="497"/>
      <c r="BQ419" s="497"/>
      <c r="BR419" s="497"/>
      <c r="BS419" s="497"/>
      <c r="BT419" s="497"/>
      <c r="BU419" s="497"/>
      <c r="BV419" s="497"/>
      <c r="BW419" s="497"/>
      <c r="BX419" s="497"/>
      <c r="BY419" s="497"/>
      <c r="BZ419" s="497"/>
      <c r="CA419" s="497"/>
      <c r="CB419" s="497"/>
      <c r="CC419" s="497"/>
      <c r="CD419" s="497"/>
      <c r="CE419" s="497"/>
      <c r="CF419" s="497"/>
      <c r="CG419" s="497"/>
      <c r="CH419" s="497"/>
    </row>
    <row r="420" spans="1:86" s="335" customFormat="1">
      <c r="A420" s="517"/>
      <c r="B420" s="517"/>
      <c r="C420" s="517"/>
      <c r="D420" s="517"/>
      <c r="E420" s="517"/>
      <c r="F420" s="517"/>
      <c r="G420" s="517"/>
      <c r="H420" s="639"/>
      <c r="I420" s="639"/>
      <c r="J420" s="336"/>
      <c r="K420" s="2056"/>
      <c r="L420" s="337"/>
      <c r="N420" s="2057"/>
      <c r="O420" s="337"/>
      <c r="P420" s="337"/>
      <c r="Q420" s="337"/>
      <c r="R420" s="337"/>
      <c r="S420" s="337"/>
      <c r="T420" s="337"/>
      <c r="U420" s="497"/>
      <c r="V420" s="497"/>
      <c r="W420" s="497"/>
      <c r="X420" s="497"/>
      <c r="Y420" s="497"/>
      <c r="Z420" s="497"/>
      <c r="AA420" s="497"/>
      <c r="AB420" s="497"/>
      <c r="AC420" s="497"/>
      <c r="AD420" s="497"/>
      <c r="AE420" s="497"/>
      <c r="AF420" s="497"/>
      <c r="AG420" s="497"/>
      <c r="AH420" s="497"/>
      <c r="AI420" s="497"/>
      <c r="AJ420" s="497"/>
      <c r="AK420" s="497"/>
      <c r="AL420" s="497"/>
      <c r="AM420" s="497"/>
      <c r="AN420" s="497"/>
      <c r="AO420" s="497"/>
      <c r="AP420" s="497"/>
      <c r="AQ420" s="497"/>
      <c r="AR420" s="497"/>
      <c r="AS420" s="497"/>
      <c r="AT420" s="497"/>
      <c r="AU420" s="497"/>
      <c r="AV420" s="497"/>
      <c r="AW420" s="497"/>
      <c r="AX420" s="497"/>
      <c r="AY420" s="497"/>
      <c r="AZ420" s="497"/>
      <c r="BA420" s="497"/>
      <c r="BB420" s="497"/>
      <c r="BC420" s="497"/>
      <c r="BD420" s="497"/>
      <c r="BE420" s="497"/>
      <c r="BF420" s="497"/>
      <c r="BG420" s="497"/>
      <c r="BH420" s="497"/>
      <c r="BI420" s="497"/>
      <c r="BJ420" s="497"/>
      <c r="BK420" s="497"/>
      <c r="BL420" s="497"/>
      <c r="BM420" s="497"/>
      <c r="BN420" s="497"/>
      <c r="BO420" s="497"/>
      <c r="BP420" s="497"/>
      <c r="BQ420" s="497"/>
      <c r="BR420" s="497"/>
      <c r="BS420" s="497"/>
      <c r="BT420" s="497"/>
      <c r="BU420" s="497"/>
      <c r="BV420" s="497"/>
      <c r="BW420" s="497"/>
      <c r="BX420" s="497"/>
      <c r="BY420" s="497"/>
      <c r="BZ420" s="497"/>
      <c r="CA420" s="497"/>
      <c r="CB420" s="497"/>
      <c r="CC420" s="497"/>
      <c r="CD420" s="497"/>
      <c r="CE420" s="497"/>
      <c r="CF420" s="497"/>
      <c r="CG420" s="497"/>
      <c r="CH420" s="497"/>
    </row>
    <row r="421" spans="1:86" s="335" customFormat="1">
      <c r="A421" s="517"/>
      <c r="B421" s="517"/>
      <c r="C421" s="517"/>
      <c r="D421" s="517"/>
      <c r="E421" s="517"/>
      <c r="F421" s="517"/>
      <c r="G421" s="517"/>
      <c r="H421" s="639"/>
      <c r="I421" s="639"/>
      <c r="J421" s="336"/>
      <c r="K421" s="2056"/>
      <c r="L421" s="337"/>
      <c r="N421" s="2057"/>
      <c r="O421" s="337"/>
      <c r="P421" s="337"/>
      <c r="Q421" s="337"/>
      <c r="R421" s="337"/>
      <c r="S421" s="337"/>
      <c r="T421" s="337"/>
      <c r="U421" s="497"/>
      <c r="V421" s="497"/>
      <c r="W421" s="497"/>
      <c r="X421" s="497"/>
      <c r="Y421" s="497"/>
      <c r="Z421" s="497"/>
      <c r="AA421" s="497"/>
      <c r="AB421" s="497"/>
      <c r="AC421" s="497"/>
      <c r="AD421" s="497"/>
      <c r="AE421" s="497"/>
      <c r="AF421" s="497"/>
      <c r="AG421" s="497"/>
      <c r="AH421" s="497"/>
      <c r="AI421" s="497"/>
      <c r="AJ421" s="497"/>
      <c r="AK421" s="497"/>
      <c r="AL421" s="497"/>
      <c r="AM421" s="497"/>
      <c r="AN421" s="497"/>
      <c r="AO421" s="497"/>
      <c r="AP421" s="497"/>
      <c r="AQ421" s="497"/>
      <c r="AR421" s="497"/>
      <c r="AS421" s="497"/>
      <c r="AT421" s="497"/>
      <c r="AU421" s="497"/>
      <c r="AV421" s="497"/>
      <c r="AW421" s="497"/>
      <c r="AX421" s="497"/>
      <c r="AY421" s="497"/>
      <c r="AZ421" s="497"/>
      <c r="BA421" s="497"/>
      <c r="BB421" s="497"/>
      <c r="BC421" s="497"/>
      <c r="BD421" s="497"/>
      <c r="BE421" s="497"/>
      <c r="BF421" s="497"/>
      <c r="BG421" s="497"/>
      <c r="BH421" s="497"/>
      <c r="BI421" s="497"/>
      <c r="BJ421" s="497"/>
      <c r="BK421" s="497"/>
      <c r="BL421" s="497"/>
      <c r="BM421" s="497"/>
      <c r="BN421" s="497"/>
      <c r="BO421" s="497"/>
      <c r="BP421" s="497"/>
      <c r="BQ421" s="497"/>
      <c r="BR421" s="497"/>
      <c r="BS421" s="497"/>
      <c r="BT421" s="497"/>
      <c r="BU421" s="497"/>
      <c r="BV421" s="497"/>
      <c r="BW421" s="497"/>
      <c r="BX421" s="497"/>
      <c r="BY421" s="497"/>
      <c r="BZ421" s="497"/>
      <c r="CA421" s="497"/>
      <c r="CB421" s="497"/>
      <c r="CC421" s="497"/>
      <c r="CD421" s="497"/>
      <c r="CE421" s="497"/>
      <c r="CF421" s="497"/>
      <c r="CG421" s="497"/>
      <c r="CH421" s="497"/>
    </row>
    <row r="422" spans="1:86" s="335" customFormat="1">
      <c r="A422" s="517"/>
      <c r="B422" s="517"/>
      <c r="C422" s="517"/>
      <c r="D422" s="517"/>
      <c r="E422" s="517"/>
      <c r="F422" s="517"/>
      <c r="G422" s="517"/>
      <c r="H422" s="639"/>
      <c r="I422" s="639"/>
      <c r="J422" s="336"/>
      <c r="K422" s="2056"/>
      <c r="L422" s="337"/>
      <c r="N422" s="2057"/>
      <c r="O422" s="337"/>
      <c r="P422" s="337"/>
      <c r="Q422" s="337"/>
      <c r="R422" s="337"/>
      <c r="S422" s="337"/>
      <c r="T422" s="337"/>
      <c r="U422" s="497"/>
      <c r="V422" s="497"/>
      <c r="W422" s="497"/>
      <c r="X422" s="497"/>
      <c r="Y422" s="497"/>
      <c r="Z422" s="497"/>
      <c r="AA422" s="497"/>
      <c r="AB422" s="497"/>
      <c r="AC422" s="497"/>
      <c r="AD422" s="497"/>
      <c r="AE422" s="497"/>
      <c r="AF422" s="497"/>
      <c r="AG422" s="497"/>
      <c r="AH422" s="497"/>
      <c r="AI422" s="497"/>
      <c r="AJ422" s="497"/>
      <c r="AK422" s="497"/>
      <c r="AL422" s="497"/>
      <c r="AM422" s="497"/>
      <c r="AN422" s="497"/>
      <c r="AO422" s="497"/>
      <c r="AP422" s="497"/>
      <c r="AQ422" s="497"/>
      <c r="AR422" s="497"/>
      <c r="AS422" s="497"/>
      <c r="AT422" s="497"/>
      <c r="AU422" s="497"/>
      <c r="AV422" s="497"/>
      <c r="AW422" s="497"/>
      <c r="AX422" s="497"/>
      <c r="AY422" s="497"/>
      <c r="AZ422" s="497"/>
      <c r="BA422" s="497"/>
      <c r="BB422" s="497"/>
      <c r="BC422" s="497"/>
      <c r="BD422" s="497"/>
      <c r="BE422" s="497"/>
      <c r="BF422" s="497"/>
      <c r="BG422" s="497"/>
      <c r="BH422" s="497"/>
      <c r="BI422" s="497"/>
      <c r="BJ422" s="497"/>
      <c r="BK422" s="497"/>
      <c r="BL422" s="497"/>
      <c r="BM422" s="497"/>
      <c r="BN422" s="497"/>
      <c r="BO422" s="497"/>
      <c r="BP422" s="497"/>
      <c r="BQ422" s="497"/>
      <c r="BR422" s="497"/>
      <c r="BS422" s="497"/>
      <c r="BT422" s="497"/>
      <c r="BU422" s="497"/>
      <c r="BV422" s="497"/>
      <c r="BW422" s="497"/>
      <c r="BX422" s="497"/>
      <c r="BY422" s="497"/>
      <c r="BZ422" s="497"/>
      <c r="CA422" s="497"/>
      <c r="CB422" s="497"/>
      <c r="CC422" s="497"/>
      <c r="CD422" s="497"/>
      <c r="CE422" s="497"/>
      <c r="CF422" s="497"/>
      <c r="CG422" s="497"/>
      <c r="CH422" s="497"/>
    </row>
    <row r="423" spans="1:86" s="335" customFormat="1">
      <c r="A423" s="517"/>
      <c r="B423" s="517"/>
      <c r="C423" s="517"/>
      <c r="D423" s="517"/>
      <c r="E423" s="517"/>
      <c r="F423" s="517"/>
      <c r="G423" s="517"/>
      <c r="H423" s="639"/>
      <c r="I423" s="639"/>
      <c r="J423" s="336"/>
      <c r="K423" s="2056"/>
      <c r="L423" s="337"/>
      <c r="N423" s="2057"/>
      <c r="O423" s="337"/>
      <c r="P423" s="337"/>
      <c r="Q423" s="337"/>
      <c r="R423" s="337"/>
      <c r="S423" s="337"/>
      <c r="T423" s="337"/>
      <c r="U423" s="497"/>
      <c r="V423" s="497"/>
      <c r="W423" s="497"/>
      <c r="X423" s="497"/>
      <c r="Y423" s="497"/>
      <c r="Z423" s="497"/>
      <c r="AA423" s="497"/>
      <c r="AB423" s="497"/>
      <c r="AC423" s="497"/>
      <c r="AD423" s="497"/>
      <c r="AE423" s="497"/>
      <c r="AF423" s="497"/>
      <c r="AG423" s="497"/>
      <c r="AH423" s="497"/>
      <c r="AI423" s="497"/>
      <c r="AJ423" s="497"/>
      <c r="AK423" s="497"/>
      <c r="AL423" s="497"/>
      <c r="AM423" s="497"/>
      <c r="AN423" s="497"/>
      <c r="AO423" s="497"/>
      <c r="AP423" s="497"/>
      <c r="AQ423" s="497"/>
      <c r="AR423" s="497"/>
      <c r="AS423" s="497"/>
      <c r="AT423" s="497"/>
      <c r="AU423" s="497"/>
      <c r="AV423" s="497"/>
      <c r="AW423" s="497"/>
      <c r="AX423" s="497"/>
      <c r="AY423" s="497"/>
      <c r="AZ423" s="497"/>
      <c r="BA423" s="497"/>
      <c r="BB423" s="497"/>
      <c r="BC423" s="497"/>
      <c r="BD423" s="497"/>
      <c r="BE423" s="497"/>
      <c r="BF423" s="497"/>
      <c r="BG423" s="497"/>
      <c r="BH423" s="497"/>
      <c r="BI423" s="497"/>
      <c r="BJ423" s="497"/>
      <c r="BK423" s="497"/>
      <c r="BL423" s="497"/>
      <c r="BM423" s="497"/>
      <c r="BN423" s="497"/>
      <c r="BO423" s="497"/>
      <c r="BP423" s="497"/>
      <c r="BQ423" s="497"/>
      <c r="BR423" s="497"/>
      <c r="BS423" s="497"/>
      <c r="BT423" s="497"/>
      <c r="BU423" s="497"/>
      <c r="BV423" s="497"/>
      <c r="BW423" s="497"/>
      <c r="BX423" s="497"/>
      <c r="BY423" s="497"/>
      <c r="BZ423" s="497"/>
      <c r="CA423" s="497"/>
      <c r="CB423" s="497"/>
      <c r="CC423" s="497"/>
      <c r="CD423" s="497"/>
      <c r="CE423" s="497"/>
      <c r="CF423" s="497"/>
      <c r="CG423" s="497"/>
      <c r="CH423" s="497"/>
    </row>
    <row r="424" spans="1:86" s="335" customFormat="1">
      <c r="A424" s="517"/>
      <c r="B424" s="517"/>
      <c r="C424" s="517"/>
      <c r="D424" s="517"/>
      <c r="E424" s="517"/>
      <c r="F424" s="517"/>
      <c r="G424" s="517"/>
      <c r="H424" s="639"/>
      <c r="I424" s="639"/>
      <c r="J424" s="336"/>
      <c r="K424" s="2056"/>
      <c r="L424" s="337"/>
      <c r="N424" s="2057"/>
      <c r="O424" s="337"/>
      <c r="P424" s="337"/>
      <c r="Q424" s="337"/>
      <c r="R424" s="337"/>
      <c r="S424" s="337"/>
      <c r="T424" s="337"/>
      <c r="U424" s="497"/>
      <c r="V424" s="497"/>
      <c r="W424" s="497"/>
      <c r="X424" s="497"/>
      <c r="Y424" s="497"/>
      <c r="Z424" s="497"/>
      <c r="AA424" s="497"/>
      <c r="AB424" s="497"/>
      <c r="AC424" s="497"/>
      <c r="AD424" s="497"/>
      <c r="AE424" s="497"/>
      <c r="AF424" s="497"/>
      <c r="AG424" s="497"/>
      <c r="AH424" s="497"/>
      <c r="AI424" s="497"/>
      <c r="AJ424" s="497"/>
      <c r="AK424" s="497"/>
      <c r="AL424" s="497"/>
      <c r="AM424" s="497"/>
      <c r="AN424" s="497"/>
      <c r="AO424" s="497"/>
      <c r="AP424" s="497"/>
      <c r="AQ424" s="497"/>
      <c r="AR424" s="497"/>
      <c r="AS424" s="497"/>
      <c r="AT424" s="497"/>
      <c r="AU424" s="497"/>
      <c r="AV424" s="497"/>
      <c r="AW424" s="497"/>
      <c r="AX424" s="497"/>
      <c r="AY424" s="497"/>
      <c r="AZ424" s="497"/>
      <c r="BA424" s="497"/>
      <c r="BB424" s="497"/>
      <c r="BC424" s="497"/>
      <c r="BD424" s="497"/>
      <c r="BE424" s="497"/>
      <c r="BF424" s="497"/>
      <c r="BG424" s="497"/>
      <c r="BH424" s="497"/>
      <c r="BI424" s="497"/>
      <c r="BJ424" s="497"/>
      <c r="BK424" s="497"/>
      <c r="BL424" s="497"/>
      <c r="BM424" s="497"/>
      <c r="BN424" s="497"/>
      <c r="BO424" s="497"/>
      <c r="BP424" s="497"/>
      <c r="BQ424" s="497"/>
      <c r="BR424" s="497"/>
      <c r="BS424" s="497"/>
      <c r="BT424" s="497"/>
      <c r="BU424" s="497"/>
      <c r="BV424" s="497"/>
      <c r="BW424" s="497"/>
      <c r="BX424" s="497"/>
      <c r="BY424" s="497"/>
      <c r="BZ424" s="497"/>
      <c r="CA424" s="497"/>
      <c r="CB424" s="497"/>
      <c r="CC424" s="497"/>
      <c r="CD424" s="497"/>
      <c r="CE424" s="497"/>
      <c r="CF424" s="497"/>
      <c r="CG424" s="497"/>
      <c r="CH424" s="497"/>
    </row>
    <row r="425" spans="1:86" s="335" customFormat="1">
      <c r="A425" s="517"/>
      <c r="B425" s="517"/>
      <c r="C425" s="517"/>
      <c r="D425" s="517"/>
      <c r="E425" s="517"/>
      <c r="F425" s="517"/>
      <c r="G425" s="517"/>
      <c r="H425" s="639"/>
      <c r="I425" s="639"/>
      <c r="J425" s="336"/>
      <c r="K425" s="2056"/>
      <c r="L425" s="337"/>
      <c r="N425" s="2057"/>
      <c r="O425" s="337"/>
      <c r="P425" s="337"/>
      <c r="Q425" s="337"/>
      <c r="R425" s="337"/>
      <c r="S425" s="337"/>
      <c r="T425" s="337"/>
      <c r="U425" s="497"/>
      <c r="V425" s="497"/>
      <c r="W425" s="497"/>
      <c r="X425" s="497"/>
      <c r="Y425" s="497"/>
      <c r="Z425" s="497"/>
      <c r="AA425" s="497"/>
      <c r="AB425" s="497"/>
      <c r="AC425" s="497"/>
      <c r="AD425" s="497"/>
      <c r="AE425" s="497"/>
      <c r="AF425" s="497"/>
      <c r="AG425" s="497"/>
      <c r="AH425" s="497"/>
      <c r="AI425" s="497"/>
      <c r="AJ425" s="497"/>
      <c r="AK425" s="497"/>
      <c r="AL425" s="497"/>
      <c r="AM425" s="497"/>
      <c r="AN425" s="497"/>
      <c r="AO425" s="497"/>
      <c r="AP425" s="497"/>
      <c r="AQ425" s="497"/>
      <c r="AR425" s="497"/>
      <c r="AS425" s="497"/>
      <c r="AT425" s="497"/>
      <c r="AU425" s="497"/>
      <c r="AV425" s="497"/>
      <c r="AW425" s="497"/>
      <c r="AX425" s="497"/>
      <c r="AY425" s="497"/>
      <c r="AZ425" s="497"/>
      <c r="BA425" s="497"/>
      <c r="BB425" s="497"/>
      <c r="BC425" s="497"/>
      <c r="BD425" s="497"/>
      <c r="BE425" s="497"/>
      <c r="BF425" s="497"/>
      <c r="BG425" s="497"/>
      <c r="BH425" s="497"/>
      <c r="BI425" s="497"/>
      <c r="BJ425" s="497"/>
      <c r="BK425" s="497"/>
      <c r="BL425" s="497"/>
      <c r="BM425" s="497"/>
      <c r="BN425" s="497"/>
      <c r="BO425" s="497"/>
      <c r="BP425" s="497"/>
      <c r="BQ425" s="497"/>
      <c r="BR425" s="497"/>
      <c r="BS425" s="497"/>
      <c r="BT425" s="497"/>
      <c r="BU425" s="497"/>
      <c r="BV425" s="497"/>
      <c r="BW425" s="497"/>
      <c r="BX425" s="497"/>
      <c r="BY425" s="497"/>
      <c r="BZ425" s="497"/>
      <c r="CA425" s="497"/>
      <c r="CB425" s="497"/>
      <c r="CC425" s="497"/>
      <c r="CD425" s="497"/>
      <c r="CE425" s="497"/>
      <c r="CF425" s="497"/>
      <c r="CG425" s="497"/>
      <c r="CH425" s="497"/>
    </row>
    <row r="426" spans="1:86" s="335" customFormat="1">
      <c r="A426" s="517"/>
      <c r="B426" s="517"/>
      <c r="C426" s="517"/>
      <c r="D426" s="517"/>
      <c r="E426" s="517"/>
      <c r="F426" s="517"/>
      <c r="G426" s="517"/>
      <c r="H426" s="639"/>
      <c r="I426" s="639"/>
      <c r="J426" s="336"/>
      <c r="K426" s="2056"/>
      <c r="L426" s="337"/>
      <c r="N426" s="2057"/>
      <c r="O426" s="337"/>
      <c r="P426" s="337"/>
      <c r="Q426" s="337"/>
      <c r="R426" s="337"/>
      <c r="S426" s="337"/>
      <c r="T426" s="337"/>
      <c r="U426" s="497"/>
      <c r="V426" s="497"/>
      <c r="W426" s="497"/>
      <c r="X426" s="497"/>
      <c r="Y426" s="497"/>
      <c r="Z426" s="497"/>
      <c r="AA426" s="497"/>
      <c r="AB426" s="497"/>
      <c r="AC426" s="497"/>
      <c r="AD426" s="497"/>
      <c r="AE426" s="497"/>
      <c r="AF426" s="497"/>
      <c r="AG426" s="497"/>
      <c r="AH426" s="497"/>
      <c r="AI426" s="497"/>
      <c r="AJ426" s="497"/>
      <c r="AK426" s="497"/>
      <c r="AL426" s="497"/>
      <c r="AM426" s="497"/>
      <c r="AN426" s="497"/>
      <c r="AO426" s="497"/>
      <c r="AP426" s="497"/>
      <c r="AQ426" s="497"/>
      <c r="AR426" s="497"/>
      <c r="AS426" s="497"/>
      <c r="AT426" s="497"/>
      <c r="AU426" s="497"/>
      <c r="AV426" s="497"/>
      <c r="AW426" s="497"/>
      <c r="AX426" s="497"/>
      <c r="AY426" s="497"/>
      <c r="AZ426" s="497"/>
      <c r="BA426" s="497"/>
      <c r="BB426" s="497"/>
      <c r="BC426" s="497"/>
      <c r="BD426" s="497"/>
      <c r="BE426" s="497"/>
      <c r="BF426" s="497"/>
      <c r="BG426" s="497"/>
      <c r="BH426" s="497"/>
      <c r="BI426" s="497"/>
      <c r="BJ426" s="497"/>
      <c r="BK426" s="497"/>
      <c r="BL426" s="497"/>
      <c r="BM426" s="497"/>
      <c r="BN426" s="497"/>
      <c r="BO426" s="497"/>
      <c r="BP426" s="497"/>
      <c r="BQ426" s="497"/>
      <c r="BR426" s="497"/>
      <c r="BS426" s="497"/>
      <c r="BT426" s="497"/>
      <c r="BU426" s="497"/>
      <c r="BV426" s="497"/>
      <c r="BW426" s="497"/>
      <c r="BX426" s="497"/>
      <c r="BY426" s="497"/>
      <c r="BZ426" s="497"/>
      <c r="CA426" s="497"/>
      <c r="CB426" s="497"/>
      <c r="CC426" s="497"/>
      <c r="CD426" s="497"/>
      <c r="CE426" s="497"/>
      <c r="CF426" s="497"/>
      <c r="CG426" s="497"/>
      <c r="CH426" s="497"/>
    </row>
    <row r="427" spans="1:86" s="335" customFormat="1">
      <c r="A427" s="517"/>
      <c r="B427" s="517"/>
      <c r="C427" s="517"/>
      <c r="D427" s="517"/>
      <c r="E427" s="517"/>
      <c r="F427" s="517"/>
      <c r="G427" s="517"/>
      <c r="H427" s="639"/>
      <c r="I427" s="639"/>
      <c r="J427" s="336"/>
      <c r="K427" s="2056"/>
      <c r="L427" s="337"/>
      <c r="N427" s="2057"/>
      <c r="O427" s="337"/>
      <c r="P427" s="337"/>
      <c r="Q427" s="337"/>
      <c r="R427" s="337"/>
      <c r="S427" s="337"/>
      <c r="T427" s="337"/>
      <c r="U427" s="497"/>
      <c r="V427" s="497"/>
      <c r="W427" s="497"/>
      <c r="X427" s="497"/>
      <c r="Y427" s="497"/>
      <c r="Z427" s="497"/>
      <c r="AA427" s="497"/>
      <c r="AB427" s="497"/>
      <c r="AC427" s="497"/>
      <c r="AD427" s="497"/>
      <c r="AE427" s="497"/>
      <c r="AF427" s="497"/>
      <c r="AG427" s="497"/>
      <c r="AH427" s="497"/>
      <c r="AI427" s="497"/>
      <c r="AJ427" s="497"/>
      <c r="AK427" s="497"/>
      <c r="AL427" s="497"/>
      <c r="AM427" s="497"/>
      <c r="AN427" s="497"/>
      <c r="AO427" s="497"/>
      <c r="AP427" s="497"/>
      <c r="AQ427" s="497"/>
      <c r="AR427" s="497"/>
      <c r="AS427" s="497"/>
      <c r="AT427" s="497"/>
      <c r="AU427" s="497"/>
      <c r="AV427" s="497"/>
      <c r="AW427" s="497"/>
      <c r="AX427" s="497"/>
      <c r="AY427" s="497"/>
      <c r="AZ427" s="497"/>
      <c r="BA427" s="497"/>
      <c r="BB427" s="497"/>
      <c r="BC427" s="497"/>
      <c r="BD427" s="497"/>
      <c r="BE427" s="497"/>
      <c r="BF427" s="497"/>
      <c r="BG427" s="497"/>
      <c r="BH427" s="497"/>
      <c r="BI427" s="497"/>
      <c r="BJ427" s="497"/>
      <c r="BK427" s="497"/>
      <c r="BL427" s="497"/>
      <c r="BM427" s="497"/>
      <c r="BN427" s="497"/>
      <c r="BO427" s="497"/>
      <c r="BP427" s="497"/>
      <c r="BQ427" s="497"/>
      <c r="BR427" s="497"/>
      <c r="BS427" s="497"/>
      <c r="BT427" s="497"/>
      <c r="BU427" s="497"/>
      <c r="BV427" s="497"/>
      <c r="BW427" s="497"/>
      <c r="BX427" s="497"/>
      <c r="BY427" s="497"/>
      <c r="BZ427" s="497"/>
      <c r="CA427" s="497"/>
      <c r="CB427" s="497"/>
      <c r="CC427" s="497"/>
      <c r="CD427" s="497"/>
      <c r="CE427" s="497"/>
      <c r="CF427" s="497"/>
      <c r="CG427" s="497"/>
      <c r="CH427" s="497"/>
    </row>
    <row r="428" spans="1:86" s="335" customFormat="1">
      <c r="A428" s="517"/>
      <c r="B428" s="517"/>
      <c r="C428" s="517"/>
      <c r="D428" s="517"/>
      <c r="E428" s="517"/>
      <c r="F428" s="517"/>
      <c r="G428" s="517"/>
      <c r="H428" s="639"/>
      <c r="I428" s="639"/>
      <c r="J428" s="336"/>
      <c r="K428" s="2056"/>
      <c r="L428" s="337"/>
      <c r="N428" s="2057"/>
      <c r="O428" s="337"/>
      <c r="P428" s="337"/>
      <c r="Q428" s="337"/>
      <c r="R428" s="337"/>
      <c r="S428" s="337"/>
      <c r="T428" s="337"/>
      <c r="U428" s="497"/>
      <c r="V428" s="497"/>
      <c r="W428" s="497"/>
      <c r="X428" s="497"/>
      <c r="Y428" s="497"/>
      <c r="Z428" s="497"/>
      <c r="AA428" s="497"/>
      <c r="AB428" s="497"/>
      <c r="AC428" s="497"/>
      <c r="AD428" s="497"/>
      <c r="AE428" s="497"/>
      <c r="AF428" s="497"/>
      <c r="AG428" s="497"/>
      <c r="AH428" s="497"/>
      <c r="AI428" s="497"/>
      <c r="AJ428" s="497"/>
      <c r="AK428" s="497"/>
      <c r="AL428" s="497"/>
      <c r="AM428" s="497"/>
      <c r="AN428" s="497"/>
      <c r="AO428" s="497"/>
      <c r="AP428" s="497"/>
      <c r="AQ428" s="497"/>
      <c r="AR428" s="497"/>
      <c r="AS428" s="497"/>
      <c r="AT428" s="497"/>
      <c r="AU428" s="497"/>
      <c r="AV428" s="497"/>
      <c r="AW428" s="497"/>
      <c r="AX428" s="497"/>
      <c r="AY428" s="497"/>
      <c r="AZ428" s="497"/>
      <c r="BA428" s="497"/>
      <c r="BB428" s="497"/>
      <c r="BC428" s="497"/>
      <c r="BD428" s="497"/>
      <c r="BE428" s="497"/>
      <c r="BF428" s="497"/>
      <c r="BG428" s="497"/>
      <c r="BH428" s="497"/>
      <c r="BI428" s="497"/>
      <c r="BJ428" s="497"/>
      <c r="BK428" s="497"/>
      <c r="BL428" s="497"/>
      <c r="BM428" s="497"/>
      <c r="BN428" s="497"/>
      <c r="BO428" s="497"/>
      <c r="BP428" s="497"/>
      <c r="BQ428" s="497"/>
      <c r="BR428" s="497"/>
      <c r="BS428" s="497"/>
      <c r="BT428" s="497"/>
      <c r="BU428" s="497"/>
      <c r="BV428" s="497"/>
      <c r="BW428" s="497"/>
      <c r="BX428" s="497"/>
      <c r="BY428" s="497"/>
      <c r="BZ428" s="497"/>
      <c r="CA428" s="497"/>
      <c r="CB428" s="497"/>
      <c r="CC428" s="497"/>
      <c r="CD428" s="497"/>
      <c r="CE428" s="497"/>
      <c r="CF428" s="497"/>
      <c r="CG428" s="497"/>
      <c r="CH428" s="497"/>
    </row>
    <row r="429" spans="1:86" s="335" customFormat="1">
      <c r="A429" s="517"/>
      <c r="B429" s="517"/>
      <c r="C429" s="517"/>
      <c r="D429" s="517"/>
      <c r="E429" s="517"/>
      <c r="F429" s="517"/>
      <c r="G429" s="517"/>
      <c r="H429" s="639"/>
      <c r="I429" s="639"/>
      <c r="J429" s="336"/>
      <c r="K429" s="2056"/>
      <c r="L429" s="337"/>
      <c r="N429" s="2057"/>
      <c r="O429" s="337"/>
      <c r="P429" s="337"/>
      <c r="Q429" s="337"/>
      <c r="R429" s="337"/>
      <c r="S429" s="337"/>
      <c r="T429" s="337"/>
      <c r="U429" s="497"/>
      <c r="V429" s="497"/>
      <c r="W429" s="497"/>
      <c r="X429" s="497"/>
      <c r="Y429" s="497"/>
      <c r="Z429" s="497"/>
      <c r="AA429" s="497"/>
      <c r="AB429" s="497"/>
      <c r="AC429" s="497"/>
      <c r="AD429" s="497"/>
      <c r="AE429" s="497"/>
      <c r="AF429" s="497"/>
      <c r="AG429" s="497"/>
      <c r="AH429" s="497"/>
      <c r="AI429" s="497"/>
      <c r="AJ429" s="497"/>
      <c r="AK429" s="497"/>
      <c r="AL429" s="497"/>
      <c r="AM429" s="497"/>
      <c r="AN429" s="497"/>
      <c r="AO429" s="497"/>
      <c r="AP429" s="497"/>
      <c r="AQ429" s="497"/>
      <c r="AR429" s="497"/>
      <c r="AS429" s="497"/>
      <c r="AT429" s="497"/>
      <c r="AU429" s="497"/>
      <c r="AV429" s="497"/>
      <c r="AW429" s="497"/>
      <c r="AX429" s="497"/>
      <c r="AY429" s="497"/>
      <c r="AZ429" s="497"/>
      <c r="BA429" s="497"/>
      <c r="BB429" s="497"/>
      <c r="BC429" s="497"/>
      <c r="BD429" s="497"/>
      <c r="BE429" s="497"/>
      <c r="BF429" s="497"/>
      <c r="BG429" s="497"/>
      <c r="BH429" s="497"/>
      <c r="BI429" s="497"/>
      <c r="BJ429" s="497"/>
      <c r="BK429" s="497"/>
      <c r="BL429" s="497"/>
      <c r="BM429" s="497"/>
      <c r="BN429" s="497"/>
      <c r="BO429" s="497"/>
      <c r="BP429" s="497"/>
      <c r="BQ429" s="497"/>
      <c r="BR429" s="497"/>
      <c r="BS429" s="497"/>
      <c r="BT429" s="497"/>
      <c r="BU429" s="497"/>
      <c r="BV429" s="497"/>
      <c r="BW429" s="497"/>
      <c r="BX429" s="497"/>
      <c r="BY429" s="497"/>
      <c r="BZ429" s="497"/>
      <c r="CA429" s="497"/>
      <c r="CB429" s="497"/>
      <c r="CC429" s="497"/>
      <c r="CD429" s="497"/>
      <c r="CE429" s="497"/>
      <c r="CF429" s="497"/>
      <c r="CG429" s="497"/>
      <c r="CH429" s="497"/>
    </row>
    <row r="430" spans="1:86" s="335" customFormat="1">
      <c r="A430" s="517"/>
      <c r="B430" s="517"/>
      <c r="C430" s="517"/>
      <c r="D430" s="517"/>
      <c r="E430" s="517"/>
      <c r="F430" s="517"/>
      <c r="G430" s="517"/>
      <c r="H430" s="639"/>
      <c r="I430" s="639"/>
      <c r="J430" s="336"/>
      <c r="K430" s="2056"/>
      <c r="L430" s="337"/>
      <c r="N430" s="2057"/>
      <c r="O430" s="337"/>
      <c r="P430" s="337"/>
      <c r="Q430" s="337"/>
      <c r="R430" s="337"/>
      <c r="S430" s="337"/>
      <c r="T430" s="337"/>
      <c r="U430" s="497"/>
      <c r="V430" s="497"/>
      <c r="W430" s="497"/>
      <c r="X430" s="497"/>
      <c r="Y430" s="497"/>
      <c r="Z430" s="497"/>
      <c r="AA430" s="497"/>
      <c r="AB430" s="497"/>
      <c r="AC430" s="497"/>
      <c r="AD430" s="497"/>
      <c r="AE430" s="497"/>
      <c r="AF430" s="497"/>
      <c r="AG430" s="497"/>
      <c r="AH430" s="497"/>
      <c r="AI430" s="497"/>
      <c r="AJ430" s="497"/>
      <c r="AK430" s="497"/>
      <c r="AL430" s="497"/>
      <c r="AM430" s="497"/>
      <c r="AN430" s="497"/>
      <c r="AO430" s="497"/>
      <c r="AP430" s="497"/>
      <c r="AQ430" s="497"/>
      <c r="AR430" s="497"/>
      <c r="AS430" s="497"/>
      <c r="AT430" s="497"/>
      <c r="AU430" s="497"/>
      <c r="AV430" s="497"/>
      <c r="AW430" s="497"/>
      <c r="AX430" s="497"/>
      <c r="AY430" s="497"/>
      <c r="AZ430" s="497"/>
      <c r="BA430" s="497"/>
      <c r="BB430" s="497"/>
      <c r="BC430" s="497"/>
      <c r="BD430" s="497"/>
      <c r="BE430" s="497"/>
      <c r="BF430" s="497"/>
      <c r="BG430" s="497"/>
      <c r="BH430" s="497"/>
      <c r="BI430" s="497"/>
      <c r="BJ430" s="497"/>
      <c r="BK430" s="497"/>
      <c r="BL430" s="497"/>
      <c r="BM430" s="497"/>
      <c r="BN430" s="497"/>
      <c r="BO430" s="497"/>
      <c r="BP430" s="497"/>
      <c r="BQ430" s="497"/>
      <c r="BR430" s="497"/>
      <c r="BS430" s="497"/>
      <c r="BT430" s="497"/>
      <c r="BU430" s="497"/>
      <c r="BV430" s="497"/>
      <c r="BW430" s="497"/>
      <c r="BX430" s="497"/>
      <c r="BY430" s="497"/>
      <c r="BZ430" s="497"/>
      <c r="CA430" s="497"/>
      <c r="CB430" s="497"/>
      <c r="CC430" s="497"/>
      <c r="CD430" s="497"/>
      <c r="CE430" s="497"/>
      <c r="CF430" s="497"/>
      <c r="CG430" s="497"/>
      <c r="CH430" s="497"/>
    </row>
    <row r="431" spans="1:86" s="335" customFormat="1">
      <c r="A431" s="517"/>
      <c r="B431" s="517"/>
      <c r="C431" s="517"/>
      <c r="D431" s="517"/>
      <c r="E431" s="517"/>
      <c r="F431" s="517"/>
      <c r="G431" s="517"/>
      <c r="H431" s="639"/>
      <c r="I431" s="639"/>
      <c r="J431" s="336"/>
      <c r="K431" s="2056"/>
      <c r="L431" s="337"/>
      <c r="N431" s="2057"/>
      <c r="O431" s="337"/>
      <c r="P431" s="337"/>
      <c r="Q431" s="337"/>
      <c r="R431" s="337"/>
      <c r="S431" s="337"/>
      <c r="T431" s="337"/>
      <c r="U431" s="497"/>
      <c r="V431" s="497"/>
      <c r="W431" s="497"/>
      <c r="X431" s="497"/>
      <c r="Y431" s="497"/>
      <c r="Z431" s="497"/>
      <c r="AA431" s="497"/>
      <c r="AB431" s="497"/>
      <c r="AC431" s="497"/>
      <c r="AD431" s="497"/>
      <c r="AE431" s="497"/>
      <c r="AF431" s="497"/>
      <c r="AG431" s="497"/>
      <c r="AH431" s="497"/>
      <c r="AI431" s="497"/>
      <c r="AJ431" s="497"/>
      <c r="AK431" s="497"/>
      <c r="AL431" s="497"/>
      <c r="AM431" s="497"/>
      <c r="AN431" s="497"/>
      <c r="AO431" s="497"/>
      <c r="AP431" s="497"/>
      <c r="AQ431" s="497"/>
      <c r="AR431" s="497"/>
      <c r="AS431" s="497"/>
      <c r="AT431" s="497"/>
      <c r="AU431" s="497"/>
      <c r="AV431" s="497"/>
      <c r="AW431" s="497"/>
      <c r="AX431" s="497"/>
      <c r="AY431" s="497"/>
      <c r="AZ431" s="497"/>
      <c r="BA431" s="497"/>
      <c r="BB431" s="497"/>
      <c r="BC431" s="497"/>
      <c r="BD431" s="497"/>
      <c r="BE431" s="497"/>
      <c r="BF431" s="497"/>
      <c r="BG431" s="497"/>
      <c r="BH431" s="497"/>
      <c r="BI431" s="497"/>
      <c r="BJ431" s="497"/>
      <c r="BK431" s="497"/>
      <c r="BL431" s="497"/>
      <c r="BM431" s="497"/>
      <c r="BN431" s="497"/>
      <c r="BO431" s="497"/>
      <c r="BP431" s="497"/>
      <c r="BQ431" s="497"/>
      <c r="BR431" s="497"/>
      <c r="BS431" s="497"/>
      <c r="BT431" s="497"/>
      <c r="BU431" s="497"/>
      <c r="BV431" s="497"/>
      <c r="BW431" s="497"/>
      <c r="BX431" s="497"/>
      <c r="BY431" s="497"/>
      <c r="BZ431" s="497"/>
      <c r="CA431" s="497"/>
      <c r="CB431" s="497"/>
      <c r="CC431" s="497"/>
      <c r="CD431" s="497"/>
      <c r="CE431" s="497"/>
      <c r="CF431" s="497"/>
      <c r="CG431" s="497"/>
      <c r="CH431" s="497"/>
    </row>
    <row r="432" spans="1:86" s="335" customFormat="1">
      <c r="A432" s="517"/>
      <c r="B432" s="517"/>
      <c r="C432" s="517"/>
      <c r="D432" s="517"/>
      <c r="E432" s="517"/>
      <c r="F432" s="517"/>
      <c r="G432" s="517"/>
      <c r="H432" s="639"/>
      <c r="I432" s="639"/>
      <c r="J432" s="336"/>
      <c r="K432" s="2056"/>
      <c r="L432" s="337"/>
      <c r="N432" s="2057"/>
      <c r="O432" s="337"/>
      <c r="P432" s="337"/>
      <c r="Q432" s="337"/>
      <c r="R432" s="337"/>
      <c r="S432" s="337"/>
      <c r="T432" s="337"/>
      <c r="U432" s="497"/>
      <c r="V432" s="497"/>
      <c r="W432" s="497"/>
      <c r="X432" s="497"/>
      <c r="Y432" s="497"/>
      <c r="Z432" s="497"/>
      <c r="AA432" s="497"/>
      <c r="AB432" s="497"/>
      <c r="AC432" s="497"/>
      <c r="AD432" s="497"/>
      <c r="AE432" s="497"/>
      <c r="AF432" s="497"/>
      <c r="AG432" s="497"/>
      <c r="AH432" s="497"/>
      <c r="AI432" s="497"/>
      <c r="AJ432" s="497"/>
      <c r="AK432" s="497"/>
      <c r="AL432" s="497"/>
      <c r="AM432" s="497"/>
      <c r="AN432" s="497"/>
      <c r="AO432" s="497"/>
      <c r="AP432" s="497"/>
      <c r="AQ432" s="497"/>
      <c r="AR432" s="497"/>
      <c r="AS432" s="497"/>
      <c r="AT432" s="497"/>
      <c r="AU432" s="497"/>
      <c r="AV432" s="497"/>
      <c r="AW432" s="497"/>
      <c r="AX432" s="497"/>
      <c r="AY432" s="497"/>
      <c r="AZ432" s="497"/>
      <c r="BA432" s="497"/>
      <c r="BB432" s="497"/>
      <c r="BC432" s="497"/>
      <c r="BD432" s="497"/>
      <c r="BE432" s="497"/>
      <c r="BF432" s="497"/>
      <c r="BG432" s="497"/>
      <c r="BH432" s="497"/>
      <c r="BI432" s="497"/>
      <c r="BJ432" s="497"/>
      <c r="BK432" s="497"/>
      <c r="BL432" s="497"/>
      <c r="BM432" s="497"/>
      <c r="BN432" s="497"/>
      <c r="BO432" s="497"/>
      <c r="BP432" s="497"/>
      <c r="BQ432" s="497"/>
      <c r="BR432" s="497"/>
      <c r="BS432" s="497"/>
      <c r="BT432" s="497"/>
      <c r="BU432" s="497"/>
      <c r="BV432" s="497"/>
      <c r="BW432" s="497"/>
      <c r="BX432" s="497"/>
      <c r="BY432" s="497"/>
      <c r="BZ432" s="497"/>
      <c r="CA432" s="497"/>
      <c r="CB432" s="497"/>
      <c r="CC432" s="497"/>
      <c r="CD432" s="497"/>
      <c r="CE432" s="497"/>
      <c r="CF432" s="497"/>
      <c r="CG432" s="497"/>
      <c r="CH432" s="497"/>
    </row>
    <row r="433" spans="1:86" s="335" customFormat="1">
      <c r="A433" s="517"/>
      <c r="B433" s="517"/>
      <c r="C433" s="517"/>
      <c r="D433" s="517"/>
      <c r="E433" s="517"/>
      <c r="F433" s="517"/>
      <c r="G433" s="517"/>
      <c r="H433" s="639"/>
      <c r="I433" s="639"/>
      <c r="J433" s="336"/>
      <c r="K433" s="2056"/>
      <c r="L433" s="337"/>
      <c r="N433" s="2057"/>
      <c r="O433" s="337"/>
      <c r="P433" s="337"/>
      <c r="Q433" s="337"/>
      <c r="R433" s="337"/>
      <c r="S433" s="337"/>
      <c r="T433" s="337"/>
      <c r="U433" s="497"/>
      <c r="V433" s="497"/>
      <c r="W433" s="497"/>
      <c r="X433" s="497"/>
      <c r="Y433" s="497"/>
      <c r="Z433" s="497"/>
      <c r="AA433" s="497"/>
      <c r="AB433" s="497"/>
      <c r="AC433" s="497"/>
      <c r="AD433" s="497"/>
      <c r="AE433" s="497"/>
      <c r="AF433" s="497"/>
      <c r="AG433" s="497"/>
      <c r="AH433" s="497"/>
      <c r="AI433" s="497"/>
      <c r="AJ433" s="497"/>
      <c r="AK433" s="497"/>
      <c r="AL433" s="497"/>
      <c r="AM433" s="497"/>
      <c r="AN433" s="497"/>
      <c r="AO433" s="497"/>
      <c r="AP433" s="497"/>
      <c r="AQ433" s="497"/>
      <c r="AR433" s="497"/>
      <c r="AS433" s="497"/>
      <c r="AT433" s="497"/>
      <c r="AU433" s="497"/>
      <c r="AV433" s="497"/>
      <c r="AW433" s="497"/>
      <c r="AX433" s="497"/>
      <c r="AY433" s="497"/>
      <c r="AZ433" s="497"/>
      <c r="BA433" s="497"/>
      <c r="BB433" s="497"/>
      <c r="BC433" s="497"/>
      <c r="BD433" s="497"/>
      <c r="BE433" s="497"/>
      <c r="BF433" s="497"/>
      <c r="BG433" s="497"/>
      <c r="BH433" s="497"/>
      <c r="BI433" s="497"/>
      <c r="BJ433" s="497"/>
      <c r="BK433" s="497"/>
      <c r="BL433" s="497"/>
      <c r="BM433" s="497"/>
      <c r="BN433" s="497"/>
      <c r="BO433" s="497"/>
      <c r="BP433" s="497"/>
      <c r="BQ433" s="497"/>
      <c r="BR433" s="497"/>
      <c r="BS433" s="497"/>
      <c r="BT433" s="497"/>
      <c r="BU433" s="497"/>
      <c r="BV433" s="497"/>
      <c r="BW433" s="497"/>
      <c r="BX433" s="497"/>
      <c r="BY433" s="497"/>
      <c r="BZ433" s="497"/>
      <c r="CA433" s="497"/>
      <c r="CB433" s="497"/>
      <c r="CC433" s="497"/>
      <c r="CD433" s="497"/>
      <c r="CE433" s="497"/>
      <c r="CF433" s="497"/>
      <c r="CG433" s="497"/>
      <c r="CH433" s="497"/>
    </row>
    <row r="434" spans="1:86" s="335" customFormat="1">
      <c r="A434" s="517"/>
      <c r="B434" s="517"/>
      <c r="C434" s="517"/>
      <c r="D434" s="517"/>
      <c r="E434" s="517"/>
      <c r="F434" s="517"/>
      <c r="G434" s="517"/>
      <c r="H434" s="639"/>
      <c r="I434" s="639"/>
      <c r="J434" s="336"/>
      <c r="K434" s="2056"/>
      <c r="L434" s="337"/>
      <c r="N434" s="2057"/>
      <c r="O434" s="337"/>
      <c r="P434" s="337"/>
      <c r="Q434" s="337"/>
      <c r="R434" s="337"/>
      <c r="S434" s="337"/>
      <c r="T434" s="337"/>
      <c r="U434" s="497"/>
      <c r="V434" s="497"/>
      <c r="W434" s="497"/>
      <c r="X434" s="497"/>
      <c r="Y434" s="497"/>
      <c r="Z434" s="497"/>
      <c r="AA434" s="497"/>
      <c r="AB434" s="497"/>
      <c r="AC434" s="497"/>
      <c r="AD434" s="497"/>
      <c r="AE434" s="497"/>
      <c r="AF434" s="497"/>
      <c r="AG434" s="497"/>
      <c r="AH434" s="497"/>
      <c r="AI434" s="497"/>
      <c r="AJ434" s="497"/>
      <c r="AK434" s="497"/>
      <c r="AL434" s="497"/>
      <c r="AM434" s="497"/>
      <c r="AN434" s="497"/>
      <c r="AO434" s="497"/>
      <c r="AP434" s="497"/>
      <c r="AQ434" s="497"/>
      <c r="AR434" s="497"/>
      <c r="AS434" s="497"/>
      <c r="AT434" s="497"/>
      <c r="AU434" s="497"/>
      <c r="AV434" s="497"/>
      <c r="AW434" s="497"/>
      <c r="AX434" s="497"/>
      <c r="AY434" s="497"/>
      <c r="AZ434" s="497"/>
      <c r="BA434" s="497"/>
      <c r="BB434" s="497"/>
      <c r="BC434" s="497"/>
      <c r="BD434" s="497"/>
      <c r="BE434" s="497"/>
      <c r="BF434" s="497"/>
      <c r="BG434" s="497"/>
      <c r="BH434" s="497"/>
      <c r="BI434" s="497"/>
      <c r="BJ434" s="497"/>
      <c r="BK434" s="497"/>
      <c r="BL434" s="497"/>
      <c r="BM434" s="497"/>
      <c r="BN434" s="497"/>
      <c r="BO434" s="497"/>
      <c r="BP434" s="497"/>
      <c r="BQ434" s="497"/>
      <c r="BR434" s="497"/>
      <c r="BS434" s="497"/>
      <c r="BT434" s="497"/>
      <c r="BU434" s="497"/>
      <c r="BV434" s="497"/>
      <c r="BW434" s="497"/>
      <c r="BX434" s="497"/>
      <c r="BY434" s="497"/>
      <c r="BZ434" s="497"/>
      <c r="CA434" s="497"/>
      <c r="CB434" s="497"/>
      <c r="CC434" s="497"/>
      <c r="CD434" s="497"/>
      <c r="CE434" s="497"/>
      <c r="CF434" s="497"/>
      <c r="CG434" s="497"/>
      <c r="CH434" s="497"/>
    </row>
    <row r="435" spans="1:86" s="335" customFormat="1">
      <c r="A435" s="517"/>
      <c r="B435" s="517"/>
      <c r="C435" s="517"/>
      <c r="D435" s="517"/>
      <c r="E435" s="517"/>
      <c r="F435" s="517"/>
      <c r="G435" s="517"/>
      <c r="H435" s="639"/>
      <c r="I435" s="639"/>
      <c r="J435" s="336"/>
      <c r="K435" s="2056"/>
      <c r="L435" s="337"/>
      <c r="N435" s="2057"/>
      <c r="O435" s="337"/>
      <c r="P435" s="337"/>
      <c r="Q435" s="337"/>
      <c r="R435" s="337"/>
      <c r="S435" s="337"/>
      <c r="T435" s="337"/>
      <c r="U435" s="497"/>
      <c r="V435" s="497"/>
      <c r="W435" s="497"/>
      <c r="X435" s="497"/>
      <c r="Y435" s="497"/>
      <c r="Z435" s="497"/>
      <c r="AA435" s="497"/>
      <c r="AB435" s="497"/>
      <c r="AC435" s="497"/>
      <c r="AD435" s="497"/>
      <c r="AE435" s="497"/>
      <c r="AF435" s="497"/>
      <c r="AG435" s="497"/>
      <c r="AH435" s="497"/>
      <c r="AI435" s="497"/>
      <c r="AJ435" s="497"/>
      <c r="AK435" s="497"/>
      <c r="AL435" s="497"/>
      <c r="AM435" s="497"/>
      <c r="AN435" s="497"/>
      <c r="AO435" s="497"/>
      <c r="AP435" s="497"/>
      <c r="AQ435" s="497"/>
      <c r="AR435" s="497"/>
      <c r="AS435" s="497"/>
      <c r="AT435" s="497"/>
      <c r="AU435" s="497"/>
      <c r="AV435" s="497"/>
      <c r="AW435" s="497"/>
      <c r="AX435" s="497"/>
      <c r="AY435" s="497"/>
      <c r="AZ435" s="497"/>
      <c r="BA435" s="497"/>
      <c r="BB435" s="497"/>
      <c r="BC435" s="497"/>
      <c r="BD435" s="497"/>
      <c r="BE435" s="497"/>
      <c r="BF435" s="497"/>
      <c r="BG435" s="497"/>
      <c r="BH435" s="497"/>
      <c r="BI435" s="497"/>
      <c r="BJ435" s="497"/>
      <c r="BK435" s="497"/>
      <c r="BL435" s="497"/>
      <c r="BM435" s="497"/>
      <c r="BN435" s="497"/>
      <c r="BO435" s="497"/>
      <c r="BP435" s="497"/>
      <c r="BQ435" s="497"/>
      <c r="BR435" s="497"/>
      <c r="BS435" s="497"/>
      <c r="BT435" s="497"/>
      <c r="BU435" s="497"/>
      <c r="BV435" s="497"/>
      <c r="BW435" s="497"/>
      <c r="BX435" s="497"/>
      <c r="BY435" s="497"/>
      <c r="BZ435" s="497"/>
      <c r="CA435" s="497"/>
      <c r="CB435" s="497"/>
      <c r="CC435" s="497"/>
      <c r="CD435" s="497"/>
      <c r="CE435" s="497"/>
      <c r="CF435" s="497"/>
      <c r="CG435" s="497"/>
      <c r="CH435" s="497"/>
    </row>
    <row r="436" spans="1:86" s="335" customFormat="1">
      <c r="A436" s="517"/>
      <c r="B436" s="517"/>
      <c r="C436" s="517"/>
      <c r="D436" s="517"/>
      <c r="E436" s="517"/>
      <c r="F436" s="517"/>
      <c r="G436" s="517"/>
      <c r="H436" s="639"/>
      <c r="I436" s="639"/>
      <c r="J436" s="336"/>
      <c r="K436" s="2056"/>
      <c r="L436" s="337"/>
      <c r="N436" s="2057"/>
      <c r="O436" s="337"/>
      <c r="P436" s="337"/>
      <c r="Q436" s="337"/>
      <c r="R436" s="337"/>
      <c r="S436" s="337"/>
      <c r="T436" s="337"/>
      <c r="U436" s="497"/>
      <c r="V436" s="497"/>
      <c r="W436" s="497"/>
      <c r="X436" s="497"/>
      <c r="Y436" s="497"/>
      <c r="Z436" s="497"/>
      <c r="AA436" s="497"/>
      <c r="AB436" s="497"/>
      <c r="AC436" s="497"/>
      <c r="AD436" s="497"/>
      <c r="AE436" s="497"/>
      <c r="AF436" s="497"/>
      <c r="AG436" s="497"/>
      <c r="AH436" s="497"/>
      <c r="AI436" s="497"/>
      <c r="AJ436" s="497"/>
      <c r="AK436" s="497"/>
      <c r="AL436" s="497"/>
      <c r="AM436" s="497"/>
      <c r="AN436" s="497"/>
      <c r="AO436" s="497"/>
      <c r="AP436" s="497"/>
      <c r="AQ436" s="497"/>
      <c r="AR436" s="497"/>
      <c r="AS436" s="497"/>
      <c r="AT436" s="497"/>
      <c r="AU436" s="497"/>
      <c r="AV436" s="497"/>
      <c r="AW436" s="497"/>
      <c r="AX436" s="497"/>
      <c r="AY436" s="497"/>
      <c r="AZ436" s="497"/>
      <c r="BA436" s="497"/>
      <c r="BB436" s="497"/>
      <c r="BC436" s="497"/>
      <c r="BD436" s="497"/>
      <c r="BE436" s="497"/>
      <c r="BF436" s="497"/>
      <c r="BG436" s="497"/>
      <c r="BH436" s="497"/>
      <c r="BI436" s="497"/>
      <c r="BJ436" s="497"/>
      <c r="BK436" s="497"/>
      <c r="BL436" s="497"/>
      <c r="BM436" s="497"/>
      <c r="BN436" s="497"/>
      <c r="BO436" s="497"/>
      <c r="BP436" s="497"/>
      <c r="BQ436" s="497"/>
      <c r="BR436" s="497"/>
      <c r="BS436" s="497"/>
      <c r="BT436" s="497"/>
      <c r="BU436" s="497"/>
      <c r="BV436" s="497"/>
      <c r="BW436" s="497"/>
      <c r="BX436" s="497"/>
      <c r="BY436" s="497"/>
      <c r="BZ436" s="497"/>
      <c r="CA436" s="497"/>
      <c r="CB436" s="497"/>
      <c r="CC436" s="497"/>
      <c r="CD436" s="497"/>
      <c r="CE436" s="497"/>
      <c r="CF436" s="497"/>
      <c r="CG436" s="497"/>
      <c r="CH436" s="497"/>
    </row>
    <row r="437" spans="1:86" s="335" customFormat="1">
      <c r="A437" s="517"/>
      <c r="B437" s="517"/>
      <c r="C437" s="517"/>
      <c r="D437" s="517"/>
      <c r="E437" s="517"/>
      <c r="F437" s="517"/>
      <c r="G437" s="517"/>
      <c r="H437" s="639"/>
      <c r="I437" s="639"/>
      <c r="J437" s="336"/>
      <c r="K437" s="2056"/>
      <c r="L437" s="337"/>
      <c r="N437" s="2057"/>
      <c r="O437" s="337"/>
      <c r="P437" s="337"/>
      <c r="Q437" s="337"/>
      <c r="R437" s="337"/>
      <c r="S437" s="337"/>
      <c r="T437" s="337"/>
      <c r="U437" s="497"/>
      <c r="V437" s="497"/>
      <c r="W437" s="497"/>
      <c r="X437" s="497"/>
      <c r="Y437" s="497"/>
      <c r="Z437" s="497"/>
      <c r="AA437" s="497"/>
      <c r="AB437" s="497"/>
      <c r="AC437" s="497"/>
      <c r="AD437" s="497"/>
      <c r="AE437" s="497"/>
      <c r="AF437" s="497"/>
      <c r="AG437" s="497"/>
      <c r="AH437" s="497"/>
      <c r="AI437" s="497"/>
      <c r="AJ437" s="497"/>
      <c r="AK437" s="497"/>
      <c r="AL437" s="497"/>
      <c r="AM437" s="497"/>
      <c r="AN437" s="497"/>
      <c r="AO437" s="497"/>
      <c r="AP437" s="497"/>
      <c r="AQ437" s="497"/>
      <c r="AR437" s="497"/>
      <c r="AS437" s="497"/>
      <c r="AT437" s="497"/>
      <c r="AU437" s="497"/>
      <c r="AV437" s="497"/>
      <c r="AW437" s="497"/>
      <c r="AX437" s="497"/>
      <c r="AY437" s="497"/>
      <c r="AZ437" s="497"/>
      <c r="BA437" s="497"/>
      <c r="BB437" s="497"/>
      <c r="BC437" s="497"/>
      <c r="BD437" s="497"/>
      <c r="BE437" s="497"/>
      <c r="BF437" s="497"/>
      <c r="BG437" s="497"/>
      <c r="BH437" s="497"/>
      <c r="BI437" s="497"/>
      <c r="BJ437" s="497"/>
      <c r="BK437" s="497"/>
      <c r="BL437" s="497"/>
      <c r="BM437" s="497"/>
      <c r="BN437" s="497"/>
      <c r="BO437" s="497"/>
      <c r="BP437" s="497"/>
      <c r="BQ437" s="497"/>
      <c r="BR437" s="497"/>
      <c r="BS437" s="497"/>
      <c r="BT437" s="497"/>
      <c r="BU437" s="497"/>
      <c r="BV437" s="497"/>
      <c r="BW437" s="497"/>
      <c r="BX437" s="497"/>
      <c r="BY437" s="497"/>
      <c r="BZ437" s="497"/>
      <c r="CA437" s="497"/>
      <c r="CB437" s="497"/>
      <c r="CC437" s="497"/>
      <c r="CD437" s="497"/>
      <c r="CE437" s="497"/>
      <c r="CF437" s="497"/>
      <c r="CG437" s="497"/>
      <c r="CH437" s="497"/>
    </row>
    <row r="438" spans="1:86" s="335" customFormat="1">
      <c r="A438" s="517"/>
      <c r="B438" s="517"/>
      <c r="C438" s="517"/>
      <c r="D438" s="517"/>
      <c r="E438" s="517"/>
      <c r="F438" s="517"/>
      <c r="G438" s="517"/>
      <c r="H438" s="639"/>
      <c r="I438" s="639"/>
      <c r="J438" s="336"/>
      <c r="K438" s="2056"/>
      <c r="L438" s="337"/>
      <c r="N438" s="2057"/>
      <c r="O438" s="337"/>
      <c r="P438" s="337"/>
      <c r="Q438" s="337"/>
      <c r="R438" s="337"/>
      <c r="S438" s="337"/>
      <c r="T438" s="337"/>
      <c r="U438" s="497"/>
      <c r="V438" s="497"/>
      <c r="W438" s="497"/>
      <c r="X438" s="497"/>
      <c r="Y438" s="497"/>
      <c r="Z438" s="497"/>
      <c r="AA438" s="497"/>
      <c r="AB438" s="497"/>
      <c r="AC438" s="497"/>
      <c r="AD438" s="497"/>
      <c r="AE438" s="497"/>
      <c r="AF438" s="497"/>
      <c r="AG438" s="497"/>
      <c r="AH438" s="497"/>
      <c r="AI438" s="497"/>
      <c r="AJ438" s="497"/>
      <c r="AK438" s="497"/>
      <c r="AL438" s="497"/>
      <c r="AM438" s="497"/>
      <c r="AN438" s="497"/>
      <c r="AO438" s="497"/>
      <c r="AP438" s="497"/>
      <c r="AQ438" s="497"/>
      <c r="AR438" s="497"/>
      <c r="AS438" s="497"/>
      <c r="AT438" s="497"/>
      <c r="AU438" s="497"/>
      <c r="AV438" s="497"/>
      <c r="AW438" s="497"/>
      <c r="AX438" s="497"/>
      <c r="AY438" s="497"/>
      <c r="AZ438" s="497"/>
      <c r="BA438" s="497"/>
      <c r="BB438" s="497"/>
      <c r="BC438" s="497"/>
      <c r="BD438" s="497"/>
      <c r="BE438" s="497"/>
      <c r="BF438" s="497"/>
      <c r="BG438" s="497"/>
      <c r="BH438" s="497"/>
      <c r="BI438" s="497"/>
      <c r="BJ438" s="497"/>
      <c r="BK438" s="497"/>
      <c r="BL438" s="497"/>
      <c r="BM438" s="497"/>
      <c r="BN438" s="497"/>
      <c r="BO438" s="497"/>
      <c r="BP438" s="497"/>
      <c r="BQ438" s="497"/>
      <c r="BR438" s="497"/>
      <c r="BS438" s="497"/>
      <c r="BT438" s="497"/>
      <c r="BU438" s="497"/>
      <c r="BV438" s="497"/>
      <c r="BW438" s="497"/>
      <c r="BX438" s="497"/>
      <c r="BY438" s="497"/>
      <c r="BZ438" s="497"/>
      <c r="CA438" s="497"/>
      <c r="CB438" s="497"/>
      <c r="CC438" s="497"/>
      <c r="CD438" s="497"/>
      <c r="CE438" s="497"/>
      <c r="CF438" s="497"/>
      <c r="CG438" s="497"/>
      <c r="CH438" s="497"/>
    </row>
    <row r="439" spans="1:86" s="335" customFormat="1">
      <c r="A439" s="517"/>
      <c r="B439" s="517"/>
      <c r="C439" s="517"/>
      <c r="D439" s="517"/>
      <c r="E439" s="517"/>
      <c r="F439" s="517"/>
      <c r="G439" s="517"/>
      <c r="H439" s="639"/>
      <c r="I439" s="639"/>
      <c r="J439" s="336"/>
      <c r="K439" s="2056"/>
      <c r="L439" s="337"/>
      <c r="N439" s="2057"/>
      <c r="O439" s="337"/>
      <c r="P439" s="337"/>
      <c r="Q439" s="337"/>
      <c r="R439" s="337"/>
      <c r="S439" s="337"/>
      <c r="T439" s="337"/>
      <c r="U439" s="497"/>
      <c r="V439" s="497"/>
      <c r="W439" s="497"/>
      <c r="X439" s="497"/>
      <c r="Y439" s="497"/>
      <c r="Z439" s="497"/>
      <c r="AA439" s="497"/>
      <c r="AB439" s="497"/>
      <c r="AC439" s="497"/>
      <c r="AD439" s="497"/>
      <c r="AE439" s="497"/>
      <c r="AF439" s="497"/>
      <c r="AG439" s="497"/>
      <c r="AH439" s="497"/>
      <c r="AI439" s="497"/>
      <c r="AJ439" s="497"/>
      <c r="AK439" s="497"/>
      <c r="AL439" s="497"/>
      <c r="AM439" s="497"/>
      <c r="AN439" s="497"/>
      <c r="AO439" s="497"/>
      <c r="AP439" s="497"/>
      <c r="AQ439" s="497"/>
      <c r="AR439" s="497"/>
      <c r="AS439" s="497"/>
      <c r="AT439" s="497"/>
      <c r="AU439" s="497"/>
      <c r="AV439" s="497"/>
      <c r="AW439" s="497"/>
      <c r="AX439" s="497"/>
      <c r="AY439" s="497"/>
      <c r="AZ439" s="497"/>
      <c r="BA439" s="497"/>
      <c r="BB439" s="497"/>
      <c r="BC439" s="497"/>
      <c r="BD439" s="497"/>
      <c r="BE439" s="497"/>
      <c r="BF439" s="497"/>
      <c r="BG439" s="497"/>
      <c r="BH439" s="497"/>
      <c r="BI439" s="497"/>
      <c r="BJ439" s="497"/>
      <c r="BK439" s="497"/>
      <c r="BL439" s="497"/>
      <c r="BM439" s="497"/>
      <c r="BN439" s="497"/>
      <c r="BO439" s="497"/>
      <c r="BP439" s="497"/>
      <c r="BQ439" s="497"/>
      <c r="BR439" s="497"/>
      <c r="BS439" s="497"/>
      <c r="BT439" s="497"/>
      <c r="BU439" s="497"/>
      <c r="BV439" s="497"/>
      <c r="BW439" s="497"/>
      <c r="BX439" s="497"/>
      <c r="BY439" s="497"/>
      <c r="BZ439" s="497"/>
      <c r="CA439" s="497"/>
      <c r="CB439" s="497"/>
      <c r="CC439" s="497"/>
      <c r="CD439" s="497"/>
      <c r="CE439" s="497"/>
      <c r="CF439" s="497"/>
      <c r="CG439" s="497"/>
      <c r="CH439" s="497"/>
    </row>
    <row r="440" spans="1:86" s="335" customFormat="1">
      <c r="A440" s="517"/>
      <c r="B440" s="517"/>
      <c r="C440" s="517"/>
      <c r="D440" s="517"/>
      <c r="E440" s="517"/>
      <c r="F440" s="517"/>
      <c r="G440" s="517"/>
      <c r="H440" s="639"/>
      <c r="I440" s="639"/>
      <c r="J440" s="336"/>
      <c r="K440" s="2056"/>
      <c r="L440" s="337"/>
      <c r="N440" s="2057"/>
      <c r="O440" s="337"/>
      <c r="P440" s="337"/>
      <c r="Q440" s="337"/>
      <c r="R440" s="337"/>
      <c r="S440" s="337"/>
      <c r="T440" s="337"/>
      <c r="U440" s="497"/>
      <c r="V440" s="497"/>
      <c r="W440" s="497"/>
      <c r="X440" s="497"/>
      <c r="Y440" s="497"/>
      <c r="Z440" s="497"/>
      <c r="AA440" s="497"/>
      <c r="AB440" s="497"/>
      <c r="AC440" s="497"/>
      <c r="AD440" s="497"/>
      <c r="AE440" s="497"/>
      <c r="AF440" s="497"/>
      <c r="AG440" s="497"/>
      <c r="AH440" s="497"/>
      <c r="AI440" s="497"/>
      <c r="AJ440" s="497"/>
      <c r="AK440" s="497"/>
      <c r="AL440" s="497"/>
      <c r="AM440" s="497"/>
      <c r="AN440" s="497"/>
      <c r="AO440" s="497"/>
      <c r="AP440" s="497"/>
      <c r="AQ440" s="497"/>
      <c r="AR440" s="497"/>
      <c r="AS440" s="497"/>
      <c r="AT440" s="497"/>
      <c r="AU440" s="497"/>
      <c r="AV440" s="497"/>
      <c r="AW440" s="497"/>
      <c r="AX440" s="497"/>
      <c r="AY440" s="497"/>
      <c r="AZ440" s="497"/>
      <c r="BA440" s="497"/>
      <c r="BB440" s="497"/>
      <c r="BC440" s="497"/>
      <c r="BD440" s="497"/>
      <c r="BE440" s="497"/>
      <c r="BF440" s="497"/>
      <c r="BG440" s="497"/>
      <c r="BH440" s="497"/>
      <c r="BI440" s="497"/>
      <c r="BJ440" s="497"/>
      <c r="BK440" s="497"/>
      <c r="BL440" s="497"/>
      <c r="BM440" s="497"/>
      <c r="BN440" s="497"/>
      <c r="BO440" s="497"/>
      <c r="BP440" s="497"/>
      <c r="BQ440" s="497"/>
      <c r="BR440" s="497"/>
      <c r="BS440" s="497"/>
      <c r="BT440" s="497"/>
      <c r="BU440" s="497"/>
      <c r="BV440" s="497"/>
      <c r="BW440" s="497"/>
      <c r="BX440" s="497"/>
      <c r="BY440" s="497"/>
      <c r="BZ440" s="497"/>
      <c r="CA440" s="497"/>
      <c r="CB440" s="497"/>
      <c r="CC440" s="497"/>
      <c r="CD440" s="497"/>
      <c r="CE440" s="497"/>
      <c r="CF440" s="497"/>
      <c r="CG440" s="497"/>
      <c r="CH440" s="497"/>
    </row>
    <row r="441" spans="1:86" s="335" customFormat="1">
      <c r="A441" s="517"/>
      <c r="B441" s="517"/>
      <c r="C441" s="517"/>
      <c r="D441" s="517"/>
      <c r="E441" s="517"/>
      <c r="F441" s="517"/>
      <c r="G441" s="517"/>
      <c r="H441" s="639"/>
      <c r="I441" s="639"/>
      <c r="J441" s="336"/>
      <c r="K441" s="2056"/>
      <c r="L441" s="337"/>
      <c r="N441" s="2057"/>
      <c r="O441" s="337"/>
      <c r="P441" s="337"/>
      <c r="Q441" s="337"/>
      <c r="R441" s="337"/>
      <c r="S441" s="337"/>
      <c r="T441" s="337"/>
      <c r="U441" s="497"/>
      <c r="V441" s="497"/>
      <c r="W441" s="497"/>
      <c r="X441" s="497"/>
      <c r="Y441" s="497"/>
      <c r="Z441" s="497"/>
      <c r="AA441" s="497"/>
      <c r="AB441" s="497"/>
      <c r="AC441" s="497"/>
      <c r="AD441" s="497"/>
      <c r="AE441" s="497"/>
      <c r="AF441" s="497"/>
      <c r="AG441" s="497"/>
      <c r="AH441" s="497"/>
      <c r="AI441" s="497"/>
      <c r="AJ441" s="497"/>
      <c r="AK441" s="497"/>
      <c r="AL441" s="497"/>
      <c r="AM441" s="497"/>
      <c r="AN441" s="497"/>
      <c r="AO441" s="497"/>
      <c r="AP441" s="497"/>
      <c r="AQ441" s="497"/>
      <c r="AR441" s="497"/>
      <c r="AS441" s="497"/>
      <c r="AT441" s="497"/>
      <c r="AU441" s="497"/>
      <c r="AV441" s="497"/>
      <c r="AW441" s="497"/>
      <c r="AX441" s="497"/>
      <c r="AY441" s="497"/>
      <c r="AZ441" s="497"/>
      <c r="BA441" s="497"/>
      <c r="BB441" s="497"/>
      <c r="BC441" s="497"/>
      <c r="BD441" s="497"/>
      <c r="BE441" s="497"/>
      <c r="BF441" s="497"/>
      <c r="BG441" s="497"/>
      <c r="BH441" s="497"/>
      <c r="BI441" s="497"/>
      <c r="BJ441" s="497"/>
      <c r="BK441" s="497"/>
      <c r="BL441" s="497"/>
      <c r="BM441" s="497"/>
      <c r="BN441" s="497"/>
      <c r="BO441" s="497"/>
      <c r="BP441" s="497"/>
      <c r="BQ441" s="497"/>
      <c r="BR441" s="497"/>
      <c r="BS441" s="497"/>
      <c r="BT441" s="497"/>
      <c r="BU441" s="497"/>
      <c r="BV441" s="497"/>
      <c r="BW441" s="497"/>
      <c r="BX441" s="497"/>
      <c r="BY441" s="497"/>
      <c r="BZ441" s="497"/>
      <c r="CA441" s="497"/>
      <c r="CB441" s="497"/>
      <c r="CC441" s="497"/>
      <c r="CD441" s="497"/>
      <c r="CE441" s="497"/>
      <c r="CF441" s="497"/>
      <c r="CG441" s="497"/>
      <c r="CH441" s="497"/>
    </row>
    <row r="442" spans="1:86" s="335" customFormat="1">
      <c r="A442" s="517"/>
      <c r="B442" s="517"/>
      <c r="C442" s="517"/>
      <c r="D442" s="517"/>
      <c r="E442" s="517"/>
      <c r="F442" s="517"/>
      <c r="G442" s="517"/>
      <c r="H442" s="639"/>
      <c r="I442" s="639"/>
      <c r="J442" s="336"/>
      <c r="K442" s="2056"/>
      <c r="L442" s="337"/>
      <c r="N442" s="2057"/>
      <c r="O442" s="337"/>
      <c r="P442" s="337"/>
      <c r="Q442" s="337"/>
      <c r="R442" s="337"/>
      <c r="S442" s="337"/>
      <c r="T442" s="337"/>
      <c r="U442" s="497"/>
      <c r="V442" s="497"/>
      <c r="W442" s="497"/>
      <c r="X442" s="497"/>
      <c r="Y442" s="497"/>
      <c r="Z442" s="497"/>
      <c r="AA442" s="497"/>
      <c r="AB442" s="497"/>
      <c r="AC442" s="497"/>
      <c r="AD442" s="497"/>
      <c r="AE442" s="497"/>
      <c r="AF442" s="497"/>
      <c r="AG442" s="497"/>
      <c r="AH442" s="497"/>
      <c r="AI442" s="497"/>
      <c r="AJ442" s="497"/>
      <c r="AK442" s="497"/>
      <c r="AL442" s="497"/>
      <c r="AM442" s="497"/>
      <c r="AN442" s="497"/>
      <c r="AO442" s="497"/>
      <c r="AP442" s="497"/>
      <c r="AQ442" s="497"/>
      <c r="AR442" s="497"/>
      <c r="AS442" s="497"/>
      <c r="AT442" s="497"/>
      <c r="AU442" s="497"/>
      <c r="AV442" s="497"/>
      <c r="AW442" s="497"/>
      <c r="AX442" s="497"/>
      <c r="AY442" s="497"/>
      <c r="AZ442" s="497"/>
      <c r="BA442" s="497"/>
      <c r="BB442" s="497"/>
      <c r="BC442" s="497"/>
      <c r="BD442" s="497"/>
      <c r="BE442" s="497"/>
      <c r="BF442" s="497"/>
      <c r="BG442" s="497"/>
      <c r="BH442" s="497"/>
      <c r="BI442" s="497"/>
      <c r="BJ442" s="497"/>
      <c r="BK442" s="497"/>
      <c r="BL442" s="497"/>
      <c r="BM442" s="497"/>
      <c r="BN442" s="497"/>
      <c r="BO442" s="497"/>
      <c r="BP442" s="497"/>
      <c r="BQ442" s="497"/>
      <c r="BR442" s="497"/>
      <c r="BS442" s="497"/>
      <c r="BT442" s="497"/>
      <c r="BU442" s="497"/>
      <c r="BV442" s="497"/>
      <c r="BW442" s="497"/>
      <c r="BX442" s="497"/>
      <c r="BY442" s="497"/>
      <c r="BZ442" s="497"/>
      <c r="CA442" s="497"/>
      <c r="CB442" s="497"/>
      <c r="CC442" s="497"/>
      <c r="CD442" s="497"/>
      <c r="CE442" s="497"/>
      <c r="CF442" s="497"/>
      <c r="CG442" s="497"/>
      <c r="CH442" s="497"/>
    </row>
    <row r="443" spans="1:86" s="335" customFormat="1">
      <c r="A443" s="517"/>
      <c r="B443" s="517"/>
      <c r="C443" s="517"/>
      <c r="D443" s="517"/>
      <c r="E443" s="517"/>
      <c r="F443" s="517"/>
      <c r="G443" s="517"/>
      <c r="H443" s="639"/>
      <c r="I443" s="639"/>
      <c r="J443" s="336"/>
      <c r="K443" s="2056"/>
      <c r="L443" s="337"/>
      <c r="N443" s="2057"/>
      <c r="O443" s="337"/>
      <c r="P443" s="337"/>
      <c r="Q443" s="337"/>
      <c r="R443" s="337"/>
      <c r="S443" s="337"/>
      <c r="T443" s="337"/>
      <c r="U443" s="497"/>
      <c r="V443" s="497"/>
      <c r="W443" s="497"/>
      <c r="X443" s="497"/>
      <c r="Y443" s="497"/>
      <c r="Z443" s="497"/>
      <c r="AA443" s="497"/>
      <c r="AB443" s="497"/>
      <c r="AC443" s="497"/>
      <c r="AD443" s="497"/>
      <c r="AE443" s="497"/>
      <c r="AF443" s="497"/>
      <c r="AG443" s="497"/>
      <c r="AH443" s="497"/>
      <c r="AI443" s="497"/>
      <c r="AJ443" s="497"/>
      <c r="AK443" s="497"/>
      <c r="AL443" s="497"/>
      <c r="AM443" s="497"/>
      <c r="AN443" s="497"/>
      <c r="AO443" s="497"/>
      <c r="AP443" s="497"/>
      <c r="AQ443" s="497"/>
      <c r="AR443" s="497"/>
      <c r="AS443" s="497"/>
      <c r="AT443" s="497"/>
      <c r="AU443" s="497"/>
      <c r="AV443" s="497"/>
      <c r="AW443" s="497"/>
      <c r="AX443" s="497"/>
      <c r="AY443" s="497"/>
      <c r="AZ443" s="497"/>
      <c r="BA443" s="497"/>
      <c r="BB443" s="497"/>
      <c r="BC443" s="497"/>
      <c r="BD443" s="497"/>
      <c r="BE443" s="497"/>
      <c r="BF443" s="497"/>
      <c r="BG443" s="497"/>
      <c r="BH443" s="497"/>
      <c r="BI443" s="497"/>
      <c r="BJ443" s="497"/>
      <c r="BK443" s="497"/>
      <c r="BL443" s="497"/>
      <c r="BM443" s="497"/>
      <c r="BN443" s="497"/>
      <c r="BO443" s="497"/>
      <c r="BP443" s="497"/>
      <c r="BQ443" s="497"/>
      <c r="BR443" s="497"/>
      <c r="BS443" s="497"/>
      <c r="BT443" s="497"/>
      <c r="BU443" s="497"/>
      <c r="BV443" s="497"/>
      <c r="BW443" s="497"/>
      <c r="BX443" s="497"/>
      <c r="BY443" s="497"/>
      <c r="BZ443" s="497"/>
      <c r="CA443" s="497"/>
      <c r="CB443" s="497"/>
      <c r="CC443" s="497"/>
      <c r="CD443" s="497"/>
      <c r="CE443" s="497"/>
      <c r="CF443" s="497"/>
      <c r="CG443" s="497"/>
      <c r="CH443" s="497"/>
    </row>
    <row r="444" spans="1:86" s="335" customFormat="1">
      <c r="A444" s="517"/>
      <c r="B444" s="517"/>
      <c r="C444" s="517"/>
      <c r="D444" s="517"/>
      <c r="E444" s="517"/>
      <c r="F444" s="517"/>
      <c r="G444" s="517"/>
      <c r="H444" s="639"/>
      <c r="I444" s="639"/>
      <c r="J444" s="336"/>
      <c r="K444" s="2056"/>
      <c r="L444" s="337"/>
      <c r="N444" s="2057"/>
      <c r="O444" s="337"/>
      <c r="P444" s="337"/>
      <c r="Q444" s="337"/>
      <c r="R444" s="337"/>
      <c r="S444" s="337"/>
      <c r="T444" s="337"/>
      <c r="U444" s="497"/>
      <c r="V444" s="497"/>
      <c r="W444" s="497"/>
      <c r="X444" s="497"/>
      <c r="Y444" s="497"/>
      <c r="Z444" s="497"/>
      <c r="AA444" s="497"/>
      <c r="AB444" s="497"/>
      <c r="AC444" s="497"/>
      <c r="AD444" s="497"/>
      <c r="AE444" s="497"/>
      <c r="AF444" s="497"/>
      <c r="AG444" s="497"/>
      <c r="AH444" s="497"/>
      <c r="AI444" s="497"/>
      <c r="AJ444" s="497"/>
      <c r="AK444" s="497"/>
      <c r="AL444" s="497"/>
      <c r="AM444" s="497"/>
      <c r="AN444" s="497"/>
      <c r="AO444" s="497"/>
      <c r="AP444" s="497"/>
      <c r="AQ444" s="497"/>
      <c r="AR444" s="497"/>
      <c r="AS444" s="497"/>
      <c r="AT444" s="497"/>
      <c r="AU444" s="497"/>
      <c r="AV444" s="497"/>
      <c r="AW444" s="497"/>
      <c r="AX444" s="497"/>
      <c r="AY444" s="497"/>
      <c r="AZ444" s="497"/>
      <c r="BA444" s="497"/>
      <c r="BB444" s="497"/>
      <c r="BC444" s="497"/>
      <c r="BD444" s="497"/>
      <c r="BE444" s="497"/>
      <c r="BF444" s="497"/>
      <c r="BG444" s="497"/>
      <c r="BH444" s="497"/>
      <c r="BI444" s="497"/>
      <c r="BJ444" s="497"/>
      <c r="BK444" s="497"/>
      <c r="BL444" s="497"/>
      <c r="BM444" s="497"/>
      <c r="BN444" s="497"/>
      <c r="BO444" s="497"/>
      <c r="BP444" s="497"/>
      <c r="BQ444" s="497"/>
      <c r="BR444" s="497"/>
      <c r="BS444" s="497"/>
      <c r="BT444" s="497"/>
      <c r="BU444" s="497"/>
      <c r="BV444" s="497"/>
      <c r="BW444" s="497"/>
      <c r="BX444" s="497"/>
      <c r="BY444" s="497"/>
      <c r="BZ444" s="497"/>
      <c r="CA444" s="497"/>
      <c r="CB444" s="497"/>
      <c r="CC444" s="497"/>
      <c r="CD444" s="497"/>
      <c r="CE444" s="497"/>
      <c r="CF444" s="497"/>
      <c r="CG444" s="497"/>
      <c r="CH444" s="497"/>
    </row>
    <row r="445" spans="1:86" s="335" customFormat="1">
      <c r="A445" s="517"/>
      <c r="B445" s="517"/>
      <c r="C445" s="517"/>
      <c r="D445" s="517"/>
      <c r="E445" s="517"/>
      <c r="F445" s="517"/>
      <c r="G445" s="517"/>
      <c r="H445" s="639"/>
      <c r="I445" s="639"/>
      <c r="J445" s="336"/>
      <c r="K445" s="2056"/>
      <c r="L445" s="337"/>
      <c r="N445" s="2057"/>
      <c r="O445" s="337"/>
      <c r="P445" s="337"/>
      <c r="Q445" s="337"/>
      <c r="R445" s="337"/>
      <c r="S445" s="337"/>
      <c r="T445" s="337"/>
      <c r="U445" s="497"/>
      <c r="V445" s="497"/>
      <c r="W445" s="497"/>
      <c r="X445" s="497"/>
      <c r="Y445" s="497"/>
      <c r="Z445" s="497"/>
      <c r="AA445" s="497"/>
      <c r="AB445" s="497"/>
      <c r="AC445" s="497"/>
      <c r="AD445" s="497"/>
      <c r="AE445" s="497"/>
      <c r="AF445" s="497"/>
      <c r="AG445" s="497"/>
      <c r="AH445" s="497"/>
      <c r="AI445" s="497"/>
      <c r="AJ445" s="497"/>
      <c r="AK445" s="497"/>
      <c r="AL445" s="497"/>
      <c r="AM445" s="497"/>
      <c r="AN445" s="497"/>
      <c r="AO445" s="497"/>
      <c r="AP445" s="497"/>
      <c r="AQ445" s="497"/>
      <c r="AR445" s="497"/>
      <c r="AS445" s="497"/>
      <c r="AT445" s="497"/>
      <c r="AU445" s="497"/>
      <c r="AV445" s="497"/>
      <c r="AW445" s="497"/>
      <c r="AX445" s="497"/>
      <c r="AY445" s="497"/>
      <c r="AZ445" s="497"/>
      <c r="BA445" s="497"/>
      <c r="BB445" s="497"/>
      <c r="BC445" s="497"/>
      <c r="BD445" s="497"/>
      <c r="BE445" s="497"/>
      <c r="BF445" s="497"/>
      <c r="BG445" s="497"/>
      <c r="BH445" s="497"/>
      <c r="BI445" s="497"/>
      <c r="BJ445" s="497"/>
      <c r="BK445" s="497"/>
      <c r="BL445" s="497"/>
      <c r="BM445" s="497"/>
      <c r="BN445" s="497"/>
      <c r="BO445" s="497"/>
      <c r="BP445" s="497"/>
      <c r="BQ445" s="497"/>
      <c r="BR445" s="497"/>
      <c r="BS445" s="497"/>
      <c r="BT445" s="497"/>
      <c r="BU445" s="497"/>
      <c r="BV445" s="497"/>
      <c r="BW445" s="497"/>
      <c r="BX445" s="497"/>
      <c r="BY445" s="497"/>
      <c r="BZ445" s="497"/>
      <c r="CA445" s="497"/>
      <c r="CB445" s="497"/>
      <c r="CC445" s="497"/>
      <c r="CD445" s="497"/>
      <c r="CE445" s="497"/>
      <c r="CF445" s="497"/>
      <c r="CG445" s="497"/>
      <c r="CH445" s="497"/>
    </row>
    <row r="446" spans="1:86" s="335" customFormat="1">
      <c r="A446" s="517"/>
      <c r="B446" s="517"/>
      <c r="C446" s="517"/>
      <c r="D446" s="517"/>
      <c r="E446" s="517"/>
      <c r="F446" s="517"/>
      <c r="G446" s="517"/>
      <c r="H446" s="639"/>
      <c r="I446" s="639"/>
      <c r="J446" s="336"/>
      <c r="K446" s="2056"/>
      <c r="L446" s="337"/>
      <c r="N446" s="2057"/>
      <c r="O446" s="337"/>
      <c r="P446" s="337"/>
      <c r="Q446" s="337"/>
      <c r="R446" s="337"/>
      <c r="S446" s="337"/>
      <c r="T446" s="337"/>
      <c r="U446" s="497"/>
      <c r="V446" s="497"/>
      <c r="W446" s="497"/>
      <c r="X446" s="497"/>
      <c r="Y446" s="497"/>
      <c r="Z446" s="497"/>
      <c r="AA446" s="497"/>
      <c r="AB446" s="497"/>
      <c r="AC446" s="497"/>
      <c r="AD446" s="497"/>
      <c r="AE446" s="497"/>
      <c r="AF446" s="497"/>
      <c r="AG446" s="497"/>
      <c r="AH446" s="497"/>
      <c r="AI446" s="497"/>
      <c r="AJ446" s="497"/>
      <c r="AK446" s="497"/>
      <c r="AL446" s="497"/>
      <c r="AM446" s="497"/>
      <c r="AN446" s="497"/>
      <c r="AO446" s="497"/>
      <c r="AP446" s="497"/>
      <c r="AQ446" s="497"/>
      <c r="AR446" s="497"/>
      <c r="AS446" s="497"/>
      <c r="AT446" s="497"/>
      <c r="AU446" s="497"/>
      <c r="AV446" s="497"/>
      <c r="AW446" s="497"/>
      <c r="AX446" s="497"/>
      <c r="AY446" s="497"/>
      <c r="AZ446" s="497"/>
      <c r="BA446" s="497"/>
      <c r="BB446" s="497"/>
      <c r="BC446" s="497"/>
      <c r="BD446" s="497"/>
      <c r="BE446" s="497"/>
      <c r="BF446" s="497"/>
      <c r="BG446" s="497"/>
      <c r="BH446" s="497"/>
      <c r="BI446" s="497"/>
      <c r="BJ446" s="497"/>
      <c r="BK446" s="497"/>
      <c r="BL446" s="497"/>
      <c r="BM446" s="497"/>
      <c r="BN446" s="497"/>
      <c r="BO446" s="497"/>
      <c r="BP446" s="497"/>
      <c r="BQ446" s="497"/>
      <c r="BR446" s="497"/>
      <c r="BS446" s="497"/>
      <c r="BT446" s="497"/>
      <c r="BU446" s="497"/>
      <c r="BV446" s="497"/>
      <c r="BW446" s="497"/>
      <c r="BX446" s="497"/>
      <c r="BY446" s="497"/>
      <c r="BZ446" s="497"/>
      <c r="CA446" s="497"/>
      <c r="CB446" s="497"/>
      <c r="CC446" s="497"/>
      <c r="CD446" s="497"/>
      <c r="CE446" s="497"/>
      <c r="CF446" s="497"/>
      <c r="CG446" s="497"/>
      <c r="CH446" s="497"/>
    </row>
    <row r="447" spans="1:86" s="335" customFormat="1">
      <c r="A447" s="517"/>
      <c r="B447" s="517"/>
      <c r="C447" s="517"/>
      <c r="D447" s="517"/>
      <c r="E447" s="517"/>
      <c r="F447" s="517"/>
      <c r="G447" s="517"/>
      <c r="H447" s="639"/>
      <c r="I447" s="639"/>
      <c r="J447" s="336"/>
      <c r="K447" s="2056"/>
      <c r="L447" s="337"/>
      <c r="N447" s="2057"/>
      <c r="O447" s="337"/>
      <c r="P447" s="337"/>
      <c r="Q447" s="337"/>
      <c r="R447" s="337"/>
      <c r="S447" s="337"/>
      <c r="T447" s="337"/>
      <c r="U447" s="497"/>
      <c r="V447" s="497"/>
      <c r="W447" s="497"/>
      <c r="X447" s="497"/>
      <c r="Y447" s="497"/>
      <c r="Z447" s="497"/>
      <c r="AA447" s="497"/>
      <c r="AB447" s="497"/>
      <c r="AC447" s="497"/>
      <c r="AD447" s="497"/>
      <c r="AE447" s="497"/>
      <c r="AF447" s="497"/>
      <c r="AG447" s="497"/>
      <c r="AH447" s="497"/>
      <c r="AI447" s="497"/>
      <c r="AJ447" s="497"/>
      <c r="AK447" s="497"/>
      <c r="AL447" s="497"/>
      <c r="AM447" s="497"/>
      <c r="AN447" s="497"/>
      <c r="AO447" s="497"/>
      <c r="AP447" s="497"/>
      <c r="AQ447" s="497"/>
      <c r="AR447" s="497"/>
      <c r="AS447" s="497"/>
      <c r="AT447" s="497"/>
      <c r="AU447" s="497"/>
      <c r="AV447" s="497"/>
      <c r="AW447" s="497"/>
      <c r="AX447" s="497"/>
      <c r="AY447" s="497"/>
      <c r="AZ447" s="497"/>
      <c r="BA447" s="497"/>
      <c r="BB447" s="497"/>
      <c r="BC447" s="497"/>
      <c r="BD447" s="497"/>
      <c r="BE447" s="497"/>
      <c r="BF447" s="497"/>
      <c r="BG447" s="497"/>
      <c r="BH447" s="497"/>
      <c r="BI447" s="497"/>
      <c r="BJ447" s="497"/>
      <c r="BK447" s="497"/>
      <c r="BL447" s="497"/>
      <c r="BM447" s="497"/>
      <c r="BN447" s="497"/>
      <c r="BO447" s="497"/>
      <c r="BP447" s="497"/>
      <c r="BQ447" s="497"/>
      <c r="BR447" s="497"/>
      <c r="BS447" s="497"/>
      <c r="BT447" s="497"/>
      <c r="BU447" s="497"/>
      <c r="BV447" s="497"/>
      <c r="BW447" s="497"/>
      <c r="BX447" s="497"/>
      <c r="BY447" s="497"/>
      <c r="BZ447" s="497"/>
      <c r="CA447" s="497"/>
      <c r="CB447" s="497"/>
      <c r="CC447" s="497"/>
      <c r="CD447" s="497"/>
      <c r="CE447" s="497"/>
      <c r="CF447" s="497"/>
      <c r="CG447" s="497"/>
      <c r="CH447" s="497"/>
    </row>
    <row r="448" spans="1:86" s="335" customFormat="1">
      <c r="A448" s="517"/>
      <c r="B448" s="517"/>
      <c r="C448" s="517"/>
      <c r="D448" s="517"/>
      <c r="E448" s="517"/>
      <c r="F448" s="517"/>
      <c r="G448" s="517"/>
      <c r="H448" s="639"/>
      <c r="I448" s="639"/>
      <c r="J448" s="336"/>
      <c r="K448" s="2056"/>
      <c r="L448" s="337"/>
      <c r="N448" s="2057"/>
      <c r="O448" s="337"/>
      <c r="P448" s="337"/>
      <c r="Q448" s="337"/>
      <c r="R448" s="337"/>
      <c r="S448" s="337"/>
      <c r="T448" s="337"/>
      <c r="U448" s="497"/>
      <c r="V448" s="497"/>
      <c r="W448" s="497"/>
      <c r="X448" s="497"/>
      <c r="Y448" s="497"/>
      <c r="Z448" s="497"/>
      <c r="AA448" s="497"/>
      <c r="AB448" s="497"/>
      <c r="AC448" s="497"/>
      <c r="AD448" s="497"/>
      <c r="AE448" s="497"/>
      <c r="AF448" s="497"/>
      <c r="AG448" s="497"/>
      <c r="AH448" s="497"/>
      <c r="AI448" s="497"/>
      <c r="AJ448" s="497"/>
      <c r="AK448" s="497"/>
      <c r="AL448" s="497"/>
      <c r="AM448" s="497"/>
      <c r="AN448" s="497"/>
      <c r="AO448" s="497"/>
      <c r="AP448" s="497"/>
      <c r="AQ448" s="497"/>
      <c r="AR448" s="497"/>
      <c r="AS448" s="497"/>
      <c r="AT448" s="497"/>
      <c r="AU448" s="497"/>
      <c r="AV448" s="497"/>
      <c r="AW448" s="497"/>
      <c r="AX448" s="497"/>
      <c r="AY448" s="497"/>
      <c r="AZ448" s="497"/>
      <c r="BA448" s="497"/>
      <c r="BB448" s="497"/>
      <c r="BC448" s="497"/>
      <c r="BD448" s="497"/>
      <c r="BE448" s="497"/>
      <c r="BF448" s="497"/>
      <c r="BG448" s="497"/>
      <c r="BH448" s="497"/>
      <c r="BI448" s="497"/>
      <c r="BJ448" s="497"/>
      <c r="BK448" s="497"/>
      <c r="BL448" s="497"/>
      <c r="BM448" s="497"/>
      <c r="BN448" s="497"/>
      <c r="BO448" s="497"/>
      <c r="BP448" s="497"/>
      <c r="BQ448" s="497"/>
      <c r="BR448" s="497"/>
      <c r="BS448" s="497"/>
      <c r="BT448" s="497"/>
      <c r="BU448" s="497"/>
      <c r="BV448" s="497"/>
      <c r="BW448" s="497"/>
      <c r="BX448" s="497"/>
      <c r="BY448" s="497"/>
      <c r="BZ448" s="497"/>
      <c r="CA448" s="497"/>
      <c r="CB448" s="497"/>
      <c r="CC448" s="497"/>
      <c r="CD448" s="497"/>
      <c r="CE448" s="497"/>
      <c r="CF448" s="497"/>
      <c r="CG448" s="497"/>
      <c r="CH448" s="497"/>
    </row>
    <row r="449" spans="1:86" s="335" customFormat="1">
      <c r="A449" s="517"/>
      <c r="B449" s="517"/>
      <c r="C449" s="517"/>
      <c r="D449" s="517"/>
      <c r="E449" s="517"/>
      <c r="F449" s="517"/>
      <c r="G449" s="517"/>
      <c r="H449" s="639"/>
      <c r="I449" s="639"/>
      <c r="J449" s="336"/>
      <c r="K449" s="2056"/>
      <c r="L449" s="337"/>
      <c r="N449" s="2057"/>
      <c r="O449" s="337"/>
      <c r="P449" s="337"/>
      <c r="Q449" s="337"/>
      <c r="R449" s="337"/>
      <c r="S449" s="337"/>
      <c r="T449" s="337"/>
      <c r="U449" s="497"/>
      <c r="V449" s="497"/>
      <c r="W449" s="497"/>
      <c r="X449" s="497"/>
      <c r="Y449" s="497"/>
      <c r="Z449" s="497"/>
      <c r="AA449" s="497"/>
      <c r="AB449" s="497"/>
      <c r="AC449" s="497"/>
      <c r="AD449" s="497"/>
      <c r="AE449" s="497"/>
      <c r="AF449" s="497"/>
      <c r="AG449" s="497"/>
      <c r="AH449" s="497"/>
      <c r="AI449" s="497"/>
      <c r="AJ449" s="497"/>
      <c r="AK449" s="497"/>
      <c r="AL449" s="497"/>
      <c r="AM449" s="497"/>
      <c r="AN449" s="497"/>
      <c r="AO449" s="497"/>
      <c r="AP449" s="497"/>
      <c r="AQ449" s="497"/>
      <c r="AR449" s="497"/>
      <c r="AS449" s="497"/>
      <c r="AT449" s="497"/>
      <c r="AU449" s="497"/>
      <c r="AV449" s="497"/>
      <c r="AW449" s="497"/>
      <c r="AX449" s="497"/>
      <c r="AY449" s="497"/>
      <c r="AZ449" s="497"/>
      <c r="BA449" s="497"/>
      <c r="BB449" s="497"/>
      <c r="BC449" s="497"/>
      <c r="BD449" s="497"/>
      <c r="BE449" s="497"/>
      <c r="BF449" s="497"/>
      <c r="BG449" s="497"/>
      <c r="BH449" s="497"/>
      <c r="BI449" s="497"/>
      <c r="BJ449" s="497"/>
      <c r="BK449" s="497"/>
      <c r="BL449" s="497"/>
      <c r="BM449" s="497"/>
      <c r="BN449" s="497"/>
      <c r="BO449" s="497"/>
      <c r="BP449" s="497"/>
      <c r="BQ449" s="497"/>
      <c r="BR449" s="497"/>
      <c r="BS449" s="497"/>
      <c r="BT449" s="497"/>
      <c r="BU449" s="497"/>
      <c r="BV449" s="497"/>
      <c r="BW449" s="497"/>
      <c r="BX449" s="497"/>
      <c r="BY449" s="497"/>
      <c r="BZ449" s="497"/>
      <c r="CA449" s="497"/>
      <c r="CB449" s="497"/>
      <c r="CC449" s="497"/>
      <c r="CD449" s="497"/>
      <c r="CE449" s="497"/>
      <c r="CF449" s="497"/>
      <c r="CG449" s="497"/>
      <c r="CH449" s="497"/>
    </row>
    <row r="450" spans="1:86" s="335" customFormat="1">
      <c r="A450" s="517"/>
      <c r="B450" s="517"/>
      <c r="C450" s="517"/>
      <c r="D450" s="517"/>
      <c r="E450" s="517"/>
      <c r="F450" s="517"/>
      <c r="G450" s="517"/>
      <c r="H450" s="639"/>
      <c r="I450" s="639"/>
      <c r="J450" s="336"/>
      <c r="K450" s="2056"/>
      <c r="L450" s="337"/>
      <c r="N450" s="2057"/>
      <c r="O450" s="337"/>
      <c r="P450" s="337"/>
      <c r="Q450" s="337"/>
      <c r="R450" s="337"/>
      <c r="S450" s="337"/>
      <c r="T450" s="337"/>
      <c r="U450" s="497"/>
      <c r="V450" s="497"/>
      <c r="W450" s="497"/>
      <c r="X450" s="497"/>
      <c r="Y450" s="497"/>
      <c r="Z450" s="497"/>
      <c r="AA450" s="497"/>
      <c r="AB450" s="497"/>
      <c r="AC450" s="497"/>
      <c r="AD450" s="497"/>
      <c r="AE450" s="497"/>
      <c r="AF450" s="497"/>
      <c r="AG450" s="497"/>
      <c r="AH450" s="497"/>
      <c r="AI450" s="497"/>
      <c r="AJ450" s="497"/>
      <c r="AK450" s="497"/>
      <c r="AL450" s="497"/>
      <c r="AM450" s="497"/>
      <c r="AN450" s="497"/>
      <c r="AO450" s="497"/>
      <c r="AP450" s="497"/>
      <c r="AQ450" s="497"/>
      <c r="AR450" s="497"/>
      <c r="AS450" s="497"/>
      <c r="AT450" s="497"/>
      <c r="AU450" s="497"/>
      <c r="AV450" s="497"/>
      <c r="AW450" s="497"/>
      <c r="AX450" s="497"/>
      <c r="AY450" s="497"/>
      <c r="AZ450" s="497"/>
      <c r="BA450" s="497"/>
      <c r="BB450" s="497"/>
      <c r="BC450" s="497"/>
      <c r="BD450" s="497"/>
      <c r="BE450" s="497"/>
      <c r="BF450" s="497"/>
      <c r="BG450" s="497"/>
      <c r="BH450" s="497"/>
      <c r="BI450" s="497"/>
      <c r="BJ450" s="497"/>
      <c r="BK450" s="497"/>
      <c r="BL450" s="497"/>
      <c r="BM450" s="497"/>
      <c r="BN450" s="497"/>
      <c r="BO450" s="497"/>
      <c r="BP450" s="497"/>
      <c r="BQ450" s="497"/>
      <c r="BR450" s="497"/>
      <c r="BS450" s="497"/>
      <c r="BT450" s="497"/>
      <c r="BU450" s="497"/>
      <c r="BV450" s="497"/>
      <c r="BW450" s="497"/>
      <c r="BX450" s="497"/>
      <c r="BY450" s="497"/>
      <c r="BZ450" s="497"/>
      <c r="CA450" s="497"/>
      <c r="CB450" s="497"/>
      <c r="CC450" s="497"/>
      <c r="CD450" s="497"/>
      <c r="CE450" s="497"/>
      <c r="CF450" s="497"/>
      <c r="CG450" s="497"/>
      <c r="CH450" s="497"/>
    </row>
    <row r="451" spans="1:86" s="335" customFormat="1">
      <c r="A451" s="517"/>
      <c r="B451" s="517"/>
      <c r="C451" s="517"/>
      <c r="D451" s="517"/>
      <c r="E451" s="517"/>
      <c r="F451" s="517"/>
      <c r="G451" s="517"/>
      <c r="H451" s="639"/>
      <c r="I451" s="639"/>
      <c r="J451" s="336"/>
      <c r="K451" s="2056"/>
      <c r="L451" s="337"/>
      <c r="N451" s="2057"/>
      <c r="O451" s="337"/>
      <c r="P451" s="337"/>
      <c r="Q451" s="337"/>
      <c r="R451" s="337"/>
      <c r="S451" s="337"/>
      <c r="T451" s="337"/>
      <c r="U451" s="497"/>
      <c r="V451" s="497"/>
      <c r="W451" s="497"/>
      <c r="X451" s="497"/>
      <c r="Y451" s="497"/>
      <c r="Z451" s="497"/>
      <c r="AA451" s="497"/>
      <c r="AB451" s="497"/>
      <c r="AC451" s="497"/>
      <c r="AD451" s="497"/>
      <c r="AE451" s="497"/>
      <c r="AF451" s="497"/>
      <c r="AG451" s="497"/>
      <c r="AH451" s="497"/>
      <c r="AI451" s="497"/>
      <c r="AJ451" s="497"/>
      <c r="AK451" s="497"/>
      <c r="AL451" s="497"/>
      <c r="AM451" s="497"/>
      <c r="AN451" s="497"/>
      <c r="AO451" s="497"/>
      <c r="AP451" s="497"/>
      <c r="AQ451" s="497"/>
      <c r="AR451" s="497"/>
      <c r="AS451" s="497"/>
      <c r="AT451" s="497"/>
      <c r="AU451" s="497"/>
      <c r="AV451" s="497"/>
      <c r="AW451" s="497"/>
      <c r="AX451" s="497"/>
      <c r="AY451" s="497"/>
      <c r="AZ451" s="497"/>
      <c r="BA451" s="497"/>
      <c r="BB451" s="497"/>
      <c r="BC451" s="497"/>
      <c r="BD451" s="497"/>
      <c r="BE451" s="497"/>
      <c r="BF451" s="497"/>
      <c r="BG451" s="497"/>
      <c r="BH451" s="497"/>
      <c r="BI451" s="497"/>
      <c r="BJ451" s="497"/>
      <c r="BK451" s="497"/>
      <c r="BL451" s="497"/>
      <c r="BM451" s="497"/>
      <c r="BN451" s="497"/>
      <c r="BO451" s="497"/>
      <c r="BP451" s="497"/>
      <c r="BQ451" s="497"/>
      <c r="BR451" s="497"/>
      <c r="BS451" s="497"/>
      <c r="BT451" s="497"/>
      <c r="BU451" s="497"/>
      <c r="BV451" s="497"/>
      <c r="BW451" s="497"/>
      <c r="BX451" s="497"/>
      <c r="BY451" s="497"/>
      <c r="BZ451" s="497"/>
      <c r="CA451" s="497"/>
      <c r="CB451" s="497"/>
      <c r="CC451" s="497"/>
      <c r="CD451" s="497"/>
      <c r="CE451" s="497"/>
      <c r="CF451" s="497"/>
      <c r="CG451" s="497"/>
      <c r="CH451" s="497"/>
    </row>
    <row r="452" spans="1:86" s="335" customFormat="1">
      <c r="A452" s="517"/>
      <c r="B452" s="517"/>
      <c r="C452" s="517"/>
      <c r="D452" s="517"/>
      <c r="E452" s="517"/>
      <c r="F452" s="517"/>
      <c r="G452" s="517"/>
      <c r="H452" s="639"/>
      <c r="I452" s="639"/>
      <c r="J452" s="336"/>
      <c r="K452" s="2056"/>
      <c r="L452" s="337"/>
      <c r="N452" s="2057"/>
      <c r="O452" s="337"/>
      <c r="P452" s="337"/>
      <c r="Q452" s="337"/>
      <c r="R452" s="337"/>
      <c r="S452" s="337"/>
      <c r="T452" s="337"/>
      <c r="U452" s="497"/>
      <c r="V452" s="497"/>
      <c r="W452" s="497"/>
      <c r="X452" s="497"/>
      <c r="Y452" s="497"/>
      <c r="Z452" s="497"/>
      <c r="AA452" s="497"/>
      <c r="AB452" s="497"/>
      <c r="AC452" s="497"/>
      <c r="AD452" s="497"/>
      <c r="AE452" s="497"/>
      <c r="AF452" s="497"/>
      <c r="AG452" s="497"/>
      <c r="AH452" s="497"/>
      <c r="AI452" s="497"/>
      <c r="AJ452" s="497"/>
      <c r="AK452" s="497"/>
      <c r="AL452" s="497"/>
      <c r="AM452" s="497"/>
      <c r="AN452" s="497"/>
      <c r="AO452" s="497"/>
      <c r="AP452" s="497"/>
      <c r="AQ452" s="497"/>
      <c r="AR452" s="497"/>
      <c r="AS452" s="497"/>
      <c r="AT452" s="497"/>
      <c r="AU452" s="497"/>
      <c r="AV452" s="497"/>
      <c r="AW452" s="497"/>
      <c r="AX452" s="497"/>
      <c r="AY452" s="497"/>
      <c r="AZ452" s="497"/>
      <c r="BA452" s="497"/>
      <c r="BB452" s="497"/>
      <c r="BC452" s="497"/>
      <c r="BD452" s="497"/>
      <c r="BE452" s="497"/>
      <c r="BF452" s="497"/>
      <c r="BG452" s="497"/>
      <c r="BH452" s="497"/>
      <c r="BI452" s="497"/>
      <c r="BJ452" s="497"/>
      <c r="BK452" s="497"/>
      <c r="BL452" s="497"/>
      <c r="BM452" s="497"/>
      <c r="BN452" s="497"/>
      <c r="BO452" s="497"/>
      <c r="BP452" s="497"/>
      <c r="BQ452" s="497"/>
      <c r="BR452" s="497"/>
      <c r="BS452" s="497"/>
      <c r="BT452" s="497"/>
      <c r="BU452" s="497"/>
      <c r="BV452" s="497"/>
      <c r="BW452" s="497"/>
      <c r="BX452" s="497"/>
      <c r="BY452" s="497"/>
      <c r="BZ452" s="497"/>
      <c r="CA452" s="497"/>
      <c r="CB452" s="497"/>
      <c r="CC452" s="497"/>
      <c r="CD452" s="497"/>
      <c r="CE452" s="497"/>
      <c r="CF452" s="497"/>
      <c r="CG452" s="497"/>
      <c r="CH452" s="497"/>
    </row>
    <row r="453" spans="1:86" s="335" customFormat="1">
      <c r="A453" s="517"/>
      <c r="B453" s="517"/>
      <c r="C453" s="517"/>
      <c r="D453" s="517"/>
      <c r="E453" s="517"/>
      <c r="F453" s="517"/>
      <c r="G453" s="517"/>
      <c r="H453" s="639"/>
      <c r="I453" s="639"/>
      <c r="J453" s="336"/>
      <c r="K453" s="2056"/>
      <c r="L453" s="337"/>
      <c r="N453" s="2057"/>
      <c r="O453" s="337"/>
      <c r="P453" s="337"/>
      <c r="Q453" s="337"/>
      <c r="R453" s="337"/>
      <c r="S453" s="337"/>
      <c r="T453" s="337"/>
      <c r="U453" s="497"/>
      <c r="V453" s="497"/>
      <c r="W453" s="497"/>
      <c r="X453" s="497"/>
      <c r="Y453" s="497"/>
      <c r="Z453" s="497"/>
      <c r="AA453" s="497"/>
      <c r="AB453" s="497"/>
      <c r="AC453" s="497"/>
      <c r="AD453" s="497"/>
      <c r="AE453" s="497"/>
      <c r="AF453" s="497"/>
      <c r="AG453" s="497"/>
      <c r="AH453" s="497"/>
      <c r="AI453" s="497"/>
      <c r="AJ453" s="497"/>
      <c r="AK453" s="497"/>
      <c r="AL453" s="497"/>
      <c r="AM453" s="497"/>
      <c r="AN453" s="497"/>
      <c r="AO453" s="497"/>
      <c r="AP453" s="497"/>
      <c r="AQ453" s="497"/>
      <c r="AR453" s="497"/>
      <c r="AS453" s="497"/>
      <c r="AT453" s="497"/>
      <c r="AU453" s="497"/>
      <c r="AV453" s="497"/>
      <c r="AW453" s="497"/>
      <c r="AX453" s="497"/>
      <c r="AY453" s="497"/>
      <c r="AZ453" s="497"/>
      <c r="BA453" s="497"/>
      <c r="BB453" s="497"/>
      <c r="BC453" s="497"/>
      <c r="BD453" s="497"/>
      <c r="BE453" s="497"/>
      <c r="BF453" s="497"/>
      <c r="BG453" s="497"/>
      <c r="BH453" s="497"/>
      <c r="BI453" s="497"/>
      <c r="BJ453" s="497"/>
      <c r="BK453" s="497"/>
      <c r="BL453" s="497"/>
      <c r="BM453" s="497"/>
      <c r="BN453" s="497"/>
      <c r="BO453" s="497"/>
      <c r="BP453" s="497"/>
      <c r="BQ453" s="497"/>
      <c r="BR453" s="497"/>
      <c r="BS453" s="497"/>
      <c r="BT453" s="497"/>
      <c r="BU453" s="497"/>
      <c r="BV453" s="497"/>
      <c r="BW453" s="497"/>
      <c r="BX453" s="497"/>
      <c r="BY453" s="497"/>
      <c r="BZ453" s="497"/>
      <c r="CA453" s="497"/>
      <c r="CB453" s="497"/>
      <c r="CC453" s="497"/>
      <c r="CD453" s="497"/>
      <c r="CE453" s="497"/>
      <c r="CF453" s="497"/>
      <c r="CG453" s="497"/>
      <c r="CH453" s="497"/>
    </row>
    <row r="454" spans="1:86" s="335" customFormat="1">
      <c r="A454" s="517"/>
      <c r="B454" s="517"/>
      <c r="C454" s="517"/>
      <c r="D454" s="517"/>
      <c r="E454" s="517"/>
      <c r="F454" s="517"/>
      <c r="G454" s="517"/>
      <c r="H454" s="639"/>
      <c r="I454" s="639"/>
      <c r="J454" s="336"/>
      <c r="K454" s="2056"/>
      <c r="L454" s="337"/>
      <c r="N454" s="2057"/>
      <c r="O454" s="337"/>
      <c r="P454" s="337"/>
      <c r="Q454" s="337"/>
      <c r="R454" s="337"/>
      <c r="S454" s="337"/>
      <c r="T454" s="337"/>
      <c r="U454" s="497"/>
      <c r="V454" s="497"/>
      <c r="W454" s="497"/>
      <c r="X454" s="497"/>
      <c r="Y454" s="497"/>
      <c r="Z454" s="497"/>
      <c r="AA454" s="497"/>
      <c r="AB454" s="497"/>
      <c r="AC454" s="497"/>
      <c r="AD454" s="497"/>
      <c r="AE454" s="497"/>
      <c r="AF454" s="497"/>
      <c r="AG454" s="497"/>
      <c r="AH454" s="497"/>
      <c r="AI454" s="497"/>
      <c r="AJ454" s="497"/>
      <c r="AK454" s="497"/>
      <c r="AL454" s="497"/>
      <c r="AM454" s="497"/>
      <c r="AN454" s="497"/>
      <c r="AO454" s="497"/>
      <c r="AP454" s="497"/>
      <c r="AQ454" s="497"/>
      <c r="AR454" s="497"/>
      <c r="AS454" s="497"/>
      <c r="AT454" s="497"/>
      <c r="AU454" s="497"/>
      <c r="AV454" s="497"/>
      <c r="AW454" s="497"/>
      <c r="AX454" s="497"/>
      <c r="AY454" s="497"/>
      <c r="AZ454" s="497"/>
      <c r="BA454" s="497"/>
      <c r="BB454" s="497"/>
      <c r="BC454" s="497"/>
      <c r="BD454" s="497"/>
      <c r="BE454" s="497"/>
      <c r="BF454" s="497"/>
      <c r="BG454" s="497"/>
      <c r="BH454" s="497"/>
      <c r="BI454" s="497"/>
      <c r="BJ454" s="497"/>
      <c r="BK454" s="497"/>
      <c r="BL454" s="497"/>
      <c r="BM454" s="497"/>
      <c r="BN454" s="497"/>
      <c r="BO454" s="497"/>
      <c r="BP454" s="497"/>
      <c r="BQ454" s="497"/>
      <c r="BR454" s="497"/>
      <c r="BS454" s="497"/>
      <c r="BT454" s="497"/>
      <c r="BU454" s="497"/>
      <c r="BV454" s="497"/>
      <c r="BW454" s="497"/>
      <c r="BX454" s="497"/>
      <c r="BY454" s="497"/>
      <c r="BZ454" s="497"/>
      <c r="CA454" s="497"/>
      <c r="CB454" s="497"/>
      <c r="CC454" s="497"/>
      <c r="CD454" s="497"/>
      <c r="CE454" s="497"/>
      <c r="CF454" s="497"/>
      <c r="CG454" s="497"/>
      <c r="CH454" s="497"/>
    </row>
    <row r="455" spans="1:86" s="335" customFormat="1">
      <c r="A455" s="517"/>
      <c r="B455" s="517"/>
      <c r="C455" s="517"/>
      <c r="D455" s="517"/>
      <c r="E455" s="517"/>
      <c r="F455" s="517"/>
      <c r="G455" s="517"/>
      <c r="H455" s="639"/>
      <c r="I455" s="639"/>
      <c r="J455" s="336"/>
      <c r="K455" s="2056"/>
      <c r="L455" s="337"/>
      <c r="N455" s="2057"/>
      <c r="O455" s="337"/>
      <c r="P455" s="337"/>
      <c r="Q455" s="337"/>
      <c r="R455" s="337"/>
      <c r="S455" s="337"/>
      <c r="T455" s="337"/>
      <c r="U455" s="497"/>
      <c r="V455" s="497"/>
      <c r="W455" s="497"/>
      <c r="X455" s="497"/>
      <c r="Y455" s="497"/>
      <c r="Z455" s="497"/>
      <c r="AA455" s="497"/>
      <c r="AB455" s="497"/>
      <c r="AC455" s="497"/>
      <c r="AD455" s="497"/>
      <c r="AE455" s="497"/>
      <c r="AF455" s="497"/>
      <c r="AG455" s="497"/>
      <c r="AH455" s="497"/>
      <c r="AI455" s="497"/>
      <c r="AJ455" s="497"/>
      <c r="AK455" s="497"/>
      <c r="AL455" s="497"/>
      <c r="AM455" s="497"/>
      <c r="AN455" s="497"/>
      <c r="AO455" s="497"/>
      <c r="AP455" s="497"/>
      <c r="AQ455" s="497"/>
      <c r="AR455" s="497"/>
      <c r="AS455" s="497"/>
      <c r="AT455" s="497"/>
      <c r="AU455" s="497"/>
      <c r="AV455" s="497"/>
      <c r="AW455" s="497"/>
      <c r="AX455" s="497"/>
      <c r="AY455" s="497"/>
      <c r="AZ455" s="497"/>
      <c r="BA455" s="497"/>
      <c r="BB455" s="497"/>
      <c r="BC455" s="497"/>
      <c r="BD455" s="497"/>
      <c r="BE455" s="497"/>
      <c r="BF455" s="497"/>
      <c r="BG455" s="497"/>
      <c r="BH455" s="497"/>
      <c r="BI455" s="497"/>
      <c r="BJ455" s="497"/>
      <c r="BK455" s="497"/>
      <c r="BL455" s="497"/>
      <c r="BM455" s="497"/>
      <c r="BN455" s="497"/>
      <c r="BO455" s="497"/>
      <c r="BP455" s="497"/>
      <c r="BQ455" s="497"/>
      <c r="BR455" s="497"/>
      <c r="BS455" s="497"/>
      <c r="BT455" s="497"/>
      <c r="BU455" s="497"/>
      <c r="BV455" s="497"/>
      <c r="BW455" s="497"/>
      <c r="BX455" s="497"/>
      <c r="BY455" s="497"/>
      <c r="BZ455" s="497"/>
      <c r="CA455" s="497"/>
      <c r="CB455" s="497"/>
      <c r="CC455" s="497"/>
      <c r="CD455" s="497"/>
      <c r="CE455" s="497"/>
      <c r="CF455" s="497"/>
      <c r="CG455" s="497"/>
      <c r="CH455" s="497"/>
    </row>
    <row r="456" spans="1:86" s="335" customFormat="1">
      <c r="A456" s="517"/>
      <c r="B456" s="517"/>
      <c r="C456" s="517"/>
      <c r="D456" s="517"/>
      <c r="E456" s="517"/>
      <c r="F456" s="517"/>
      <c r="G456" s="517"/>
      <c r="H456" s="639"/>
      <c r="I456" s="639"/>
      <c r="J456" s="336"/>
      <c r="K456" s="2056"/>
      <c r="L456" s="337"/>
      <c r="N456" s="2057"/>
      <c r="O456" s="337"/>
      <c r="P456" s="337"/>
      <c r="Q456" s="337"/>
      <c r="R456" s="337"/>
      <c r="S456" s="337"/>
      <c r="T456" s="337"/>
      <c r="U456" s="497"/>
      <c r="V456" s="497"/>
      <c r="W456" s="497"/>
      <c r="X456" s="497"/>
      <c r="Y456" s="497"/>
      <c r="Z456" s="497"/>
      <c r="AA456" s="497"/>
      <c r="AB456" s="497"/>
      <c r="AC456" s="497"/>
      <c r="AD456" s="497"/>
      <c r="AE456" s="497"/>
      <c r="AF456" s="497"/>
      <c r="AG456" s="497"/>
      <c r="AH456" s="497"/>
      <c r="AI456" s="497"/>
      <c r="AJ456" s="497"/>
      <c r="AK456" s="497"/>
      <c r="AL456" s="497"/>
      <c r="AM456" s="497"/>
      <c r="AN456" s="497"/>
      <c r="AO456" s="497"/>
      <c r="AP456" s="497"/>
      <c r="AQ456" s="497"/>
      <c r="AR456" s="497"/>
      <c r="AS456" s="497"/>
      <c r="AT456" s="497"/>
      <c r="AU456" s="497"/>
      <c r="AV456" s="497"/>
      <c r="AW456" s="497"/>
      <c r="AX456" s="497"/>
      <c r="AY456" s="497"/>
      <c r="AZ456" s="497"/>
      <c r="BA456" s="497"/>
      <c r="BB456" s="497"/>
      <c r="BC456" s="497"/>
      <c r="BD456" s="497"/>
      <c r="BE456" s="497"/>
      <c r="BF456" s="497"/>
      <c r="BG456" s="497"/>
      <c r="BH456" s="497"/>
      <c r="BI456" s="497"/>
      <c r="BJ456" s="497"/>
      <c r="BK456" s="497"/>
      <c r="BL456" s="497"/>
      <c r="BM456" s="497"/>
      <c r="BN456" s="497"/>
      <c r="BO456" s="497"/>
      <c r="BP456" s="497"/>
      <c r="BQ456" s="497"/>
      <c r="BR456" s="497"/>
      <c r="BS456" s="497"/>
      <c r="BT456" s="497"/>
      <c r="BU456" s="497"/>
      <c r="BV456" s="497"/>
      <c r="BW456" s="497"/>
      <c r="BX456" s="497"/>
      <c r="BY456" s="497"/>
      <c r="BZ456" s="497"/>
      <c r="CA456" s="497"/>
      <c r="CB456" s="497"/>
      <c r="CC456" s="497"/>
      <c r="CD456" s="497"/>
      <c r="CE456" s="497"/>
      <c r="CF456" s="497"/>
      <c r="CG456" s="497"/>
      <c r="CH456" s="497"/>
    </row>
    <row r="457" spans="1:86" s="335" customFormat="1">
      <c r="A457" s="517"/>
      <c r="B457" s="517"/>
      <c r="C457" s="517"/>
      <c r="D457" s="517"/>
      <c r="E457" s="517"/>
      <c r="F457" s="517"/>
      <c r="G457" s="517"/>
      <c r="H457" s="639"/>
      <c r="I457" s="639"/>
      <c r="J457" s="336"/>
      <c r="K457" s="2056"/>
      <c r="L457" s="337"/>
      <c r="N457" s="2057"/>
      <c r="O457" s="337"/>
      <c r="P457" s="337"/>
      <c r="Q457" s="337"/>
      <c r="R457" s="337"/>
      <c r="S457" s="337"/>
      <c r="T457" s="337"/>
      <c r="U457" s="497"/>
      <c r="V457" s="497"/>
      <c r="W457" s="497"/>
      <c r="X457" s="497"/>
      <c r="Y457" s="497"/>
      <c r="Z457" s="497"/>
      <c r="AA457" s="497"/>
      <c r="AB457" s="497"/>
      <c r="AC457" s="497"/>
      <c r="AD457" s="497"/>
      <c r="AE457" s="497"/>
      <c r="AF457" s="497"/>
      <c r="AG457" s="497"/>
      <c r="AH457" s="497"/>
      <c r="AI457" s="497"/>
      <c r="AJ457" s="497"/>
      <c r="AK457" s="497"/>
      <c r="AL457" s="497"/>
      <c r="AM457" s="497"/>
      <c r="AN457" s="497"/>
      <c r="AO457" s="497"/>
      <c r="AP457" s="497"/>
      <c r="AQ457" s="497"/>
      <c r="AR457" s="497"/>
      <c r="AS457" s="497"/>
      <c r="AT457" s="497"/>
      <c r="AU457" s="497"/>
      <c r="AV457" s="497"/>
      <c r="AW457" s="497"/>
      <c r="AX457" s="497"/>
      <c r="AY457" s="497"/>
      <c r="AZ457" s="497"/>
      <c r="BA457" s="497"/>
      <c r="BB457" s="497"/>
      <c r="BC457" s="497"/>
      <c r="BD457" s="497"/>
      <c r="BE457" s="497"/>
      <c r="BF457" s="497"/>
      <c r="BG457" s="497"/>
      <c r="BH457" s="497"/>
      <c r="BI457" s="497"/>
      <c r="BJ457" s="497"/>
      <c r="BK457" s="497"/>
      <c r="BL457" s="497"/>
      <c r="BM457" s="497"/>
      <c r="BN457" s="497"/>
      <c r="BO457" s="497"/>
      <c r="BP457" s="497"/>
      <c r="BQ457" s="497"/>
      <c r="BR457" s="497"/>
      <c r="BS457" s="497"/>
      <c r="BT457" s="497"/>
      <c r="BU457" s="497"/>
      <c r="BV457" s="497"/>
      <c r="BW457" s="497"/>
      <c r="BX457" s="497"/>
      <c r="BY457" s="497"/>
      <c r="BZ457" s="497"/>
      <c r="CA457" s="497"/>
      <c r="CB457" s="497"/>
      <c r="CC457" s="497"/>
      <c r="CD457" s="497"/>
      <c r="CE457" s="497"/>
      <c r="CF457" s="497"/>
      <c r="CG457" s="497"/>
      <c r="CH457" s="497"/>
    </row>
    <row r="458" spans="1:86" s="335" customFormat="1">
      <c r="A458" s="517"/>
      <c r="B458" s="517"/>
      <c r="C458" s="517"/>
      <c r="D458" s="517"/>
      <c r="E458" s="517"/>
      <c r="F458" s="517"/>
      <c r="G458" s="517"/>
      <c r="H458" s="639"/>
      <c r="I458" s="639"/>
      <c r="J458" s="336"/>
      <c r="K458" s="2056"/>
      <c r="L458" s="337"/>
      <c r="N458" s="2057"/>
      <c r="O458" s="337"/>
      <c r="P458" s="337"/>
      <c r="Q458" s="337"/>
      <c r="R458" s="337"/>
      <c r="S458" s="337"/>
      <c r="T458" s="337"/>
      <c r="U458" s="497"/>
      <c r="V458" s="497"/>
      <c r="W458" s="497"/>
      <c r="X458" s="497"/>
      <c r="Y458" s="497"/>
      <c r="Z458" s="497"/>
      <c r="AA458" s="497"/>
      <c r="AB458" s="497"/>
      <c r="AC458" s="497"/>
      <c r="AD458" s="497"/>
      <c r="AE458" s="497"/>
      <c r="AF458" s="497"/>
      <c r="AG458" s="497"/>
      <c r="AH458" s="497"/>
      <c r="AI458" s="497"/>
      <c r="AJ458" s="497"/>
      <c r="AK458" s="497"/>
      <c r="AL458" s="497"/>
      <c r="AM458" s="497"/>
      <c r="AN458" s="497"/>
      <c r="AO458" s="497"/>
      <c r="AP458" s="497"/>
      <c r="AQ458" s="497"/>
      <c r="AR458" s="497"/>
      <c r="AS458" s="497"/>
      <c r="AT458" s="497"/>
      <c r="AU458" s="497"/>
      <c r="AV458" s="497"/>
      <c r="AW458" s="497"/>
      <c r="AX458" s="497"/>
      <c r="AY458" s="497"/>
      <c r="AZ458" s="497"/>
      <c r="BA458" s="497"/>
      <c r="BB458" s="497"/>
      <c r="BC458" s="497"/>
      <c r="BD458" s="497"/>
      <c r="BE458" s="497"/>
      <c r="BF458" s="497"/>
      <c r="BG458" s="497"/>
      <c r="BH458" s="497"/>
      <c r="BI458" s="497"/>
      <c r="BJ458" s="497"/>
      <c r="BK458" s="497"/>
      <c r="BL458" s="497"/>
      <c r="BM458" s="497"/>
      <c r="BN458" s="497"/>
      <c r="BO458" s="497"/>
      <c r="BP458" s="497"/>
      <c r="BQ458" s="497"/>
      <c r="BR458" s="497"/>
      <c r="BS458" s="497"/>
      <c r="BT458" s="497"/>
      <c r="BU458" s="497"/>
      <c r="BV458" s="497"/>
      <c r="BW458" s="497"/>
      <c r="BX458" s="497"/>
      <c r="BY458" s="497"/>
      <c r="BZ458" s="497"/>
      <c r="CA458" s="497"/>
      <c r="CB458" s="497"/>
      <c r="CC458" s="497"/>
      <c r="CD458" s="497"/>
      <c r="CE458" s="497"/>
      <c r="CF458" s="497"/>
      <c r="CG458" s="497"/>
      <c r="CH458" s="497"/>
    </row>
    <row r="459" spans="1:86" s="335" customFormat="1">
      <c r="A459" s="517"/>
      <c r="B459" s="517"/>
      <c r="C459" s="517"/>
      <c r="D459" s="517"/>
      <c r="E459" s="517"/>
      <c r="F459" s="517"/>
      <c r="G459" s="517"/>
      <c r="H459" s="639"/>
      <c r="I459" s="639"/>
      <c r="J459" s="336"/>
      <c r="K459" s="2056"/>
      <c r="L459" s="337"/>
      <c r="N459" s="2057"/>
      <c r="O459" s="337"/>
      <c r="P459" s="337"/>
      <c r="Q459" s="337"/>
      <c r="R459" s="337"/>
      <c r="S459" s="337"/>
      <c r="T459" s="337"/>
      <c r="U459" s="497"/>
      <c r="V459" s="497"/>
      <c r="W459" s="497"/>
      <c r="X459" s="497"/>
      <c r="Y459" s="497"/>
      <c r="Z459" s="497"/>
      <c r="AA459" s="497"/>
      <c r="AB459" s="497"/>
      <c r="AC459" s="497"/>
      <c r="AD459" s="497"/>
      <c r="AE459" s="497"/>
      <c r="AF459" s="497"/>
      <c r="AG459" s="497"/>
      <c r="AH459" s="497"/>
      <c r="AI459" s="497"/>
      <c r="AJ459" s="497"/>
      <c r="AK459" s="497"/>
      <c r="AL459" s="497"/>
      <c r="AM459" s="497"/>
      <c r="AN459" s="497"/>
      <c r="AO459" s="497"/>
      <c r="AP459" s="497"/>
      <c r="AQ459" s="497"/>
      <c r="AR459" s="497"/>
      <c r="AS459" s="497"/>
      <c r="AT459" s="497"/>
      <c r="AU459" s="497"/>
      <c r="AV459" s="497"/>
      <c r="AW459" s="497"/>
      <c r="AX459" s="497"/>
      <c r="AY459" s="497"/>
      <c r="AZ459" s="497"/>
      <c r="BA459" s="497"/>
      <c r="BB459" s="497"/>
      <c r="BC459" s="497"/>
      <c r="BD459" s="497"/>
      <c r="BE459" s="497"/>
      <c r="BF459" s="497"/>
      <c r="BG459" s="497"/>
      <c r="BH459" s="497"/>
      <c r="BI459" s="497"/>
      <c r="BJ459" s="497"/>
      <c r="BK459" s="497"/>
      <c r="BL459" s="497"/>
      <c r="BM459" s="497"/>
      <c r="BN459" s="497"/>
      <c r="BO459" s="497"/>
      <c r="BP459" s="497"/>
      <c r="BQ459" s="497"/>
      <c r="BR459" s="497"/>
      <c r="BS459" s="497"/>
      <c r="BT459" s="497"/>
      <c r="BU459" s="497"/>
      <c r="BV459" s="497"/>
      <c r="BW459" s="497"/>
      <c r="BX459" s="497"/>
      <c r="BY459" s="497"/>
      <c r="BZ459" s="497"/>
      <c r="CA459" s="497"/>
      <c r="CB459" s="497"/>
      <c r="CC459" s="497"/>
      <c r="CD459" s="497"/>
      <c r="CE459" s="497"/>
      <c r="CF459" s="497"/>
      <c r="CG459" s="497"/>
      <c r="CH459" s="497"/>
    </row>
    <row r="460" spans="1:86" s="335" customFormat="1">
      <c r="A460" s="517"/>
      <c r="B460" s="517"/>
      <c r="C460" s="517"/>
      <c r="D460" s="517"/>
      <c r="E460" s="517"/>
      <c r="F460" s="517"/>
      <c r="G460" s="517"/>
      <c r="H460" s="639"/>
      <c r="I460" s="639"/>
      <c r="J460" s="336"/>
      <c r="K460" s="2056"/>
      <c r="L460" s="337"/>
      <c r="N460" s="2057"/>
      <c r="O460" s="337"/>
      <c r="P460" s="337"/>
      <c r="Q460" s="337"/>
      <c r="R460" s="337"/>
      <c r="S460" s="337"/>
      <c r="T460" s="337"/>
      <c r="U460" s="497"/>
      <c r="V460" s="497"/>
      <c r="W460" s="497"/>
      <c r="X460" s="497"/>
      <c r="Y460" s="497"/>
      <c r="Z460" s="497"/>
      <c r="AA460" s="497"/>
      <c r="AB460" s="497"/>
      <c r="AC460" s="497"/>
      <c r="AD460" s="497"/>
      <c r="AE460" s="497"/>
      <c r="AF460" s="497"/>
      <c r="AG460" s="497"/>
      <c r="AH460" s="497"/>
      <c r="AI460" s="497"/>
      <c r="AJ460" s="497"/>
      <c r="AK460" s="497"/>
      <c r="AL460" s="497"/>
      <c r="AM460" s="497"/>
      <c r="AN460" s="497"/>
      <c r="AO460" s="497"/>
      <c r="AP460" s="497"/>
      <c r="AQ460" s="497"/>
      <c r="AR460" s="497"/>
      <c r="AS460" s="497"/>
      <c r="AT460" s="497"/>
      <c r="AU460" s="497"/>
      <c r="AV460" s="497"/>
      <c r="AW460" s="497"/>
      <c r="AX460" s="497"/>
      <c r="AY460" s="497"/>
      <c r="AZ460" s="497"/>
      <c r="BA460" s="497"/>
      <c r="BB460" s="497"/>
      <c r="BC460" s="497"/>
      <c r="BD460" s="497"/>
      <c r="BE460" s="497"/>
      <c r="BF460" s="497"/>
      <c r="BG460" s="497"/>
      <c r="BH460" s="497"/>
      <c r="BI460" s="497"/>
      <c r="BJ460" s="497"/>
      <c r="BK460" s="497"/>
      <c r="BL460" s="497"/>
      <c r="BM460" s="497"/>
      <c r="BN460" s="497"/>
      <c r="BO460" s="497"/>
      <c r="BP460" s="497"/>
      <c r="BQ460" s="497"/>
      <c r="BR460" s="497"/>
      <c r="BS460" s="497"/>
      <c r="BT460" s="497"/>
      <c r="BU460" s="497"/>
      <c r="BV460" s="497"/>
      <c r="BW460" s="497"/>
      <c r="BX460" s="497"/>
      <c r="BY460" s="497"/>
      <c r="BZ460" s="497"/>
      <c r="CA460" s="497"/>
      <c r="CB460" s="497"/>
      <c r="CC460" s="497"/>
      <c r="CD460" s="497"/>
      <c r="CE460" s="497"/>
      <c r="CF460" s="497"/>
      <c r="CG460" s="497"/>
      <c r="CH460" s="497"/>
    </row>
    <row r="461" spans="1:86" s="335" customFormat="1">
      <c r="A461" s="517"/>
      <c r="B461" s="517"/>
      <c r="C461" s="517"/>
      <c r="D461" s="517"/>
      <c r="E461" s="517"/>
      <c r="F461" s="517"/>
      <c r="G461" s="517"/>
      <c r="H461" s="639"/>
      <c r="I461" s="639"/>
      <c r="J461" s="336"/>
      <c r="K461" s="2056"/>
      <c r="L461" s="337"/>
      <c r="N461" s="2057"/>
      <c r="O461" s="337"/>
      <c r="P461" s="337"/>
      <c r="Q461" s="337"/>
      <c r="R461" s="337"/>
      <c r="S461" s="337"/>
      <c r="T461" s="337"/>
      <c r="U461" s="497"/>
      <c r="V461" s="497"/>
      <c r="W461" s="497"/>
      <c r="X461" s="497"/>
      <c r="Y461" s="497"/>
      <c r="Z461" s="497"/>
      <c r="AA461" s="497"/>
      <c r="AB461" s="497"/>
      <c r="AC461" s="497"/>
      <c r="AD461" s="497"/>
      <c r="AE461" s="497"/>
      <c r="AF461" s="497"/>
      <c r="AG461" s="497"/>
      <c r="AH461" s="497"/>
      <c r="AI461" s="497"/>
      <c r="AJ461" s="497"/>
      <c r="AK461" s="497"/>
      <c r="AL461" s="497"/>
      <c r="AM461" s="497"/>
      <c r="AN461" s="497"/>
      <c r="AO461" s="497"/>
      <c r="AP461" s="497"/>
      <c r="AQ461" s="497"/>
      <c r="AR461" s="497"/>
      <c r="AS461" s="497"/>
      <c r="AT461" s="497"/>
      <c r="AU461" s="497"/>
      <c r="AV461" s="497"/>
      <c r="AW461" s="497"/>
      <c r="AX461" s="497"/>
      <c r="AY461" s="497"/>
      <c r="AZ461" s="497"/>
      <c r="BA461" s="497"/>
      <c r="BB461" s="497"/>
      <c r="BC461" s="497"/>
      <c r="BD461" s="497"/>
      <c r="BE461" s="497"/>
      <c r="BF461" s="497"/>
      <c r="BG461" s="497"/>
      <c r="BH461" s="497"/>
      <c r="BI461" s="497"/>
      <c r="BJ461" s="497"/>
      <c r="BK461" s="497"/>
      <c r="BL461" s="497"/>
      <c r="BM461" s="497"/>
      <c r="BN461" s="497"/>
      <c r="BO461" s="497"/>
      <c r="BP461" s="497"/>
      <c r="BQ461" s="497"/>
      <c r="BR461" s="497"/>
      <c r="BS461" s="497"/>
      <c r="BT461" s="497"/>
      <c r="BU461" s="497"/>
      <c r="BV461" s="497"/>
      <c r="BW461" s="497"/>
      <c r="BX461" s="497"/>
      <c r="BY461" s="497"/>
      <c r="BZ461" s="497"/>
      <c r="CA461" s="497"/>
      <c r="CB461" s="497"/>
      <c r="CC461" s="497"/>
      <c r="CD461" s="497"/>
      <c r="CE461" s="497"/>
      <c r="CF461" s="497"/>
      <c r="CG461" s="497"/>
      <c r="CH461" s="497"/>
    </row>
    <row r="462" spans="1:86" s="335" customFormat="1">
      <c r="A462" s="517"/>
      <c r="B462" s="517"/>
      <c r="C462" s="517"/>
      <c r="D462" s="517"/>
      <c r="E462" s="517"/>
      <c r="F462" s="517"/>
      <c r="G462" s="517"/>
      <c r="H462" s="639"/>
      <c r="I462" s="639"/>
      <c r="J462" s="336"/>
      <c r="K462" s="2056"/>
      <c r="L462" s="337"/>
      <c r="N462" s="2057"/>
      <c r="O462" s="337"/>
      <c r="P462" s="337"/>
      <c r="Q462" s="337"/>
      <c r="R462" s="337"/>
      <c r="S462" s="337"/>
      <c r="T462" s="337"/>
      <c r="U462" s="497"/>
      <c r="V462" s="497"/>
      <c r="W462" s="497"/>
      <c r="X462" s="497"/>
      <c r="Y462" s="497"/>
      <c r="Z462" s="497"/>
      <c r="AA462" s="497"/>
      <c r="AB462" s="497"/>
      <c r="AC462" s="497"/>
      <c r="AD462" s="497"/>
      <c r="AE462" s="497"/>
      <c r="AF462" s="497"/>
      <c r="AG462" s="497"/>
      <c r="AH462" s="497"/>
      <c r="AI462" s="497"/>
      <c r="AJ462" s="497"/>
      <c r="AK462" s="497"/>
      <c r="AL462" s="497"/>
      <c r="AM462" s="497"/>
      <c r="AN462" s="497"/>
      <c r="AO462" s="497"/>
      <c r="AP462" s="497"/>
      <c r="AQ462" s="497"/>
      <c r="AR462" s="497"/>
      <c r="AS462" s="497"/>
      <c r="AT462" s="497"/>
      <c r="AU462" s="497"/>
      <c r="AV462" s="497"/>
      <c r="AW462" s="497"/>
      <c r="AX462" s="497"/>
      <c r="AY462" s="497"/>
      <c r="AZ462" s="497"/>
      <c r="BA462" s="497"/>
      <c r="BB462" s="497"/>
      <c r="BC462" s="497"/>
      <c r="BD462" s="497"/>
      <c r="BE462" s="497"/>
      <c r="BF462" s="497"/>
      <c r="BG462" s="497"/>
      <c r="BH462" s="497"/>
      <c r="BI462" s="497"/>
      <c r="BJ462" s="497"/>
      <c r="BK462" s="497"/>
      <c r="BL462" s="497"/>
      <c r="BM462" s="497"/>
      <c r="BN462" s="497"/>
      <c r="BO462" s="497"/>
      <c r="BP462" s="497"/>
      <c r="BQ462" s="497"/>
      <c r="BR462" s="497"/>
      <c r="BS462" s="497"/>
      <c r="BT462" s="497"/>
      <c r="BU462" s="497"/>
      <c r="BV462" s="497"/>
      <c r="BW462" s="497"/>
      <c r="BX462" s="497"/>
      <c r="BY462" s="497"/>
      <c r="BZ462" s="497"/>
      <c r="CA462" s="497"/>
      <c r="CB462" s="497"/>
      <c r="CC462" s="497"/>
      <c r="CD462" s="497"/>
      <c r="CE462" s="497"/>
      <c r="CF462" s="497"/>
      <c r="CG462" s="497"/>
      <c r="CH462" s="497"/>
    </row>
    <row r="463" spans="1:86" s="335" customFormat="1">
      <c r="A463" s="517"/>
      <c r="B463" s="517"/>
      <c r="C463" s="517"/>
      <c r="D463" s="517"/>
      <c r="E463" s="517"/>
      <c r="F463" s="517"/>
      <c r="G463" s="517"/>
      <c r="H463" s="639"/>
      <c r="I463" s="639"/>
      <c r="J463" s="336"/>
      <c r="K463" s="2056"/>
      <c r="L463" s="337"/>
      <c r="N463" s="2057"/>
      <c r="O463" s="337"/>
      <c r="P463" s="337"/>
      <c r="Q463" s="337"/>
      <c r="R463" s="337"/>
      <c r="S463" s="337"/>
      <c r="T463" s="337"/>
      <c r="U463" s="497"/>
      <c r="V463" s="497"/>
      <c r="W463" s="497"/>
      <c r="X463" s="497"/>
      <c r="Y463" s="497"/>
      <c r="Z463" s="497"/>
      <c r="AA463" s="497"/>
      <c r="AB463" s="497"/>
      <c r="AC463" s="497"/>
      <c r="AD463" s="497"/>
      <c r="AE463" s="497"/>
      <c r="AF463" s="497"/>
      <c r="AG463" s="497"/>
      <c r="AH463" s="497"/>
      <c r="AI463" s="497"/>
      <c r="AJ463" s="497"/>
      <c r="AK463" s="497"/>
      <c r="AL463" s="497"/>
      <c r="AM463" s="497"/>
      <c r="AN463" s="497"/>
      <c r="AO463" s="497"/>
      <c r="AP463" s="497"/>
      <c r="AQ463" s="497"/>
      <c r="AR463" s="497"/>
      <c r="AS463" s="497"/>
      <c r="AT463" s="497"/>
      <c r="AU463" s="497"/>
      <c r="AV463" s="497"/>
      <c r="AW463" s="497"/>
      <c r="AX463" s="497"/>
      <c r="AY463" s="497"/>
      <c r="AZ463" s="497"/>
      <c r="BA463" s="497"/>
      <c r="BB463" s="497"/>
      <c r="BC463" s="497"/>
      <c r="BD463" s="497"/>
      <c r="BE463" s="497"/>
      <c r="BF463" s="497"/>
      <c r="BG463" s="497"/>
      <c r="BH463" s="497"/>
      <c r="BI463" s="497"/>
      <c r="BJ463" s="497"/>
      <c r="BK463" s="497"/>
      <c r="BL463" s="497"/>
      <c r="BM463" s="497"/>
      <c r="BN463" s="497"/>
      <c r="BO463" s="497"/>
      <c r="BP463" s="497"/>
      <c r="BQ463" s="497"/>
      <c r="BR463" s="497"/>
      <c r="BS463" s="497"/>
      <c r="BT463" s="497"/>
      <c r="BU463" s="497"/>
      <c r="BV463" s="497"/>
      <c r="BW463" s="497"/>
      <c r="BX463" s="497"/>
      <c r="BY463" s="497"/>
      <c r="BZ463" s="497"/>
      <c r="CA463" s="497"/>
      <c r="CB463" s="497"/>
      <c r="CC463" s="497"/>
      <c r="CD463" s="497"/>
      <c r="CE463" s="497"/>
      <c r="CF463" s="497"/>
      <c r="CG463" s="497"/>
      <c r="CH463" s="497"/>
    </row>
    <row r="464" spans="1:86" s="335" customFormat="1">
      <c r="A464" s="517"/>
      <c r="B464" s="517"/>
      <c r="C464" s="517"/>
      <c r="D464" s="517"/>
      <c r="E464" s="517"/>
      <c r="F464" s="517"/>
      <c r="G464" s="517"/>
      <c r="H464" s="639"/>
      <c r="I464" s="639"/>
      <c r="J464" s="336"/>
      <c r="K464" s="2056"/>
      <c r="L464" s="337"/>
      <c r="N464" s="2057"/>
      <c r="O464" s="337"/>
      <c r="P464" s="337"/>
      <c r="Q464" s="337"/>
      <c r="R464" s="337"/>
      <c r="S464" s="337"/>
      <c r="T464" s="337"/>
      <c r="U464" s="497"/>
      <c r="V464" s="497"/>
      <c r="W464" s="497"/>
      <c r="X464" s="497"/>
      <c r="Y464" s="497"/>
      <c r="Z464" s="497"/>
      <c r="AA464" s="497"/>
      <c r="AB464" s="497"/>
      <c r="AC464" s="497"/>
      <c r="AD464" s="497"/>
      <c r="AE464" s="497"/>
      <c r="AF464" s="497"/>
      <c r="AG464" s="497"/>
      <c r="AH464" s="497"/>
      <c r="AI464" s="497"/>
      <c r="AJ464" s="497"/>
      <c r="AK464" s="497"/>
      <c r="AL464" s="497"/>
      <c r="AM464" s="497"/>
      <c r="AN464" s="497"/>
      <c r="AO464" s="497"/>
      <c r="AP464" s="497"/>
      <c r="AQ464" s="497"/>
      <c r="AR464" s="497"/>
      <c r="AS464" s="497"/>
      <c r="AT464" s="497"/>
      <c r="AU464" s="497"/>
      <c r="AV464" s="497"/>
      <c r="AW464" s="497"/>
      <c r="AX464" s="497"/>
      <c r="AY464" s="497"/>
      <c r="AZ464" s="497"/>
      <c r="BA464" s="497"/>
      <c r="BB464" s="497"/>
      <c r="BC464" s="497"/>
      <c r="BD464" s="497"/>
      <c r="BE464" s="497"/>
      <c r="BF464" s="497"/>
      <c r="BG464" s="497"/>
      <c r="BH464" s="497"/>
      <c r="BI464" s="497"/>
      <c r="BJ464" s="497"/>
      <c r="BK464" s="497"/>
      <c r="BL464" s="497"/>
      <c r="BM464" s="497"/>
      <c r="BN464" s="497"/>
      <c r="BO464" s="497"/>
      <c r="BP464" s="497"/>
      <c r="BQ464" s="497"/>
      <c r="BR464" s="497"/>
      <c r="BS464" s="497"/>
      <c r="BT464" s="497"/>
      <c r="BU464" s="497"/>
      <c r="BV464" s="497"/>
      <c r="BW464" s="497"/>
      <c r="BX464" s="497"/>
      <c r="BY464" s="497"/>
      <c r="BZ464" s="497"/>
      <c r="CA464" s="497"/>
      <c r="CB464" s="497"/>
      <c r="CC464" s="497"/>
      <c r="CD464" s="497"/>
      <c r="CE464" s="497"/>
      <c r="CF464" s="497"/>
      <c r="CG464" s="497"/>
      <c r="CH464" s="497"/>
    </row>
    <row r="465" spans="1:86" s="335" customFormat="1">
      <c r="A465" s="517"/>
      <c r="B465" s="517"/>
      <c r="C465" s="517"/>
      <c r="D465" s="517"/>
      <c r="E465" s="517"/>
      <c r="F465" s="517"/>
      <c r="G465" s="517"/>
      <c r="H465" s="639"/>
      <c r="I465" s="639"/>
      <c r="J465" s="336"/>
      <c r="K465" s="2056"/>
      <c r="L465" s="337"/>
      <c r="N465" s="2057"/>
      <c r="O465" s="337"/>
      <c r="P465" s="337"/>
      <c r="Q465" s="337"/>
      <c r="R465" s="337"/>
      <c r="S465" s="337"/>
      <c r="T465" s="337"/>
      <c r="U465" s="497"/>
      <c r="V465" s="497"/>
      <c r="W465" s="497"/>
      <c r="X465" s="497"/>
      <c r="Y465" s="497"/>
      <c r="Z465" s="497"/>
      <c r="AA465" s="497"/>
      <c r="AB465" s="497"/>
      <c r="AC465" s="497"/>
      <c r="AD465" s="497"/>
      <c r="AE465" s="497"/>
      <c r="AF465" s="497"/>
      <c r="AG465" s="497"/>
      <c r="AH465" s="497"/>
      <c r="AI465" s="497"/>
      <c r="AJ465" s="497"/>
      <c r="AK465" s="497"/>
      <c r="AL465" s="497"/>
      <c r="AM465" s="497"/>
      <c r="AN465" s="497"/>
      <c r="AO465" s="497"/>
      <c r="AP465" s="497"/>
      <c r="AQ465" s="497"/>
      <c r="AR465" s="497"/>
      <c r="AS465" s="497"/>
      <c r="AT465" s="497"/>
      <c r="AU465" s="497"/>
      <c r="AV465" s="497"/>
      <c r="AW465" s="497"/>
      <c r="AX465" s="497"/>
      <c r="AY465" s="497"/>
      <c r="AZ465" s="497"/>
      <c r="BA465" s="497"/>
      <c r="BB465" s="497"/>
      <c r="BC465" s="497"/>
      <c r="BD465" s="497"/>
      <c r="BE465" s="497"/>
      <c r="BF465" s="497"/>
      <c r="BG465" s="497"/>
      <c r="BH465" s="497"/>
      <c r="BI465" s="497"/>
      <c r="BJ465" s="497"/>
      <c r="BK465" s="497"/>
      <c r="BL465" s="497"/>
      <c r="BM465" s="497"/>
      <c r="BN465" s="497"/>
      <c r="BO465" s="497"/>
      <c r="BP465" s="497"/>
      <c r="BQ465" s="497"/>
      <c r="BR465" s="497"/>
      <c r="BS465" s="497"/>
      <c r="BT465" s="497"/>
      <c r="BU465" s="497"/>
      <c r="BV465" s="497"/>
      <c r="BW465" s="497"/>
      <c r="BX465" s="497"/>
      <c r="BY465" s="497"/>
      <c r="BZ465" s="497"/>
      <c r="CA465" s="497"/>
      <c r="CB465" s="497"/>
      <c r="CC465" s="497"/>
      <c r="CD465" s="497"/>
      <c r="CE465" s="497"/>
      <c r="CF465" s="497"/>
      <c r="CG465" s="497"/>
      <c r="CH465" s="497"/>
    </row>
    <row r="466" spans="1:86" s="335" customFormat="1">
      <c r="A466" s="517"/>
      <c r="B466" s="517"/>
      <c r="C466" s="517"/>
      <c r="D466" s="517"/>
      <c r="E466" s="517"/>
      <c r="F466" s="517"/>
      <c r="G466" s="517"/>
      <c r="H466" s="639"/>
      <c r="I466" s="639"/>
      <c r="J466" s="336"/>
      <c r="K466" s="2056"/>
      <c r="L466" s="337"/>
      <c r="N466" s="2057"/>
      <c r="O466" s="337"/>
      <c r="P466" s="337"/>
      <c r="Q466" s="337"/>
      <c r="R466" s="337"/>
      <c r="S466" s="337"/>
      <c r="T466" s="337"/>
      <c r="U466" s="497"/>
      <c r="V466" s="497"/>
      <c r="W466" s="497"/>
      <c r="X466" s="497"/>
      <c r="Y466" s="497"/>
      <c r="Z466" s="497"/>
      <c r="AA466" s="497"/>
      <c r="AB466" s="497"/>
      <c r="AC466" s="497"/>
      <c r="AD466" s="497"/>
      <c r="AE466" s="497"/>
      <c r="AF466" s="497"/>
      <c r="AG466" s="497"/>
      <c r="AH466" s="497"/>
      <c r="AI466" s="497"/>
      <c r="AJ466" s="497"/>
      <c r="AK466" s="497"/>
      <c r="AL466" s="497"/>
      <c r="AM466" s="497"/>
      <c r="AN466" s="497"/>
      <c r="AO466" s="497"/>
      <c r="AP466" s="497"/>
      <c r="AQ466" s="497"/>
      <c r="AR466" s="497"/>
      <c r="AS466" s="497"/>
      <c r="AT466" s="497"/>
      <c r="AU466" s="497"/>
      <c r="AV466" s="497"/>
      <c r="AW466" s="497"/>
      <c r="AX466" s="497"/>
      <c r="AY466" s="497"/>
      <c r="AZ466" s="497"/>
      <c r="BA466" s="497"/>
      <c r="BB466" s="497"/>
      <c r="BC466" s="497"/>
      <c r="BD466" s="497"/>
      <c r="BE466" s="497"/>
      <c r="BF466" s="497"/>
      <c r="BG466" s="497"/>
      <c r="BH466" s="497"/>
      <c r="BI466" s="497"/>
      <c r="BJ466" s="497"/>
      <c r="BK466" s="497"/>
      <c r="BL466" s="497"/>
      <c r="BM466" s="497"/>
      <c r="BN466" s="497"/>
      <c r="BO466" s="497"/>
      <c r="BP466" s="497"/>
      <c r="BQ466" s="497"/>
      <c r="BR466" s="497"/>
      <c r="BS466" s="497"/>
      <c r="BT466" s="497"/>
      <c r="BU466" s="497"/>
      <c r="BV466" s="497"/>
      <c r="BW466" s="497"/>
      <c r="BX466" s="497"/>
      <c r="BY466" s="497"/>
      <c r="BZ466" s="497"/>
      <c r="CA466" s="497"/>
      <c r="CB466" s="497"/>
      <c r="CC466" s="497"/>
      <c r="CD466" s="497"/>
      <c r="CE466" s="497"/>
      <c r="CF466" s="497"/>
      <c r="CG466" s="497"/>
      <c r="CH466" s="497"/>
    </row>
    <row r="467" spans="1:86" s="335" customFormat="1">
      <c r="A467" s="517"/>
      <c r="B467" s="517"/>
      <c r="C467" s="517"/>
      <c r="D467" s="517"/>
      <c r="E467" s="517"/>
      <c r="F467" s="517"/>
      <c r="G467" s="517"/>
      <c r="H467" s="639"/>
      <c r="I467" s="639"/>
      <c r="J467" s="336"/>
      <c r="K467" s="2056"/>
      <c r="L467" s="337"/>
      <c r="N467" s="2057"/>
      <c r="O467" s="337"/>
      <c r="P467" s="337"/>
      <c r="Q467" s="337"/>
      <c r="R467" s="337"/>
      <c r="S467" s="337"/>
      <c r="T467" s="337"/>
      <c r="U467" s="497"/>
      <c r="V467" s="497"/>
      <c r="W467" s="497"/>
      <c r="X467" s="497"/>
      <c r="Y467" s="497"/>
      <c r="Z467" s="497"/>
      <c r="AA467" s="497"/>
      <c r="AB467" s="497"/>
      <c r="AC467" s="497"/>
      <c r="AD467" s="497"/>
      <c r="AE467" s="497"/>
      <c r="AF467" s="497"/>
      <c r="AG467" s="497"/>
      <c r="AH467" s="497"/>
      <c r="AI467" s="497"/>
      <c r="AJ467" s="497"/>
      <c r="AK467" s="497"/>
      <c r="AL467" s="497"/>
      <c r="AM467" s="497"/>
      <c r="AN467" s="497"/>
      <c r="AO467" s="497"/>
      <c r="AP467" s="497"/>
      <c r="AQ467" s="497"/>
      <c r="AR467" s="497"/>
      <c r="AS467" s="497"/>
      <c r="AT467" s="497"/>
      <c r="AU467" s="497"/>
      <c r="AV467" s="497"/>
      <c r="AW467" s="497"/>
      <c r="AX467" s="497"/>
      <c r="AY467" s="497"/>
      <c r="AZ467" s="497"/>
      <c r="BA467" s="497"/>
      <c r="BB467" s="497"/>
      <c r="BC467" s="497"/>
      <c r="BD467" s="497"/>
      <c r="BE467" s="497"/>
      <c r="BF467" s="497"/>
      <c r="BG467" s="497"/>
      <c r="BH467" s="497"/>
      <c r="BI467" s="497"/>
      <c r="BJ467" s="497"/>
      <c r="BK467" s="497"/>
      <c r="BL467" s="497"/>
      <c r="BM467" s="497"/>
      <c r="BN467" s="497"/>
      <c r="BO467" s="497"/>
      <c r="BP467" s="497"/>
      <c r="BQ467" s="497"/>
      <c r="BR467" s="497"/>
      <c r="BS467" s="497"/>
      <c r="BT467" s="497"/>
      <c r="BU467" s="497"/>
      <c r="BV467" s="497"/>
      <c r="BW467" s="497"/>
      <c r="BX467" s="497"/>
      <c r="BY467" s="497"/>
      <c r="BZ467" s="497"/>
      <c r="CA467" s="497"/>
      <c r="CB467" s="497"/>
      <c r="CC467" s="497"/>
      <c r="CD467" s="497"/>
      <c r="CE467" s="497"/>
      <c r="CF467" s="497"/>
      <c r="CG467" s="497"/>
      <c r="CH467" s="497"/>
    </row>
    <row r="468" spans="1:86" s="335" customFormat="1">
      <c r="A468" s="517"/>
      <c r="B468" s="517"/>
      <c r="C468" s="517"/>
      <c r="D468" s="517"/>
      <c r="E468" s="517"/>
      <c r="F468" s="517"/>
      <c r="G468" s="517"/>
      <c r="H468" s="639"/>
      <c r="I468" s="639"/>
      <c r="J468" s="336"/>
      <c r="K468" s="2056"/>
      <c r="L468" s="337"/>
      <c r="N468" s="2057"/>
      <c r="O468" s="337"/>
      <c r="P468" s="337"/>
      <c r="Q468" s="337"/>
      <c r="R468" s="337"/>
      <c r="S468" s="337"/>
      <c r="T468" s="337"/>
      <c r="U468" s="497"/>
      <c r="V468" s="497"/>
      <c r="W468" s="497"/>
      <c r="X468" s="497"/>
      <c r="Y468" s="497"/>
      <c r="Z468" s="497"/>
      <c r="AA468" s="497"/>
      <c r="AB468" s="497"/>
      <c r="AC468" s="497"/>
      <c r="AD468" s="497"/>
      <c r="AE468" s="497"/>
      <c r="AF468" s="497"/>
      <c r="AG468" s="497"/>
      <c r="AH468" s="497"/>
      <c r="AI468" s="497"/>
      <c r="AJ468" s="497"/>
      <c r="AK468" s="497"/>
      <c r="AL468" s="497"/>
      <c r="AM468" s="497"/>
      <c r="AN468" s="497"/>
      <c r="AO468" s="497"/>
      <c r="AP468" s="497"/>
      <c r="AQ468" s="497"/>
      <c r="AR468" s="497"/>
      <c r="AS468" s="497"/>
      <c r="AT468" s="497"/>
      <c r="AU468" s="497"/>
      <c r="AV468" s="497"/>
      <c r="AW468" s="497"/>
      <c r="AX468" s="497"/>
      <c r="AY468" s="497"/>
      <c r="AZ468" s="497"/>
      <c r="BA468" s="497"/>
      <c r="BB468" s="497"/>
      <c r="BC468" s="497"/>
      <c r="BD468" s="497"/>
      <c r="BE468" s="497"/>
      <c r="BF468" s="497"/>
      <c r="BG468" s="497"/>
      <c r="BH468" s="497"/>
      <c r="BI468" s="497"/>
      <c r="BJ468" s="497"/>
      <c r="BK468" s="497"/>
      <c r="BL468" s="497"/>
      <c r="BM468" s="497"/>
      <c r="BN468" s="497"/>
      <c r="BO468" s="497"/>
      <c r="BP468" s="497"/>
      <c r="BQ468" s="497"/>
      <c r="BR468" s="497"/>
      <c r="BS468" s="497"/>
      <c r="BT468" s="497"/>
      <c r="BU468" s="497"/>
      <c r="BV468" s="497"/>
      <c r="BW468" s="497"/>
      <c r="BX468" s="497"/>
      <c r="BY468" s="497"/>
      <c r="BZ468" s="497"/>
      <c r="CA468" s="497"/>
      <c r="CB468" s="497"/>
      <c r="CC468" s="497"/>
      <c r="CD468" s="497"/>
      <c r="CE468" s="497"/>
      <c r="CF468" s="497"/>
      <c r="CG468" s="497"/>
      <c r="CH468" s="497"/>
    </row>
    <row r="469" spans="1:86" s="335" customFormat="1">
      <c r="A469" s="517"/>
      <c r="B469" s="517"/>
      <c r="C469" s="517"/>
      <c r="D469" s="517"/>
      <c r="E469" s="517"/>
      <c r="F469" s="517"/>
      <c r="G469" s="517"/>
      <c r="H469" s="639"/>
      <c r="I469" s="639"/>
      <c r="J469" s="336"/>
      <c r="K469" s="2056"/>
      <c r="L469" s="337"/>
      <c r="N469" s="2057"/>
      <c r="O469" s="337"/>
      <c r="P469" s="337"/>
      <c r="Q469" s="337"/>
      <c r="R469" s="337"/>
      <c r="S469" s="337"/>
      <c r="T469" s="337"/>
      <c r="U469" s="497"/>
      <c r="V469" s="497"/>
      <c r="W469" s="497"/>
      <c r="X469" s="497"/>
      <c r="Y469" s="497"/>
      <c r="Z469" s="497"/>
      <c r="AA469" s="497"/>
      <c r="AB469" s="497"/>
      <c r="AC469" s="497"/>
      <c r="AD469" s="497"/>
      <c r="AE469" s="497"/>
      <c r="AF469" s="497"/>
      <c r="AG469" s="497"/>
      <c r="AH469" s="497"/>
      <c r="AI469" s="497"/>
      <c r="AJ469" s="497"/>
      <c r="AK469" s="497"/>
      <c r="AL469" s="497"/>
      <c r="AM469" s="497"/>
      <c r="AN469" s="497"/>
      <c r="AO469" s="497"/>
      <c r="AP469" s="497"/>
      <c r="AQ469" s="497"/>
      <c r="AR469" s="497"/>
      <c r="AS469" s="497"/>
      <c r="AT469" s="497"/>
      <c r="AU469" s="497"/>
      <c r="AV469" s="497"/>
      <c r="AW469" s="497"/>
      <c r="AX469" s="497"/>
      <c r="AY469" s="497"/>
      <c r="AZ469" s="497"/>
      <c r="BA469" s="497"/>
      <c r="BB469" s="497"/>
      <c r="BC469" s="497"/>
      <c r="BD469" s="497"/>
      <c r="BE469" s="497"/>
      <c r="BF469" s="497"/>
      <c r="BG469" s="497"/>
      <c r="BH469" s="497"/>
      <c r="BI469" s="497"/>
      <c r="BJ469" s="497"/>
      <c r="BK469" s="497"/>
      <c r="BL469" s="497"/>
      <c r="BM469" s="497"/>
      <c r="BN469" s="497"/>
      <c r="BO469" s="497"/>
      <c r="BP469" s="497"/>
      <c r="BQ469" s="497"/>
      <c r="BR469" s="497"/>
      <c r="BS469" s="497"/>
      <c r="BT469" s="497"/>
      <c r="BU469" s="497"/>
      <c r="BV469" s="497"/>
      <c r="BW469" s="497"/>
      <c r="BX469" s="497"/>
      <c r="BY469" s="497"/>
      <c r="BZ469" s="497"/>
      <c r="CA469" s="497"/>
      <c r="CB469" s="497"/>
      <c r="CC469" s="497"/>
      <c r="CD469" s="497"/>
      <c r="CE469" s="497"/>
      <c r="CF469" s="497"/>
      <c r="CG469" s="497"/>
      <c r="CH469" s="497"/>
    </row>
    <row r="470" spans="1:86" s="335" customFormat="1">
      <c r="A470" s="517"/>
      <c r="B470" s="517"/>
      <c r="C470" s="517"/>
      <c r="D470" s="517"/>
      <c r="E470" s="517"/>
      <c r="F470" s="517"/>
      <c r="G470" s="517"/>
      <c r="H470" s="639"/>
      <c r="I470" s="639"/>
      <c r="J470" s="336"/>
      <c r="K470" s="2056"/>
      <c r="L470" s="337"/>
      <c r="N470" s="2057"/>
      <c r="O470" s="337"/>
      <c r="P470" s="337"/>
      <c r="Q470" s="337"/>
      <c r="R470" s="337"/>
      <c r="S470" s="337"/>
      <c r="T470" s="337"/>
      <c r="U470" s="497"/>
      <c r="V470" s="497"/>
      <c r="W470" s="497"/>
      <c r="X470" s="497"/>
      <c r="Y470" s="497"/>
      <c r="Z470" s="497"/>
      <c r="AA470" s="497"/>
      <c r="AB470" s="497"/>
      <c r="AC470" s="497"/>
      <c r="AD470" s="497"/>
      <c r="AE470" s="497"/>
      <c r="AF470" s="497"/>
      <c r="AG470" s="497"/>
      <c r="AH470" s="497"/>
      <c r="AI470" s="497"/>
      <c r="AJ470" s="497"/>
      <c r="AK470" s="497"/>
      <c r="AL470" s="497"/>
      <c r="AM470" s="497"/>
      <c r="AN470" s="497"/>
      <c r="AO470" s="497"/>
      <c r="AP470" s="497"/>
      <c r="AQ470" s="497"/>
      <c r="AR470" s="497"/>
      <c r="AS470" s="497"/>
      <c r="AT470" s="497"/>
      <c r="AU470" s="497"/>
      <c r="AV470" s="497"/>
      <c r="AW470" s="497"/>
      <c r="AX470" s="497"/>
      <c r="AY470" s="497"/>
      <c r="AZ470" s="497"/>
      <c r="BA470" s="497"/>
      <c r="BB470" s="497"/>
      <c r="BC470" s="497"/>
      <c r="BD470" s="497"/>
      <c r="BE470" s="497"/>
      <c r="BF470" s="497"/>
      <c r="BG470" s="497"/>
      <c r="BH470" s="497"/>
      <c r="BI470" s="497"/>
      <c r="BJ470" s="497"/>
      <c r="BK470" s="497"/>
      <c r="BL470" s="497"/>
      <c r="BM470" s="497"/>
      <c r="BN470" s="497"/>
      <c r="BO470" s="497"/>
      <c r="BP470" s="497"/>
      <c r="BQ470" s="497"/>
      <c r="BR470" s="497"/>
      <c r="BS470" s="497"/>
      <c r="BT470" s="497"/>
      <c r="BU470" s="497"/>
      <c r="BV470" s="497"/>
      <c r="BW470" s="497"/>
      <c r="BX470" s="497"/>
      <c r="BY470" s="497"/>
      <c r="BZ470" s="497"/>
      <c r="CA470" s="497"/>
      <c r="CB470" s="497"/>
      <c r="CC470" s="497"/>
      <c r="CD470" s="497"/>
      <c r="CE470" s="497"/>
      <c r="CF470" s="497"/>
      <c r="CG470" s="497"/>
      <c r="CH470" s="497"/>
    </row>
    <row r="471" spans="1:86" s="335" customFormat="1">
      <c r="A471" s="517"/>
      <c r="B471" s="517"/>
      <c r="C471" s="517"/>
      <c r="D471" s="517"/>
      <c r="E471" s="517"/>
      <c r="F471" s="517"/>
      <c r="G471" s="517"/>
      <c r="H471" s="639"/>
      <c r="I471" s="639"/>
      <c r="J471" s="336"/>
      <c r="K471" s="2056"/>
      <c r="L471" s="337"/>
      <c r="N471" s="2057"/>
      <c r="O471" s="337"/>
      <c r="P471" s="337"/>
      <c r="Q471" s="337"/>
      <c r="R471" s="337"/>
      <c r="S471" s="337"/>
      <c r="T471" s="337"/>
      <c r="U471" s="497"/>
      <c r="V471" s="497"/>
      <c r="W471" s="497"/>
      <c r="X471" s="497"/>
      <c r="Y471" s="497"/>
      <c r="Z471" s="497"/>
      <c r="AA471" s="497"/>
      <c r="AB471" s="497"/>
      <c r="AC471" s="497"/>
      <c r="AD471" s="497"/>
      <c r="AE471" s="497"/>
      <c r="AF471" s="497"/>
      <c r="AG471" s="497"/>
      <c r="AH471" s="497"/>
      <c r="AI471" s="497"/>
      <c r="AJ471" s="497"/>
      <c r="AK471" s="497"/>
      <c r="AL471" s="497"/>
      <c r="AM471" s="497"/>
      <c r="AN471" s="497"/>
      <c r="AO471" s="497"/>
      <c r="AP471" s="497"/>
      <c r="AQ471" s="497"/>
      <c r="AR471" s="497"/>
      <c r="AS471" s="497"/>
      <c r="AT471" s="497"/>
      <c r="AU471" s="497"/>
      <c r="AV471" s="497"/>
      <c r="AW471" s="497"/>
      <c r="AX471" s="497"/>
      <c r="AY471" s="497"/>
      <c r="AZ471" s="497"/>
      <c r="BA471" s="497"/>
      <c r="BB471" s="497"/>
      <c r="BC471" s="497"/>
      <c r="BD471" s="497"/>
      <c r="BE471" s="497"/>
      <c r="BF471" s="497"/>
      <c r="BG471" s="497"/>
      <c r="BH471" s="497"/>
      <c r="BI471" s="497"/>
      <c r="BJ471" s="497"/>
      <c r="BK471" s="497"/>
      <c r="BL471" s="497"/>
      <c r="BM471" s="497"/>
      <c r="BN471" s="497"/>
      <c r="BO471" s="497"/>
      <c r="BP471" s="497"/>
      <c r="BQ471" s="497"/>
      <c r="BR471" s="497"/>
      <c r="BS471" s="497"/>
      <c r="BT471" s="497"/>
      <c r="BU471" s="497"/>
      <c r="BV471" s="497"/>
      <c r="BW471" s="497"/>
      <c r="BX471" s="497"/>
      <c r="BY471" s="497"/>
      <c r="BZ471" s="497"/>
      <c r="CA471" s="497"/>
      <c r="CB471" s="497"/>
      <c r="CC471" s="497"/>
      <c r="CD471" s="497"/>
      <c r="CE471" s="497"/>
      <c r="CF471" s="497"/>
      <c r="CG471" s="497"/>
      <c r="CH471" s="497"/>
    </row>
    <row r="472" spans="1:86" s="335" customFormat="1">
      <c r="A472" s="517"/>
      <c r="B472" s="517"/>
      <c r="C472" s="517"/>
      <c r="D472" s="517"/>
      <c r="E472" s="517"/>
      <c r="F472" s="517"/>
      <c r="G472" s="517"/>
      <c r="H472" s="639"/>
      <c r="I472" s="639"/>
      <c r="J472" s="336"/>
      <c r="K472" s="2056"/>
      <c r="L472" s="337"/>
      <c r="N472" s="2057"/>
      <c r="O472" s="337"/>
      <c r="P472" s="337"/>
      <c r="Q472" s="337"/>
      <c r="R472" s="337"/>
      <c r="S472" s="337"/>
      <c r="T472" s="337"/>
      <c r="U472" s="497"/>
      <c r="V472" s="497"/>
      <c r="W472" s="497"/>
      <c r="X472" s="497"/>
      <c r="Y472" s="497"/>
      <c r="Z472" s="497"/>
      <c r="AA472" s="497"/>
      <c r="AB472" s="497"/>
      <c r="AC472" s="497"/>
      <c r="AD472" s="497"/>
      <c r="AE472" s="497"/>
      <c r="AF472" s="497"/>
      <c r="AG472" s="497"/>
      <c r="AH472" s="497"/>
      <c r="AI472" s="497"/>
      <c r="AJ472" s="497"/>
      <c r="AK472" s="497"/>
      <c r="AL472" s="497"/>
      <c r="AM472" s="497"/>
      <c r="AN472" s="497"/>
      <c r="AO472" s="497"/>
      <c r="AP472" s="497"/>
      <c r="AQ472" s="497"/>
      <c r="AR472" s="497"/>
      <c r="AS472" s="497"/>
      <c r="AT472" s="497"/>
      <c r="AU472" s="497"/>
      <c r="AV472" s="497"/>
      <c r="AW472" s="497"/>
      <c r="AX472" s="497"/>
      <c r="AY472" s="497"/>
      <c r="AZ472" s="497"/>
      <c r="BA472" s="497"/>
      <c r="BB472" s="497"/>
      <c r="BC472" s="497"/>
      <c r="BD472" s="497"/>
      <c r="BE472" s="497"/>
      <c r="BF472" s="497"/>
      <c r="BG472" s="497"/>
      <c r="BH472" s="497"/>
      <c r="BI472" s="497"/>
      <c r="BJ472" s="497"/>
      <c r="BK472" s="497"/>
      <c r="BL472" s="497"/>
      <c r="BM472" s="497"/>
      <c r="BN472" s="497"/>
      <c r="BO472" s="497"/>
      <c r="BP472" s="497"/>
      <c r="BQ472" s="497"/>
      <c r="BR472" s="497"/>
      <c r="BS472" s="497"/>
      <c r="BT472" s="497"/>
      <c r="BU472" s="497"/>
      <c r="BV472" s="497"/>
      <c r="BW472" s="497"/>
      <c r="BX472" s="497"/>
      <c r="BY472" s="497"/>
      <c r="BZ472" s="497"/>
      <c r="CA472" s="497"/>
      <c r="CB472" s="497"/>
      <c r="CC472" s="497"/>
      <c r="CD472" s="497"/>
      <c r="CE472" s="497"/>
      <c r="CF472" s="497"/>
      <c r="CG472" s="497"/>
      <c r="CH472" s="497"/>
    </row>
    <row r="473" spans="1:86" s="335" customFormat="1">
      <c r="A473" s="517"/>
      <c r="B473" s="517"/>
      <c r="C473" s="517"/>
      <c r="D473" s="517"/>
      <c r="E473" s="517"/>
      <c r="F473" s="517"/>
      <c r="G473" s="517"/>
      <c r="H473" s="639"/>
      <c r="I473" s="639"/>
      <c r="J473" s="336"/>
      <c r="K473" s="2056"/>
      <c r="L473" s="337"/>
      <c r="N473" s="2057"/>
      <c r="O473" s="337"/>
      <c r="P473" s="337"/>
      <c r="Q473" s="337"/>
      <c r="R473" s="337"/>
      <c r="S473" s="337"/>
      <c r="T473" s="337"/>
      <c r="U473" s="497"/>
      <c r="V473" s="497"/>
      <c r="W473" s="497"/>
      <c r="X473" s="497"/>
      <c r="Y473" s="497"/>
      <c r="Z473" s="497"/>
      <c r="AA473" s="497"/>
      <c r="AB473" s="497"/>
      <c r="AC473" s="497"/>
      <c r="AD473" s="497"/>
      <c r="AE473" s="497"/>
      <c r="AF473" s="497"/>
      <c r="AG473" s="497"/>
      <c r="AH473" s="497"/>
      <c r="AI473" s="497"/>
      <c r="AJ473" s="497"/>
      <c r="AK473" s="497"/>
      <c r="AL473" s="497"/>
      <c r="AM473" s="497"/>
      <c r="AN473" s="497"/>
      <c r="AO473" s="497"/>
      <c r="AP473" s="497"/>
      <c r="AQ473" s="497"/>
      <c r="AR473" s="497"/>
      <c r="AS473" s="497"/>
      <c r="AT473" s="497"/>
      <c r="AU473" s="497"/>
      <c r="AV473" s="497"/>
      <c r="AW473" s="497"/>
      <c r="AX473" s="497"/>
      <c r="AY473" s="497"/>
      <c r="AZ473" s="497"/>
      <c r="BA473" s="497"/>
      <c r="BB473" s="497"/>
      <c r="BC473" s="497"/>
      <c r="BD473" s="497"/>
      <c r="BE473" s="497"/>
      <c r="BF473" s="497"/>
      <c r="BG473" s="497"/>
      <c r="BH473" s="497"/>
      <c r="BI473" s="497"/>
      <c r="BJ473" s="497"/>
      <c r="BK473" s="497"/>
      <c r="BL473" s="497"/>
      <c r="BM473" s="497"/>
      <c r="BN473" s="497"/>
      <c r="BO473" s="497"/>
      <c r="BP473" s="497"/>
      <c r="BQ473" s="497"/>
      <c r="BR473" s="497"/>
      <c r="BS473" s="497"/>
      <c r="BT473" s="497"/>
      <c r="BU473" s="497"/>
      <c r="BV473" s="497"/>
      <c r="BW473" s="497"/>
      <c r="BX473" s="497"/>
      <c r="BY473" s="497"/>
      <c r="BZ473" s="497"/>
      <c r="CA473" s="497"/>
      <c r="CB473" s="497"/>
      <c r="CC473" s="497"/>
      <c r="CD473" s="497"/>
      <c r="CE473" s="497"/>
      <c r="CF473" s="497"/>
      <c r="CG473" s="497"/>
      <c r="CH473" s="497"/>
    </row>
    <row r="474" spans="1:86" s="335" customFormat="1">
      <c r="A474" s="517"/>
      <c r="B474" s="517"/>
      <c r="C474" s="517"/>
      <c r="D474" s="517"/>
      <c r="E474" s="517"/>
      <c r="F474" s="517"/>
      <c r="G474" s="517"/>
      <c r="H474" s="639"/>
      <c r="I474" s="639"/>
      <c r="J474" s="336"/>
      <c r="K474" s="2056"/>
      <c r="L474" s="337"/>
      <c r="N474" s="2057"/>
      <c r="O474" s="337"/>
      <c r="P474" s="337"/>
      <c r="Q474" s="337"/>
      <c r="R474" s="337"/>
      <c r="S474" s="337"/>
      <c r="T474" s="337"/>
      <c r="U474" s="497"/>
      <c r="V474" s="497"/>
      <c r="W474" s="497"/>
      <c r="X474" s="497"/>
      <c r="Y474" s="497"/>
      <c r="Z474" s="497"/>
      <c r="AA474" s="497"/>
      <c r="AB474" s="497"/>
      <c r="AC474" s="497"/>
      <c r="AD474" s="497"/>
      <c r="AE474" s="497"/>
      <c r="AF474" s="497"/>
      <c r="AG474" s="497"/>
      <c r="AH474" s="497"/>
      <c r="AI474" s="497"/>
      <c r="AJ474" s="497"/>
      <c r="AK474" s="497"/>
      <c r="AL474" s="497"/>
      <c r="AM474" s="497"/>
      <c r="AN474" s="497"/>
      <c r="AO474" s="497"/>
      <c r="AP474" s="497"/>
      <c r="AQ474" s="497"/>
      <c r="AR474" s="497"/>
      <c r="AS474" s="497"/>
      <c r="AT474" s="497"/>
      <c r="AU474" s="497"/>
      <c r="AV474" s="497"/>
      <c r="AW474" s="497"/>
      <c r="AX474" s="497"/>
      <c r="AY474" s="497"/>
      <c r="AZ474" s="497"/>
      <c r="BA474" s="497"/>
      <c r="BB474" s="497"/>
      <c r="BC474" s="497"/>
      <c r="BD474" s="497"/>
      <c r="BE474" s="497"/>
      <c r="BF474" s="497"/>
      <c r="BG474" s="497"/>
      <c r="BH474" s="497"/>
      <c r="BI474" s="497"/>
      <c r="BJ474" s="497"/>
      <c r="BK474" s="497"/>
      <c r="BL474" s="497"/>
      <c r="BM474" s="497"/>
      <c r="BN474" s="497"/>
      <c r="BO474" s="497"/>
      <c r="BP474" s="497"/>
      <c r="BQ474" s="497"/>
      <c r="BR474" s="497"/>
      <c r="BS474" s="497"/>
      <c r="BT474" s="497"/>
      <c r="BU474" s="497"/>
      <c r="BV474" s="497"/>
      <c r="BW474" s="497"/>
      <c r="BX474" s="497"/>
      <c r="BY474" s="497"/>
      <c r="BZ474" s="497"/>
      <c r="CA474" s="497"/>
      <c r="CB474" s="497"/>
      <c r="CC474" s="497"/>
      <c r="CD474" s="497"/>
      <c r="CE474" s="497"/>
      <c r="CF474" s="497"/>
      <c r="CG474" s="497"/>
      <c r="CH474" s="497"/>
    </row>
    <row r="475" spans="1:86" s="335" customFormat="1">
      <c r="A475" s="517"/>
      <c r="B475" s="517"/>
      <c r="C475" s="517"/>
      <c r="D475" s="517"/>
      <c r="E475" s="517"/>
      <c r="F475" s="517"/>
      <c r="G475" s="517"/>
      <c r="H475" s="639"/>
      <c r="I475" s="639"/>
      <c r="J475" s="336"/>
      <c r="K475" s="2056"/>
      <c r="L475" s="337"/>
      <c r="N475" s="2057"/>
      <c r="O475" s="337"/>
      <c r="P475" s="337"/>
      <c r="Q475" s="337"/>
      <c r="R475" s="337"/>
      <c r="S475" s="337"/>
      <c r="T475" s="337"/>
      <c r="U475" s="497"/>
      <c r="V475" s="497"/>
      <c r="W475" s="497"/>
      <c r="X475" s="497"/>
      <c r="Y475" s="497"/>
      <c r="Z475" s="497"/>
      <c r="AA475" s="497"/>
      <c r="AB475" s="497"/>
      <c r="AC475" s="497"/>
      <c r="AD475" s="497"/>
      <c r="AE475" s="497"/>
      <c r="AF475" s="497"/>
      <c r="AG475" s="497"/>
      <c r="AH475" s="497"/>
      <c r="AI475" s="497"/>
      <c r="AJ475" s="497"/>
      <c r="AK475" s="497"/>
      <c r="AL475" s="497"/>
      <c r="AM475" s="497"/>
      <c r="AN475" s="497"/>
      <c r="AO475" s="497"/>
      <c r="AP475" s="497"/>
      <c r="AQ475" s="497"/>
      <c r="AR475" s="497"/>
      <c r="AS475" s="497"/>
      <c r="AT475" s="497"/>
      <c r="AU475" s="497"/>
      <c r="AV475" s="497"/>
      <c r="AW475" s="497"/>
      <c r="AX475" s="497"/>
      <c r="AY475" s="497"/>
      <c r="AZ475" s="497"/>
      <c r="BA475" s="497"/>
      <c r="BB475" s="497"/>
      <c r="BC475" s="497"/>
      <c r="BD475" s="497"/>
      <c r="BE475" s="497"/>
      <c r="BF475" s="497"/>
      <c r="BG475" s="497"/>
      <c r="BH475" s="497"/>
      <c r="BI475" s="497"/>
      <c r="BJ475" s="497"/>
      <c r="BK475" s="497"/>
      <c r="BL475" s="497"/>
      <c r="BM475" s="497"/>
      <c r="BN475" s="497"/>
      <c r="BO475" s="497"/>
      <c r="BP475" s="497"/>
      <c r="BQ475" s="497"/>
      <c r="BR475" s="497"/>
      <c r="BS475" s="497"/>
      <c r="BT475" s="497"/>
      <c r="BU475" s="497"/>
      <c r="BV475" s="497"/>
      <c r="BW475" s="497"/>
      <c r="BX475" s="497"/>
      <c r="BY475" s="497"/>
      <c r="BZ475" s="497"/>
      <c r="CA475" s="497"/>
      <c r="CB475" s="497"/>
      <c r="CC475" s="497"/>
      <c r="CD475" s="497"/>
      <c r="CE475" s="497"/>
      <c r="CF475" s="497"/>
      <c r="CG475" s="497"/>
      <c r="CH475" s="497"/>
    </row>
    <row r="476" spans="1:86" s="335" customFormat="1">
      <c r="A476" s="517"/>
      <c r="B476" s="517"/>
      <c r="C476" s="517"/>
      <c r="D476" s="517"/>
      <c r="E476" s="517"/>
      <c r="F476" s="517"/>
      <c r="G476" s="517"/>
      <c r="H476" s="639"/>
      <c r="I476" s="639"/>
      <c r="J476" s="336"/>
      <c r="K476" s="2056"/>
      <c r="L476" s="337"/>
      <c r="N476" s="2057"/>
      <c r="O476" s="337"/>
      <c r="P476" s="337"/>
      <c r="Q476" s="337"/>
      <c r="R476" s="337"/>
      <c r="S476" s="337"/>
      <c r="T476" s="337"/>
      <c r="U476" s="497"/>
      <c r="V476" s="497"/>
      <c r="W476" s="497"/>
      <c r="X476" s="497"/>
      <c r="Y476" s="497"/>
      <c r="Z476" s="497"/>
      <c r="AA476" s="497"/>
      <c r="AB476" s="497"/>
      <c r="AC476" s="497"/>
      <c r="AD476" s="497"/>
      <c r="AE476" s="497"/>
      <c r="AF476" s="497"/>
      <c r="AG476" s="497"/>
      <c r="AH476" s="497"/>
      <c r="AI476" s="497"/>
      <c r="AJ476" s="497"/>
      <c r="AK476" s="497"/>
      <c r="AL476" s="497"/>
      <c r="AM476" s="497"/>
      <c r="AN476" s="497"/>
      <c r="AO476" s="497"/>
      <c r="AP476" s="497"/>
      <c r="AQ476" s="497"/>
      <c r="AR476" s="497"/>
      <c r="AS476" s="497"/>
      <c r="AT476" s="497"/>
      <c r="AU476" s="497"/>
      <c r="AV476" s="497"/>
      <c r="AW476" s="497"/>
      <c r="AX476" s="497"/>
      <c r="AY476" s="497"/>
      <c r="AZ476" s="497"/>
      <c r="BA476" s="497"/>
      <c r="BB476" s="497"/>
      <c r="BC476" s="497"/>
      <c r="BD476" s="497"/>
      <c r="BE476" s="497"/>
      <c r="BF476" s="497"/>
      <c r="BG476" s="497"/>
      <c r="BH476" s="497"/>
      <c r="BI476" s="497"/>
      <c r="BJ476" s="497"/>
      <c r="BK476" s="497"/>
      <c r="BL476" s="497"/>
      <c r="BM476" s="497"/>
      <c r="BN476" s="497"/>
      <c r="BO476" s="497"/>
      <c r="BP476" s="497"/>
      <c r="BQ476" s="497"/>
      <c r="BR476" s="497"/>
      <c r="BS476" s="497"/>
      <c r="BT476" s="497"/>
      <c r="BU476" s="497"/>
      <c r="BV476" s="497"/>
      <c r="BW476" s="497"/>
      <c r="BX476" s="497"/>
      <c r="BY476" s="497"/>
      <c r="BZ476" s="497"/>
      <c r="CA476" s="497"/>
      <c r="CB476" s="497"/>
      <c r="CC476" s="497"/>
      <c r="CD476" s="497"/>
      <c r="CE476" s="497"/>
      <c r="CF476" s="497"/>
      <c r="CG476" s="497"/>
      <c r="CH476" s="497"/>
    </row>
    <row r="477" spans="1:86" s="335" customFormat="1">
      <c r="A477" s="517"/>
      <c r="B477" s="517"/>
      <c r="C477" s="517"/>
      <c r="D477" s="517"/>
      <c r="E477" s="517"/>
      <c r="F477" s="517"/>
      <c r="G477" s="517"/>
      <c r="H477" s="639"/>
      <c r="I477" s="639"/>
      <c r="J477" s="336"/>
      <c r="K477" s="2056"/>
      <c r="L477" s="337"/>
      <c r="N477" s="2057"/>
      <c r="O477" s="337"/>
      <c r="P477" s="337"/>
      <c r="Q477" s="337"/>
      <c r="R477" s="337"/>
      <c r="S477" s="337"/>
      <c r="T477" s="337"/>
      <c r="U477" s="497"/>
      <c r="V477" s="497"/>
      <c r="W477" s="497"/>
      <c r="X477" s="497"/>
      <c r="Y477" s="497"/>
      <c r="Z477" s="497"/>
      <c r="AA477" s="497"/>
      <c r="AB477" s="497"/>
      <c r="AC477" s="497"/>
      <c r="AD477" s="497"/>
      <c r="AE477" s="497"/>
      <c r="AF477" s="497"/>
      <c r="AG477" s="497"/>
      <c r="AH477" s="497"/>
      <c r="AI477" s="497"/>
      <c r="AJ477" s="497"/>
      <c r="AK477" s="497"/>
      <c r="AL477" s="497"/>
      <c r="AM477" s="497"/>
      <c r="AN477" s="497"/>
      <c r="AO477" s="497"/>
      <c r="AP477" s="497"/>
      <c r="AQ477" s="497"/>
      <c r="AR477" s="497"/>
      <c r="AS477" s="497"/>
      <c r="AT477" s="497"/>
      <c r="AU477" s="497"/>
      <c r="AV477" s="497"/>
      <c r="AW477" s="497"/>
      <c r="AX477" s="497"/>
      <c r="AY477" s="497"/>
      <c r="AZ477" s="497"/>
      <c r="BA477" s="497"/>
      <c r="BB477" s="497"/>
      <c r="BC477" s="497"/>
      <c r="BD477" s="497"/>
      <c r="BE477" s="497"/>
      <c r="BF477" s="497"/>
      <c r="BG477" s="497"/>
      <c r="BH477" s="497"/>
      <c r="BI477" s="497"/>
      <c r="BJ477" s="497"/>
      <c r="BK477" s="497"/>
      <c r="BL477" s="497"/>
      <c r="BM477" s="497"/>
      <c r="BN477" s="497"/>
      <c r="BO477" s="497"/>
      <c r="BP477" s="497"/>
      <c r="BQ477" s="497"/>
      <c r="BR477" s="497"/>
      <c r="BS477" s="497"/>
      <c r="BT477" s="497"/>
      <c r="BU477" s="497"/>
      <c r="BV477" s="497"/>
      <c r="BW477" s="497"/>
      <c r="BX477" s="497"/>
      <c r="BY477" s="497"/>
      <c r="BZ477" s="497"/>
      <c r="CA477" s="497"/>
      <c r="CB477" s="497"/>
      <c r="CC477" s="497"/>
      <c r="CD477" s="497"/>
      <c r="CE477" s="497"/>
      <c r="CF477" s="497"/>
      <c r="CG477" s="497"/>
      <c r="CH477" s="497"/>
    </row>
    <row r="478" spans="1:86" s="335" customFormat="1">
      <c r="A478" s="517"/>
      <c r="B478" s="517"/>
      <c r="C478" s="517"/>
      <c r="D478" s="517"/>
      <c r="E478" s="517"/>
      <c r="F478" s="517"/>
      <c r="G478" s="517"/>
      <c r="H478" s="639"/>
      <c r="I478" s="639"/>
      <c r="J478" s="336"/>
      <c r="K478" s="2056"/>
      <c r="L478" s="337"/>
      <c r="N478" s="2057"/>
      <c r="O478" s="337"/>
      <c r="P478" s="337"/>
      <c r="Q478" s="337"/>
      <c r="R478" s="337"/>
      <c r="S478" s="337"/>
      <c r="T478" s="337"/>
      <c r="U478" s="497"/>
      <c r="V478" s="497"/>
      <c r="W478" s="497"/>
      <c r="X478" s="497"/>
      <c r="Y478" s="497"/>
      <c r="Z478" s="497"/>
      <c r="AA478" s="497"/>
      <c r="AB478" s="497"/>
      <c r="AC478" s="497"/>
      <c r="AD478" s="497"/>
      <c r="AE478" s="497"/>
      <c r="AF478" s="497"/>
      <c r="AG478" s="497"/>
      <c r="AH478" s="497"/>
      <c r="AI478" s="497"/>
      <c r="AJ478" s="497"/>
      <c r="AK478" s="497"/>
      <c r="AL478" s="497"/>
      <c r="AM478" s="497"/>
      <c r="AN478" s="497"/>
      <c r="AO478" s="497"/>
      <c r="AP478" s="497"/>
      <c r="AQ478" s="497"/>
      <c r="AR478" s="497"/>
      <c r="AS478" s="497"/>
      <c r="AT478" s="497"/>
      <c r="AU478" s="497"/>
      <c r="AV478" s="497"/>
      <c r="AW478" s="497"/>
      <c r="AX478" s="497"/>
      <c r="AY478" s="497"/>
      <c r="AZ478" s="497"/>
      <c r="BA478" s="497"/>
      <c r="BB478" s="497"/>
      <c r="BC478" s="497"/>
      <c r="BD478" s="497"/>
      <c r="BE478" s="497"/>
      <c r="BF478" s="497"/>
      <c r="BG478" s="497"/>
      <c r="BH478" s="497"/>
      <c r="BI478" s="497"/>
      <c r="BJ478" s="497"/>
      <c r="BK478" s="497"/>
      <c r="BL478" s="497"/>
      <c r="BM478" s="497"/>
      <c r="BN478" s="497"/>
      <c r="BO478" s="497"/>
      <c r="BP478" s="497"/>
      <c r="BQ478" s="497"/>
      <c r="BR478" s="497"/>
      <c r="BS478" s="497"/>
      <c r="BT478" s="497"/>
      <c r="BU478" s="497"/>
      <c r="BV478" s="497"/>
      <c r="BW478" s="497"/>
      <c r="BX478" s="497"/>
      <c r="BY478" s="497"/>
      <c r="BZ478" s="497"/>
      <c r="CA478" s="497"/>
      <c r="CB478" s="497"/>
      <c r="CC478" s="497"/>
      <c r="CD478" s="497"/>
      <c r="CE478" s="497"/>
      <c r="CF478" s="497"/>
      <c r="CG478" s="497"/>
      <c r="CH478" s="497"/>
    </row>
    <row r="479" spans="1:86" s="335" customFormat="1">
      <c r="A479" s="517"/>
      <c r="B479" s="517"/>
      <c r="C479" s="517"/>
      <c r="D479" s="517"/>
      <c r="E479" s="517"/>
      <c r="F479" s="517"/>
      <c r="G479" s="517"/>
      <c r="H479" s="639"/>
      <c r="I479" s="639"/>
      <c r="J479" s="336"/>
      <c r="K479" s="2056"/>
      <c r="L479" s="337"/>
      <c r="N479" s="2057"/>
      <c r="O479" s="337"/>
      <c r="P479" s="337"/>
      <c r="Q479" s="337"/>
      <c r="R479" s="337"/>
      <c r="S479" s="337"/>
      <c r="T479" s="337"/>
      <c r="U479" s="497"/>
      <c r="V479" s="497"/>
      <c r="W479" s="497"/>
      <c r="X479" s="497"/>
      <c r="Y479" s="497"/>
      <c r="Z479" s="497"/>
      <c r="AA479" s="497"/>
      <c r="AB479" s="497"/>
      <c r="AC479" s="497"/>
      <c r="AD479" s="497"/>
      <c r="AE479" s="497"/>
      <c r="AF479" s="497"/>
      <c r="AG479" s="497"/>
      <c r="AH479" s="497"/>
      <c r="AI479" s="497"/>
      <c r="AJ479" s="497"/>
      <c r="AK479" s="497"/>
      <c r="AL479" s="497"/>
      <c r="AM479" s="497"/>
      <c r="AN479" s="497"/>
      <c r="AO479" s="497"/>
      <c r="AP479" s="497"/>
      <c r="AQ479" s="497"/>
      <c r="AR479" s="497"/>
      <c r="AS479" s="497"/>
      <c r="AT479" s="497"/>
      <c r="AU479" s="497"/>
      <c r="AV479" s="497"/>
      <c r="AW479" s="497"/>
      <c r="AX479" s="497"/>
      <c r="AY479" s="497"/>
      <c r="AZ479" s="497"/>
      <c r="BA479" s="497"/>
      <c r="BB479" s="497"/>
      <c r="BC479" s="497"/>
      <c r="BD479" s="497"/>
      <c r="BE479" s="497"/>
      <c r="BF479" s="497"/>
      <c r="BG479" s="497"/>
      <c r="BH479" s="497"/>
      <c r="BI479" s="497"/>
      <c r="BJ479" s="497"/>
      <c r="BK479" s="497"/>
      <c r="BL479" s="497"/>
      <c r="BM479" s="497"/>
      <c r="BN479" s="497"/>
      <c r="BO479" s="497"/>
      <c r="BP479" s="497"/>
      <c r="BQ479" s="497"/>
      <c r="BR479" s="497"/>
      <c r="BS479" s="497"/>
      <c r="BT479" s="497"/>
      <c r="BU479" s="497"/>
      <c r="BV479" s="497"/>
      <c r="BW479" s="497"/>
      <c r="BX479" s="497"/>
      <c r="BY479" s="497"/>
      <c r="BZ479" s="497"/>
      <c r="CA479" s="497"/>
      <c r="CB479" s="497"/>
      <c r="CC479" s="497"/>
      <c r="CD479" s="497"/>
      <c r="CE479" s="497"/>
      <c r="CF479" s="497"/>
      <c r="CG479" s="497"/>
      <c r="CH479" s="497"/>
    </row>
    <row r="480" spans="1:86" s="335" customFormat="1">
      <c r="A480" s="517"/>
      <c r="B480" s="517"/>
      <c r="C480" s="517"/>
      <c r="D480" s="517"/>
      <c r="E480" s="517"/>
      <c r="F480" s="517"/>
      <c r="G480" s="517"/>
      <c r="H480" s="639"/>
      <c r="I480" s="639"/>
      <c r="J480" s="336"/>
      <c r="K480" s="2056"/>
      <c r="L480" s="337"/>
      <c r="N480" s="2057"/>
      <c r="O480" s="337"/>
      <c r="P480" s="337"/>
      <c r="Q480" s="337"/>
      <c r="R480" s="337"/>
      <c r="S480" s="337"/>
      <c r="T480" s="337"/>
      <c r="U480" s="497"/>
      <c r="V480" s="497"/>
      <c r="W480" s="497"/>
      <c r="X480" s="497"/>
      <c r="Y480" s="497"/>
      <c r="Z480" s="497"/>
      <c r="AA480" s="497"/>
      <c r="AB480" s="497"/>
      <c r="AC480" s="497"/>
      <c r="AD480" s="497"/>
      <c r="AE480" s="497"/>
      <c r="AF480" s="497"/>
      <c r="AG480" s="497"/>
      <c r="AH480" s="497"/>
      <c r="AI480" s="497"/>
      <c r="AJ480" s="497"/>
      <c r="AK480" s="497"/>
      <c r="AL480" s="497"/>
      <c r="AM480" s="497"/>
      <c r="AN480" s="497"/>
      <c r="AO480" s="497"/>
      <c r="AP480" s="497"/>
      <c r="AQ480" s="497"/>
      <c r="AR480" s="497"/>
      <c r="AS480" s="497"/>
      <c r="AT480" s="497"/>
      <c r="AU480" s="497"/>
      <c r="AV480" s="497"/>
      <c r="AW480" s="497"/>
      <c r="AX480" s="497"/>
      <c r="AY480" s="497"/>
      <c r="AZ480" s="497"/>
      <c r="BA480" s="497"/>
      <c r="BB480" s="497"/>
      <c r="BC480" s="497"/>
      <c r="BD480" s="497"/>
      <c r="BE480" s="497"/>
      <c r="BF480" s="497"/>
      <c r="BG480" s="497"/>
      <c r="BH480" s="497"/>
      <c r="BI480" s="497"/>
      <c r="BJ480" s="497"/>
      <c r="BK480" s="497"/>
      <c r="BL480" s="497"/>
      <c r="BM480" s="497"/>
      <c r="BN480" s="497"/>
      <c r="BO480" s="497"/>
      <c r="BP480" s="497"/>
      <c r="BQ480" s="497"/>
      <c r="BR480" s="497"/>
      <c r="BS480" s="497"/>
      <c r="BT480" s="497"/>
      <c r="BU480" s="497"/>
      <c r="BV480" s="497"/>
      <c r="BW480" s="497"/>
      <c r="BX480" s="497"/>
      <c r="BY480" s="497"/>
      <c r="BZ480" s="497"/>
      <c r="CA480" s="497"/>
      <c r="CB480" s="497"/>
      <c r="CC480" s="497"/>
      <c r="CD480" s="497"/>
      <c r="CE480" s="497"/>
      <c r="CF480" s="497"/>
      <c r="CG480" s="497"/>
      <c r="CH480" s="497"/>
    </row>
    <row r="481" spans="1:86" s="335" customFormat="1">
      <c r="A481" s="517"/>
      <c r="B481" s="517"/>
      <c r="C481" s="517"/>
      <c r="D481" s="517"/>
      <c r="E481" s="517"/>
      <c r="F481" s="517"/>
      <c r="G481" s="517"/>
      <c r="H481" s="639"/>
      <c r="I481" s="639"/>
      <c r="J481" s="336"/>
      <c r="K481" s="2056"/>
      <c r="L481" s="337"/>
      <c r="N481" s="2057"/>
      <c r="O481" s="337"/>
      <c r="P481" s="337"/>
      <c r="Q481" s="337"/>
      <c r="R481" s="337"/>
      <c r="S481" s="337"/>
      <c r="T481" s="337"/>
      <c r="U481" s="497"/>
      <c r="V481" s="497"/>
      <c r="W481" s="497"/>
      <c r="X481" s="497"/>
      <c r="Y481" s="497"/>
      <c r="Z481" s="497"/>
      <c r="AA481" s="497"/>
      <c r="AB481" s="497"/>
      <c r="AC481" s="497"/>
      <c r="AD481" s="497"/>
      <c r="AE481" s="497"/>
      <c r="AF481" s="497"/>
      <c r="AG481" s="497"/>
      <c r="AH481" s="497"/>
      <c r="AI481" s="497"/>
      <c r="AJ481" s="497"/>
      <c r="AK481" s="497"/>
      <c r="AL481" s="497"/>
      <c r="AM481" s="497"/>
      <c r="AN481" s="497"/>
      <c r="AO481" s="497"/>
      <c r="AP481" s="497"/>
      <c r="AQ481" s="497"/>
      <c r="AR481" s="497"/>
      <c r="AS481" s="497"/>
      <c r="AT481" s="497"/>
      <c r="AU481" s="497"/>
      <c r="AV481" s="497"/>
      <c r="AW481" s="497"/>
      <c r="AX481" s="497"/>
      <c r="AY481" s="497"/>
      <c r="AZ481" s="497"/>
      <c r="BA481" s="497"/>
      <c r="BB481" s="497"/>
      <c r="BC481" s="497"/>
      <c r="BD481" s="497"/>
      <c r="BE481" s="497"/>
      <c r="BF481" s="497"/>
      <c r="BG481" s="497"/>
      <c r="BH481" s="497"/>
      <c r="BI481" s="497"/>
      <c r="BJ481" s="497"/>
      <c r="BK481" s="497"/>
      <c r="BL481" s="497"/>
      <c r="BM481" s="497"/>
      <c r="BN481" s="497"/>
      <c r="BO481" s="497"/>
      <c r="BP481" s="497"/>
      <c r="BQ481" s="497"/>
      <c r="BR481" s="497"/>
      <c r="BS481" s="497"/>
      <c r="BT481" s="497"/>
      <c r="BU481" s="497"/>
      <c r="BV481" s="497"/>
      <c r="BW481" s="497"/>
      <c r="BX481" s="497"/>
      <c r="BY481" s="497"/>
      <c r="BZ481" s="497"/>
      <c r="CA481" s="497"/>
      <c r="CB481" s="497"/>
      <c r="CC481" s="497"/>
      <c r="CD481" s="497"/>
      <c r="CE481" s="497"/>
      <c r="CF481" s="497"/>
      <c r="CG481" s="497"/>
      <c r="CH481" s="497"/>
    </row>
    <row r="482" spans="1:86" s="335" customFormat="1">
      <c r="A482" s="517"/>
      <c r="B482" s="517"/>
      <c r="C482" s="517"/>
      <c r="D482" s="517"/>
      <c r="E482" s="517"/>
      <c r="F482" s="517"/>
      <c r="G482" s="517"/>
      <c r="H482" s="639"/>
      <c r="I482" s="639"/>
      <c r="J482" s="336"/>
      <c r="K482" s="2056"/>
      <c r="L482" s="337"/>
      <c r="N482" s="2057"/>
      <c r="O482" s="337"/>
      <c r="P482" s="337"/>
      <c r="Q482" s="337"/>
      <c r="R482" s="337"/>
      <c r="S482" s="337"/>
      <c r="T482" s="337"/>
      <c r="U482" s="497"/>
      <c r="V482" s="497"/>
      <c r="W482" s="497"/>
      <c r="X482" s="497"/>
      <c r="Y482" s="497"/>
      <c r="Z482" s="497"/>
      <c r="AA482" s="497"/>
      <c r="AB482" s="497"/>
      <c r="AC482" s="497"/>
      <c r="AD482" s="497"/>
      <c r="AE482" s="497"/>
      <c r="AF482" s="497"/>
      <c r="AG482" s="497"/>
      <c r="AH482" s="497"/>
      <c r="AI482" s="497"/>
      <c r="AJ482" s="497"/>
      <c r="AK482" s="497"/>
      <c r="AL482" s="497"/>
      <c r="AM482" s="497"/>
      <c r="AN482" s="497"/>
      <c r="AO482" s="497"/>
      <c r="AP482" s="497"/>
      <c r="AQ482" s="497"/>
      <c r="AR482" s="497"/>
      <c r="AS482" s="497"/>
      <c r="AT482" s="497"/>
      <c r="AU482" s="497"/>
      <c r="AV482" s="497"/>
      <c r="AW482" s="497"/>
      <c r="AX482" s="497"/>
      <c r="AY482" s="497"/>
      <c r="AZ482" s="497"/>
      <c r="BA482" s="497"/>
      <c r="BB482" s="497"/>
      <c r="BC482" s="497"/>
      <c r="BD482" s="497"/>
      <c r="BE482" s="497"/>
      <c r="BF482" s="497"/>
      <c r="BG482" s="497"/>
      <c r="BH482" s="497"/>
      <c r="BI482" s="497"/>
      <c r="BJ482" s="497"/>
      <c r="BK482" s="497"/>
      <c r="BL482" s="497"/>
      <c r="BM482" s="497"/>
      <c r="BN482" s="497"/>
      <c r="BO482" s="497"/>
      <c r="BP482" s="497"/>
      <c r="BQ482" s="497"/>
      <c r="BR482" s="497"/>
      <c r="BS482" s="497"/>
      <c r="BT482" s="497"/>
      <c r="BU482" s="497"/>
      <c r="BV482" s="497"/>
      <c r="BW482" s="497"/>
      <c r="BX482" s="497"/>
      <c r="BY482" s="497"/>
      <c r="BZ482" s="497"/>
      <c r="CA482" s="497"/>
      <c r="CB482" s="497"/>
      <c r="CC482" s="497"/>
      <c r="CD482" s="497"/>
      <c r="CE482" s="497"/>
      <c r="CF482" s="497"/>
      <c r="CG482" s="497"/>
      <c r="CH482" s="497"/>
    </row>
    <row r="483" spans="1:86" s="335" customFormat="1">
      <c r="A483" s="517"/>
      <c r="B483" s="517"/>
      <c r="C483" s="517"/>
      <c r="D483" s="517"/>
      <c r="E483" s="517"/>
      <c r="F483" s="517"/>
      <c r="G483" s="517"/>
      <c r="H483" s="639"/>
      <c r="I483" s="639"/>
      <c r="J483" s="336"/>
      <c r="K483" s="2056"/>
      <c r="L483" s="337"/>
      <c r="N483" s="2057"/>
      <c r="O483" s="337"/>
      <c r="P483" s="337"/>
      <c r="Q483" s="337"/>
      <c r="R483" s="337"/>
      <c r="S483" s="337"/>
      <c r="T483" s="337"/>
      <c r="U483" s="497"/>
      <c r="V483" s="497"/>
      <c r="W483" s="497"/>
      <c r="X483" s="497"/>
      <c r="Y483" s="497"/>
      <c r="Z483" s="497"/>
      <c r="AA483" s="497"/>
      <c r="AB483" s="497"/>
      <c r="AC483" s="497"/>
      <c r="AD483" s="497"/>
      <c r="AE483" s="497"/>
      <c r="AF483" s="497"/>
      <c r="AG483" s="497"/>
      <c r="AH483" s="497"/>
      <c r="AI483" s="497"/>
      <c r="AJ483" s="497"/>
      <c r="AK483" s="497"/>
      <c r="AL483" s="497"/>
      <c r="AM483" s="497"/>
      <c r="AN483" s="497"/>
      <c r="AO483" s="497"/>
      <c r="AP483" s="497"/>
      <c r="AQ483" s="497"/>
      <c r="AR483" s="497"/>
      <c r="AS483" s="497"/>
      <c r="AT483" s="497"/>
      <c r="AU483" s="497"/>
      <c r="AV483" s="497"/>
      <c r="AW483" s="497"/>
      <c r="AX483" s="497"/>
      <c r="AY483" s="497"/>
      <c r="AZ483" s="497"/>
      <c r="BA483" s="497"/>
      <c r="BB483" s="497"/>
      <c r="BC483" s="497"/>
      <c r="BD483" s="497"/>
      <c r="BE483" s="497"/>
      <c r="BF483" s="497"/>
      <c r="BG483" s="497"/>
      <c r="BH483" s="497"/>
      <c r="BI483" s="497"/>
      <c r="BJ483" s="497"/>
      <c r="BK483" s="497"/>
      <c r="BL483" s="497"/>
      <c r="BM483" s="497"/>
      <c r="BN483" s="497"/>
      <c r="BO483" s="497"/>
      <c r="BP483" s="497"/>
      <c r="BQ483" s="497"/>
      <c r="BR483" s="497"/>
      <c r="BS483" s="497"/>
      <c r="BT483" s="497"/>
      <c r="BU483" s="497"/>
      <c r="BV483" s="497"/>
      <c r="BW483" s="497"/>
      <c r="BX483" s="497"/>
      <c r="BY483" s="497"/>
      <c r="BZ483" s="497"/>
      <c r="CA483" s="497"/>
      <c r="CB483" s="497"/>
      <c r="CC483" s="497"/>
      <c r="CD483" s="497"/>
      <c r="CE483" s="497"/>
      <c r="CF483" s="497"/>
      <c r="CG483" s="497"/>
      <c r="CH483" s="497"/>
    </row>
    <row r="484" spans="1:86" s="335" customFormat="1">
      <c r="A484" s="517"/>
      <c r="B484" s="517"/>
      <c r="C484" s="517"/>
      <c r="D484" s="517"/>
      <c r="E484" s="517"/>
      <c r="F484" s="517"/>
      <c r="G484" s="517"/>
      <c r="H484" s="639"/>
      <c r="I484" s="639"/>
      <c r="J484" s="336"/>
      <c r="K484" s="2056"/>
      <c r="L484" s="337"/>
      <c r="N484" s="2057"/>
      <c r="O484" s="337"/>
      <c r="P484" s="337"/>
      <c r="Q484" s="337"/>
      <c r="R484" s="337"/>
      <c r="S484" s="337"/>
      <c r="T484" s="337"/>
      <c r="U484" s="497"/>
      <c r="V484" s="497"/>
      <c r="W484" s="497"/>
      <c r="X484" s="497"/>
      <c r="Y484" s="497"/>
      <c r="Z484" s="497"/>
      <c r="AA484" s="497"/>
      <c r="AB484" s="497"/>
      <c r="AC484" s="497"/>
      <c r="AD484" s="497"/>
      <c r="AE484" s="497"/>
      <c r="AF484" s="497"/>
      <c r="AG484" s="497"/>
      <c r="AH484" s="497"/>
      <c r="AI484" s="497"/>
      <c r="AJ484" s="497"/>
      <c r="AK484" s="497"/>
      <c r="AL484" s="497"/>
      <c r="AM484" s="497"/>
      <c r="AN484" s="497"/>
      <c r="AO484" s="497"/>
      <c r="AP484" s="497"/>
      <c r="AQ484" s="497"/>
      <c r="AR484" s="497"/>
      <c r="AS484" s="497"/>
      <c r="AT484" s="497"/>
      <c r="AU484" s="497"/>
      <c r="AV484" s="497"/>
      <c r="AW484" s="497"/>
      <c r="AX484" s="497"/>
      <c r="AY484" s="497"/>
      <c r="AZ484" s="497"/>
      <c r="BA484" s="497"/>
      <c r="BB484" s="497"/>
      <c r="BC484" s="497"/>
      <c r="BD484" s="497"/>
      <c r="BE484" s="497"/>
      <c r="BF484" s="497"/>
      <c r="BG484" s="497"/>
      <c r="BH484" s="497"/>
      <c r="BI484" s="497"/>
      <c r="BJ484" s="497"/>
      <c r="BK484" s="497"/>
      <c r="BL484" s="497"/>
      <c r="BM484" s="497"/>
      <c r="BN484" s="497"/>
      <c r="BO484" s="497"/>
      <c r="BP484" s="497"/>
      <c r="BQ484" s="497"/>
      <c r="BR484" s="497"/>
      <c r="BS484" s="497"/>
      <c r="BT484" s="497"/>
      <c r="BU484" s="497"/>
      <c r="BV484" s="497"/>
      <c r="BW484" s="497"/>
      <c r="BX484" s="497"/>
      <c r="BY484" s="497"/>
      <c r="BZ484" s="497"/>
      <c r="CA484" s="497"/>
      <c r="CB484" s="497"/>
      <c r="CC484" s="497"/>
      <c r="CD484" s="497"/>
      <c r="CE484" s="497"/>
      <c r="CF484" s="497"/>
      <c r="CG484" s="497"/>
      <c r="CH484" s="497"/>
    </row>
    <row r="485" spans="1:86" s="335" customFormat="1">
      <c r="A485" s="517"/>
      <c r="B485" s="517"/>
      <c r="C485" s="517"/>
      <c r="D485" s="517"/>
      <c r="E485" s="517"/>
      <c r="F485" s="517"/>
      <c r="G485" s="517"/>
      <c r="H485" s="639"/>
      <c r="I485" s="639"/>
      <c r="J485" s="336"/>
      <c r="K485" s="2056"/>
      <c r="L485" s="337"/>
      <c r="N485" s="2057"/>
      <c r="O485" s="337"/>
      <c r="P485" s="337"/>
      <c r="Q485" s="337"/>
      <c r="R485" s="337"/>
      <c r="S485" s="337"/>
      <c r="T485" s="337"/>
      <c r="U485" s="497"/>
      <c r="V485" s="497"/>
      <c r="W485" s="497"/>
      <c r="X485" s="497"/>
      <c r="Y485" s="497"/>
      <c r="Z485" s="497"/>
      <c r="AA485" s="497"/>
      <c r="AB485" s="497"/>
      <c r="AC485" s="497"/>
      <c r="AD485" s="497"/>
      <c r="AE485" s="497"/>
      <c r="AF485" s="497"/>
      <c r="AG485" s="497"/>
      <c r="AH485" s="497"/>
      <c r="AI485" s="497"/>
      <c r="AJ485" s="497"/>
      <c r="AK485" s="497"/>
      <c r="AL485" s="497"/>
      <c r="AM485" s="497"/>
      <c r="AN485" s="497"/>
      <c r="AO485" s="497"/>
      <c r="AP485" s="497"/>
      <c r="AQ485" s="497"/>
      <c r="AR485" s="497"/>
      <c r="AS485" s="497"/>
      <c r="AT485" s="497"/>
      <c r="AU485" s="497"/>
      <c r="AV485" s="497"/>
      <c r="AW485" s="497"/>
      <c r="AX485" s="497"/>
      <c r="AY485" s="497"/>
      <c r="AZ485" s="497"/>
      <c r="BA485" s="497"/>
      <c r="BB485" s="497"/>
      <c r="BC485" s="497"/>
      <c r="BD485" s="497"/>
      <c r="BE485" s="497"/>
      <c r="BF485" s="497"/>
      <c r="BG485" s="497"/>
      <c r="BH485" s="497"/>
      <c r="BI485" s="497"/>
      <c r="BJ485" s="497"/>
      <c r="BK485" s="497"/>
      <c r="BL485" s="497"/>
      <c r="BM485" s="497"/>
      <c r="BN485" s="497"/>
      <c r="BO485" s="497"/>
      <c r="BP485" s="497"/>
      <c r="BQ485" s="497"/>
      <c r="BR485" s="497"/>
      <c r="BS485" s="497"/>
      <c r="BT485" s="497"/>
      <c r="BU485" s="497"/>
      <c r="BV485" s="497"/>
      <c r="BW485" s="497"/>
      <c r="BX485" s="497"/>
      <c r="BY485" s="497"/>
      <c r="BZ485" s="497"/>
      <c r="CA485" s="497"/>
      <c r="CB485" s="497"/>
      <c r="CC485" s="497"/>
      <c r="CD485" s="497"/>
      <c r="CE485" s="497"/>
      <c r="CF485" s="497"/>
      <c r="CG485" s="497"/>
      <c r="CH485" s="497"/>
    </row>
    <row r="486" spans="1:86" s="335" customFormat="1">
      <c r="A486" s="517"/>
      <c r="B486" s="517"/>
      <c r="C486" s="517"/>
      <c r="D486" s="517"/>
      <c r="E486" s="517"/>
      <c r="F486" s="517"/>
      <c r="G486" s="517"/>
      <c r="H486" s="639"/>
      <c r="I486" s="639"/>
      <c r="J486" s="336"/>
      <c r="K486" s="2056"/>
      <c r="L486" s="337"/>
      <c r="N486" s="2057"/>
      <c r="O486" s="337"/>
      <c r="P486" s="337"/>
      <c r="Q486" s="337"/>
      <c r="R486" s="337"/>
      <c r="S486" s="337"/>
      <c r="T486" s="337"/>
      <c r="U486" s="497"/>
      <c r="V486" s="497"/>
      <c r="W486" s="497"/>
      <c r="X486" s="497"/>
      <c r="Y486" s="497"/>
      <c r="Z486" s="497"/>
      <c r="AA486" s="497"/>
      <c r="AB486" s="497"/>
      <c r="AC486" s="497"/>
      <c r="AD486" s="497"/>
      <c r="AE486" s="497"/>
      <c r="AF486" s="497"/>
      <c r="AG486" s="497"/>
      <c r="AH486" s="497"/>
      <c r="AI486" s="497"/>
      <c r="AJ486" s="497"/>
      <c r="AK486" s="497"/>
      <c r="AL486" s="497"/>
      <c r="AM486" s="497"/>
      <c r="AN486" s="497"/>
      <c r="AO486" s="497"/>
      <c r="AP486" s="497"/>
      <c r="AQ486" s="497"/>
      <c r="AR486" s="497"/>
      <c r="AS486" s="497"/>
      <c r="AT486" s="497"/>
      <c r="AU486" s="497"/>
      <c r="AV486" s="497"/>
      <c r="AW486" s="497"/>
      <c r="AX486" s="497"/>
      <c r="AY486" s="497"/>
      <c r="AZ486" s="497"/>
      <c r="BA486" s="497"/>
      <c r="BB486" s="497"/>
      <c r="BC486" s="497"/>
      <c r="BD486" s="497"/>
      <c r="BE486" s="497"/>
      <c r="BF486" s="497"/>
      <c r="BG486" s="497"/>
      <c r="BH486" s="497"/>
      <c r="BI486" s="497"/>
      <c r="BJ486" s="497"/>
      <c r="BK486" s="497"/>
      <c r="BL486" s="497"/>
      <c r="BM486" s="497"/>
      <c r="BN486" s="497"/>
      <c r="BO486" s="497"/>
      <c r="BP486" s="497"/>
      <c r="BQ486" s="497"/>
      <c r="BR486" s="497"/>
      <c r="BS486" s="497"/>
      <c r="BT486" s="497"/>
      <c r="BU486" s="497"/>
      <c r="BV486" s="497"/>
      <c r="BW486" s="497"/>
      <c r="BX486" s="497"/>
      <c r="BY486" s="497"/>
      <c r="BZ486" s="497"/>
      <c r="CA486" s="497"/>
      <c r="CB486" s="497"/>
      <c r="CC486" s="497"/>
      <c r="CD486" s="497"/>
      <c r="CE486" s="497"/>
      <c r="CF486" s="497"/>
      <c r="CG486" s="497"/>
      <c r="CH486" s="497"/>
    </row>
    <row r="487" spans="1:86" s="335" customFormat="1">
      <c r="A487" s="517"/>
      <c r="B487" s="517"/>
      <c r="C487" s="517"/>
      <c r="D487" s="517"/>
      <c r="E487" s="517"/>
      <c r="F487" s="517"/>
      <c r="G487" s="517"/>
      <c r="H487" s="639"/>
      <c r="I487" s="639"/>
      <c r="J487" s="336"/>
      <c r="K487" s="2056"/>
      <c r="L487" s="337"/>
      <c r="N487" s="2057"/>
      <c r="O487" s="337"/>
      <c r="P487" s="337"/>
      <c r="Q487" s="337"/>
      <c r="R487" s="337"/>
      <c r="S487" s="337"/>
      <c r="T487" s="337"/>
      <c r="U487" s="497"/>
      <c r="V487" s="497"/>
      <c r="W487" s="497"/>
      <c r="X487" s="497"/>
      <c r="Y487" s="497"/>
      <c r="Z487" s="497"/>
      <c r="AA487" s="497"/>
      <c r="AB487" s="497"/>
      <c r="AC487" s="497"/>
      <c r="AD487" s="497"/>
      <c r="AE487" s="497"/>
      <c r="AF487" s="497"/>
      <c r="AG487" s="497"/>
      <c r="AH487" s="497"/>
      <c r="AI487" s="497"/>
      <c r="AJ487" s="497"/>
      <c r="AK487" s="497"/>
      <c r="AL487" s="497"/>
      <c r="AM487" s="497"/>
      <c r="AN487" s="497"/>
      <c r="AO487" s="497"/>
      <c r="AP487" s="497"/>
      <c r="AQ487" s="497"/>
      <c r="AR487" s="497"/>
      <c r="AS487" s="497"/>
      <c r="AT487" s="497"/>
      <c r="AU487" s="497"/>
      <c r="AV487" s="497"/>
      <c r="AW487" s="497"/>
      <c r="AX487" s="497"/>
      <c r="AY487" s="497"/>
      <c r="AZ487" s="497"/>
      <c r="BA487" s="497"/>
      <c r="BB487" s="497"/>
      <c r="BC487" s="497"/>
      <c r="BD487" s="497"/>
      <c r="BE487" s="497"/>
      <c r="BF487" s="497"/>
      <c r="BG487" s="497"/>
      <c r="BH487" s="497"/>
      <c r="BI487" s="497"/>
      <c r="BJ487" s="497"/>
      <c r="BK487" s="497"/>
      <c r="BL487" s="497"/>
      <c r="BM487" s="497"/>
      <c r="BN487" s="497"/>
      <c r="BO487" s="497"/>
      <c r="BP487" s="497"/>
      <c r="BQ487" s="497"/>
      <c r="BR487" s="497"/>
      <c r="BS487" s="497"/>
      <c r="BT487" s="497"/>
      <c r="BU487" s="497"/>
      <c r="BV487" s="497"/>
      <c r="BW487" s="497"/>
      <c r="BX487" s="497"/>
      <c r="BY487" s="497"/>
      <c r="BZ487" s="497"/>
      <c r="CA487" s="497"/>
      <c r="CB487" s="497"/>
      <c r="CC487" s="497"/>
      <c r="CD487" s="497"/>
      <c r="CE487" s="497"/>
      <c r="CF487" s="497"/>
      <c r="CG487" s="497"/>
      <c r="CH487" s="497"/>
    </row>
    <row r="488" spans="1:86" s="335" customFormat="1">
      <c r="A488" s="517"/>
      <c r="B488" s="517"/>
      <c r="C488" s="517"/>
      <c r="D488" s="517"/>
      <c r="E488" s="517"/>
      <c r="F488" s="517"/>
      <c r="G488" s="517"/>
      <c r="H488" s="639"/>
      <c r="I488" s="639"/>
      <c r="J488" s="336"/>
      <c r="K488" s="2056"/>
      <c r="L488" s="337"/>
      <c r="N488" s="2057"/>
      <c r="O488" s="337"/>
      <c r="P488" s="337"/>
      <c r="Q488" s="337"/>
      <c r="R488" s="337"/>
      <c r="S488" s="337"/>
      <c r="T488" s="337"/>
      <c r="U488" s="497"/>
      <c r="V488" s="497"/>
      <c r="W488" s="497"/>
      <c r="X488" s="497"/>
      <c r="Y488" s="497"/>
      <c r="Z488" s="497"/>
      <c r="AA488" s="497"/>
      <c r="AB488" s="497"/>
      <c r="AC488" s="497"/>
      <c r="AD488" s="497"/>
      <c r="AE488" s="497"/>
      <c r="AF488" s="497"/>
      <c r="AG488" s="497"/>
      <c r="AH488" s="497"/>
      <c r="AI488" s="497"/>
      <c r="AJ488" s="497"/>
      <c r="AK488" s="497"/>
      <c r="AL488" s="497"/>
      <c r="AM488" s="497"/>
      <c r="AN488" s="497"/>
      <c r="AO488" s="497"/>
      <c r="AP488" s="497"/>
      <c r="AQ488" s="497"/>
      <c r="AR488" s="497"/>
      <c r="AS488" s="497"/>
      <c r="AT488" s="497"/>
      <c r="AU488" s="497"/>
      <c r="AV488" s="497"/>
      <c r="AW488" s="497"/>
      <c r="AX488" s="497"/>
      <c r="AY488" s="497"/>
      <c r="AZ488" s="497"/>
      <c r="BA488" s="497"/>
      <c r="BB488" s="497"/>
      <c r="BC488" s="497"/>
      <c r="BD488" s="497"/>
      <c r="BE488" s="497"/>
      <c r="BF488" s="497"/>
      <c r="BG488" s="497"/>
      <c r="BH488" s="497"/>
      <c r="BI488" s="497"/>
      <c r="BJ488" s="497"/>
      <c r="BK488" s="497"/>
      <c r="BL488" s="497"/>
      <c r="BM488" s="497"/>
      <c r="BN488" s="497"/>
      <c r="BO488" s="497"/>
      <c r="BP488" s="497"/>
      <c r="BQ488" s="497"/>
      <c r="BR488" s="497"/>
      <c r="BS488" s="497"/>
      <c r="BT488" s="497"/>
      <c r="BU488" s="497"/>
      <c r="BV488" s="497"/>
      <c r="BW488" s="497"/>
      <c r="BX488" s="497"/>
      <c r="BY488" s="497"/>
      <c r="BZ488" s="497"/>
      <c r="CA488" s="497"/>
      <c r="CB488" s="497"/>
      <c r="CC488" s="497"/>
      <c r="CD488" s="497"/>
      <c r="CE488" s="497"/>
      <c r="CF488" s="497"/>
      <c r="CG488" s="497"/>
      <c r="CH488" s="497"/>
    </row>
    <row r="489" spans="1:86" s="335" customFormat="1">
      <c r="A489" s="517"/>
      <c r="B489" s="517"/>
      <c r="C489" s="517"/>
      <c r="D489" s="517"/>
      <c r="E489" s="517"/>
      <c r="F489" s="517"/>
      <c r="G489" s="517"/>
      <c r="H489" s="639"/>
      <c r="I489" s="639"/>
      <c r="J489" s="336"/>
      <c r="K489" s="2056"/>
      <c r="L489" s="337"/>
      <c r="N489" s="2057"/>
      <c r="O489" s="337"/>
      <c r="P489" s="337"/>
      <c r="Q489" s="337"/>
      <c r="R489" s="337"/>
      <c r="S489" s="337"/>
      <c r="T489" s="337"/>
      <c r="U489" s="497"/>
      <c r="V489" s="497"/>
      <c r="W489" s="497"/>
      <c r="X489" s="497"/>
      <c r="Y489" s="497"/>
      <c r="Z489" s="497"/>
      <c r="AA489" s="497"/>
      <c r="AB489" s="497"/>
      <c r="AC489" s="497"/>
      <c r="AD489" s="497"/>
      <c r="AE489" s="497"/>
      <c r="AF489" s="497"/>
      <c r="AG489" s="497"/>
      <c r="AH489" s="497"/>
      <c r="AI489" s="497"/>
      <c r="AJ489" s="497"/>
      <c r="AK489" s="497"/>
      <c r="AL489" s="497"/>
      <c r="AM489" s="497"/>
      <c r="AN489" s="497"/>
      <c r="AO489" s="497"/>
      <c r="AP489" s="497"/>
      <c r="AQ489" s="497"/>
      <c r="AR489" s="497"/>
      <c r="AS489" s="497"/>
      <c r="AT489" s="497"/>
      <c r="AU489" s="497"/>
      <c r="AV489" s="497"/>
      <c r="AW489" s="497"/>
      <c r="AX489" s="497"/>
      <c r="AY489" s="497"/>
      <c r="AZ489" s="497"/>
      <c r="BA489" s="497"/>
      <c r="BB489" s="497"/>
      <c r="BC489" s="497"/>
      <c r="BD489" s="497"/>
      <c r="BE489" s="497"/>
      <c r="BF489" s="497"/>
      <c r="BG489" s="497"/>
      <c r="BH489" s="497"/>
      <c r="BI489" s="497"/>
      <c r="BJ489" s="497"/>
      <c r="BK489" s="497"/>
      <c r="BL489" s="497"/>
      <c r="BM489" s="497"/>
      <c r="BN489" s="497"/>
      <c r="BO489" s="497"/>
      <c r="BP489" s="497"/>
      <c r="BQ489" s="497"/>
      <c r="BR489" s="497"/>
      <c r="BS489" s="497"/>
      <c r="BT489" s="497"/>
      <c r="BU489" s="497"/>
      <c r="BV489" s="497"/>
      <c r="BW489" s="497"/>
      <c r="BX489" s="497"/>
      <c r="BY489" s="497"/>
      <c r="BZ489" s="497"/>
      <c r="CA489" s="497"/>
      <c r="CB489" s="497"/>
      <c r="CC489" s="497"/>
      <c r="CD489" s="497"/>
      <c r="CE489" s="497"/>
      <c r="CF489" s="497"/>
      <c r="CG489" s="497"/>
      <c r="CH489" s="497"/>
    </row>
    <row r="490" spans="1:86" s="335" customFormat="1">
      <c r="A490" s="517"/>
      <c r="B490" s="517"/>
      <c r="C490" s="517"/>
      <c r="D490" s="517"/>
      <c r="E490" s="517"/>
      <c r="F490" s="517"/>
      <c r="G490" s="517"/>
      <c r="H490" s="639"/>
      <c r="I490" s="639"/>
      <c r="J490" s="336"/>
      <c r="K490" s="2056"/>
      <c r="L490" s="337"/>
      <c r="N490" s="2057"/>
      <c r="O490" s="337"/>
      <c r="P490" s="337"/>
      <c r="Q490" s="337"/>
      <c r="R490" s="337"/>
      <c r="S490" s="337"/>
      <c r="T490" s="337"/>
      <c r="U490" s="497"/>
      <c r="V490" s="497"/>
      <c r="W490" s="497"/>
      <c r="X490" s="497"/>
      <c r="Y490" s="497"/>
      <c r="Z490" s="497"/>
      <c r="AA490" s="497"/>
      <c r="AB490" s="497"/>
      <c r="AC490" s="497"/>
      <c r="AD490" s="497"/>
      <c r="AE490" s="497"/>
      <c r="AF490" s="497"/>
      <c r="AG490" s="497"/>
      <c r="AH490" s="497"/>
      <c r="AI490" s="497"/>
      <c r="AJ490" s="497"/>
      <c r="AK490" s="497"/>
      <c r="AL490" s="497"/>
      <c r="AM490" s="497"/>
      <c r="AN490" s="497"/>
      <c r="AO490" s="497"/>
      <c r="AP490" s="497"/>
      <c r="AQ490" s="497"/>
      <c r="AR490" s="497"/>
      <c r="AS490" s="497"/>
      <c r="AT490" s="497"/>
      <c r="AU490" s="497"/>
      <c r="AV490" s="497"/>
      <c r="AW490" s="497"/>
      <c r="AX490" s="497"/>
      <c r="AY490" s="497"/>
      <c r="AZ490" s="497"/>
      <c r="BA490" s="497"/>
      <c r="BB490" s="497"/>
      <c r="BC490" s="497"/>
      <c r="BD490" s="497"/>
      <c r="BE490" s="497"/>
      <c r="BF490" s="497"/>
      <c r="BG490" s="497"/>
      <c r="BH490" s="497"/>
      <c r="BI490" s="497"/>
      <c r="BJ490" s="497"/>
      <c r="BK490" s="497"/>
      <c r="BL490" s="497"/>
      <c r="BM490" s="497"/>
      <c r="BN490" s="497"/>
      <c r="BO490" s="497"/>
      <c r="BP490" s="497"/>
      <c r="BQ490" s="497"/>
      <c r="BR490" s="497"/>
      <c r="BS490" s="497"/>
      <c r="BT490" s="497"/>
      <c r="BU490" s="497"/>
      <c r="BV490" s="497"/>
      <c r="BW490" s="497"/>
      <c r="BX490" s="497"/>
      <c r="BY490" s="497"/>
      <c r="BZ490" s="497"/>
      <c r="CA490" s="497"/>
      <c r="CB490" s="497"/>
      <c r="CC490" s="497"/>
      <c r="CD490" s="497"/>
      <c r="CE490" s="497"/>
      <c r="CF490" s="497"/>
      <c r="CG490" s="497"/>
      <c r="CH490" s="497"/>
    </row>
    <row r="491" spans="1:86" s="335" customFormat="1">
      <c r="A491" s="517"/>
      <c r="B491" s="517"/>
      <c r="C491" s="517"/>
      <c r="D491" s="517"/>
      <c r="E491" s="517"/>
      <c r="F491" s="517"/>
      <c r="G491" s="517"/>
      <c r="H491" s="639"/>
      <c r="I491" s="639"/>
      <c r="J491" s="336"/>
      <c r="K491" s="2056"/>
      <c r="L491" s="337"/>
      <c r="N491" s="2057"/>
      <c r="O491" s="337"/>
      <c r="P491" s="337"/>
      <c r="Q491" s="337"/>
      <c r="R491" s="337"/>
      <c r="S491" s="337"/>
      <c r="T491" s="337"/>
      <c r="U491" s="497"/>
      <c r="V491" s="497"/>
      <c r="W491" s="497"/>
      <c r="X491" s="497"/>
      <c r="Y491" s="497"/>
      <c r="Z491" s="497"/>
      <c r="AA491" s="497"/>
      <c r="AB491" s="497"/>
      <c r="AC491" s="497"/>
      <c r="AD491" s="497"/>
      <c r="AE491" s="497"/>
      <c r="AF491" s="497"/>
      <c r="AG491" s="497"/>
      <c r="AH491" s="497"/>
      <c r="AI491" s="497"/>
      <c r="AJ491" s="497"/>
      <c r="AK491" s="497"/>
      <c r="AL491" s="497"/>
      <c r="AM491" s="497"/>
      <c r="AN491" s="497"/>
      <c r="AO491" s="497"/>
      <c r="AP491" s="497"/>
      <c r="AQ491" s="497"/>
      <c r="AR491" s="497"/>
      <c r="AS491" s="497"/>
      <c r="AT491" s="497"/>
      <c r="AU491" s="497"/>
      <c r="AV491" s="497"/>
      <c r="AW491" s="497"/>
      <c r="AX491" s="497"/>
      <c r="AY491" s="497"/>
      <c r="AZ491" s="497"/>
      <c r="BA491" s="497"/>
      <c r="BB491" s="497"/>
      <c r="BC491" s="497"/>
      <c r="BD491" s="497"/>
      <c r="BE491" s="497"/>
      <c r="BF491" s="497"/>
      <c r="BG491" s="497"/>
      <c r="BH491" s="497"/>
      <c r="BI491" s="497"/>
      <c r="BJ491" s="497"/>
      <c r="BK491" s="497"/>
      <c r="BL491" s="497"/>
      <c r="BM491" s="497"/>
      <c r="BN491" s="497"/>
      <c r="BO491" s="497"/>
      <c r="BP491" s="497"/>
      <c r="BQ491" s="497"/>
      <c r="BR491" s="497"/>
      <c r="BS491" s="497"/>
      <c r="BT491" s="497"/>
      <c r="BU491" s="497"/>
      <c r="BV491" s="497"/>
      <c r="BW491" s="497"/>
      <c r="BX491" s="497"/>
      <c r="BY491" s="497"/>
      <c r="BZ491" s="497"/>
      <c r="CA491" s="497"/>
      <c r="CB491" s="497"/>
      <c r="CC491" s="497"/>
      <c r="CD491" s="497"/>
      <c r="CE491" s="497"/>
      <c r="CF491" s="497"/>
      <c r="CG491" s="497"/>
      <c r="CH491" s="497"/>
    </row>
    <row r="492" spans="1:86" s="335" customFormat="1">
      <c r="A492" s="517"/>
      <c r="B492" s="517"/>
      <c r="C492" s="517"/>
      <c r="D492" s="517"/>
      <c r="E492" s="517"/>
      <c r="F492" s="517"/>
      <c r="G492" s="517"/>
      <c r="H492" s="639"/>
      <c r="I492" s="639"/>
      <c r="J492" s="336"/>
      <c r="K492" s="2056"/>
      <c r="L492" s="337"/>
      <c r="N492" s="2057"/>
      <c r="O492" s="337"/>
      <c r="P492" s="337"/>
      <c r="Q492" s="337"/>
      <c r="R492" s="337"/>
      <c r="S492" s="337"/>
      <c r="T492" s="337"/>
      <c r="U492" s="497"/>
      <c r="V492" s="497"/>
      <c r="W492" s="497"/>
      <c r="X492" s="497"/>
      <c r="Y492" s="497"/>
      <c r="Z492" s="497"/>
      <c r="AA492" s="497"/>
      <c r="AB492" s="497"/>
      <c r="AC492" s="497"/>
      <c r="AD492" s="497"/>
      <c r="AE492" s="497"/>
      <c r="AF492" s="497"/>
      <c r="AG492" s="497"/>
      <c r="AH492" s="497"/>
      <c r="AI492" s="497"/>
      <c r="AJ492" s="497"/>
      <c r="AK492" s="497"/>
      <c r="AL492" s="497"/>
      <c r="AM492" s="497"/>
      <c r="AN492" s="497"/>
      <c r="AO492" s="497"/>
      <c r="AP492" s="497"/>
      <c r="AQ492" s="497"/>
      <c r="AR492" s="497"/>
      <c r="AS492" s="497"/>
      <c r="AT492" s="497"/>
      <c r="AU492" s="497"/>
      <c r="AV492" s="497"/>
      <c r="AW492" s="497"/>
      <c r="AX492" s="497"/>
      <c r="AY492" s="497"/>
      <c r="AZ492" s="497"/>
      <c r="BA492" s="497"/>
      <c r="BB492" s="497"/>
      <c r="BC492" s="497"/>
      <c r="BD492" s="497"/>
      <c r="BE492" s="497"/>
      <c r="BF492" s="497"/>
      <c r="BG492" s="497"/>
      <c r="BH492" s="497"/>
      <c r="BI492" s="497"/>
      <c r="BJ492" s="497"/>
      <c r="BK492" s="497"/>
      <c r="BL492" s="497"/>
      <c r="BM492" s="497"/>
      <c r="BN492" s="497"/>
      <c r="BO492" s="497"/>
      <c r="BP492" s="497"/>
      <c r="BQ492" s="497"/>
      <c r="BR492" s="497"/>
      <c r="BS492" s="497"/>
      <c r="BT492" s="497"/>
      <c r="BU492" s="497"/>
      <c r="BV492" s="497"/>
      <c r="BW492" s="497"/>
      <c r="BX492" s="497"/>
      <c r="BY492" s="497"/>
      <c r="BZ492" s="497"/>
      <c r="CA492" s="497"/>
      <c r="CB492" s="497"/>
      <c r="CC492" s="497"/>
      <c r="CD492" s="497"/>
      <c r="CE492" s="497"/>
      <c r="CF492" s="497"/>
      <c r="CG492" s="497"/>
      <c r="CH492" s="497"/>
    </row>
    <row r="493" spans="1:86" s="335" customFormat="1">
      <c r="A493" s="517"/>
      <c r="B493" s="517"/>
      <c r="C493" s="517"/>
      <c r="D493" s="517"/>
      <c r="E493" s="517"/>
      <c r="F493" s="517"/>
      <c r="G493" s="517"/>
      <c r="H493" s="639"/>
      <c r="I493" s="639"/>
      <c r="J493" s="336"/>
      <c r="K493" s="2056"/>
      <c r="L493" s="337"/>
      <c r="N493" s="2057"/>
      <c r="O493" s="337"/>
      <c r="P493" s="337"/>
      <c r="Q493" s="337"/>
      <c r="R493" s="337"/>
      <c r="S493" s="337"/>
      <c r="T493" s="337"/>
      <c r="U493" s="497"/>
      <c r="V493" s="497"/>
      <c r="W493" s="497"/>
      <c r="X493" s="497"/>
      <c r="Y493" s="497"/>
      <c r="Z493" s="497"/>
      <c r="AA493" s="497"/>
      <c r="AB493" s="497"/>
      <c r="AC493" s="497"/>
      <c r="AD493" s="497"/>
      <c r="AE493" s="497"/>
      <c r="AF493" s="497"/>
      <c r="AG493" s="497"/>
      <c r="AH493" s="497"/>
      <c r="AI493" s="497"/>
      <c r="AJ493" s="497"/>
      <c r="AK493" s="497"/>
      <c r="AL493" s="497"/>
      <c r="AM493" s="497"/>
      <c r="AN493" s="497"/>
      <c r="AO493" s="497"/>
      <c r="AP493" s="497"/>
      <c r="AQ493" s="497"/>
      <c r="AR493" s="497"/>
      <c r="AS493" s="497"/>
      <c r="AT493" s="497"/>
      <c r="AU493" s="497"/>
      <c r="AV493" s="497"/>
      <c r="AW493" s="497"/>
      <c r="AX493" s="497"/>
      <c r="AY493" s="497"/>
      <c r="AZ493" s="497"/>
      <c r="BA493" s="497"/>
      <c r="BB493" s="497"/>
      <c r="BC493" s="497"/>
      <c r="BD493" s="497"/>
      <c r="BE493" s="497"/>
      <c r="BF493" s="497"/>
      <c r="BG493" s="497"/>
      <c r="BH493" s="497"/>
      <c r="BI493" s="497"/>
      <c r="BJ493" s="497"/>
      <c r="BK493" s="497"/>
      <c r="BL493" s="497"/>
      <c r="BM493" s="497"/>
      <c r="BN493" s="497"/>
      <c r="BO493" s="497"/>
      <c r="BP493" s="497"/>
      <c r="BQ493" s="497"/>
      <c r="BR493" s="497"/>
      <c r="BS493" s="497"/>
      <c r="BT493" s="497"/>
      <c r="BU493" s="497"/>
      <c r="BV493" s="497"/>
      <c r="BW493" s="497"/>
      <c r="BX493" s="497"/>
      <c r="BY493" s="497"/>
      <c r="BZ493" s="497"/>
      <c r="CA493" s="497"/>
      <c r="CB493" s="497"/>
      <c r="CC493" s="497"/>
      <c r="CD493" s="497"/>
      <c r="CE493" s="497"/>
      <c r="CF493" s="497"/>
      <c r="CG493" s="497"/>
      <c r="CH493" s="497"/>
    </row>
    <row r="494" spans="1:86" s="335" customFormat="1">
      <c r="A494" s="517"/>
      <c r="B494" s="517"/>
      <c r="C494" s="517"/>
      <c r="D494" s="517"/>
      <c r="E494" s="517"/>
      <c r="F494" s="517"/>
      <c r="G494" s="517"/>
      <c r="H494" s="639"/>
      <c r="I494" s="639"/>
      <c r="J494" s="336"/>
      <c r="K494" s="2056"/>
      <c r="L494" s="337"/>
      <c r="N494" s="2057"/>
      <c r="O494" s="337"/>
      <c r="P494" s="337"/>
      <c r="Q494" s="337"/>
      <c r="R494" s="337"/>
      <c r="S494" s="337"/>
      <c r="T494" s="337"/>
      <c r="U494" s="497"/>
      <c r="V494" s="497"/>
      <c r="W494" s="497"/>
      <c r="X494" s="497"/>
      <c r="Y494" s="497"/>
      <c r="Z494" s="497"/>
      <c r="AA494" s="497"/>
      <c r="AB494" s="497"/>
      <c r="AC494" s="497"/>
      <c r="AD494" s="497"/>
      <c r="AE494" s="497"/>
      <c r="AF494" s="497"/>
      <c r="AG494" s="497"/>
      <c r="AH494" s="497"/>
      <c r="AI494" s="497"/>
      <c r="AJ494" s="497"/>
      <c r="AK494" s="497"/>
      <c r="AL494" s="497"/>
      <c r="AM494" s="497"/>
      <c r="AN494" s="497"/>
      <c r="AO494" s="497"/>
      <c r="AP494" s="497"/>
      <c r="AQ494" s="497"/>
      <c r="AR494" s="497"/>
      <c r="AS494" s="497"/>
      <c r="AT494" s="497"/>
      <c r="AU494" s="497"/>
      <c r="AV494" s="497"/>
      <c r="AW494" s="497"/>
      <c r="AX494" s="497"/>
      <c r="AY494" s="497"/>
      <c r="AZ494" s="497"/>
      <c r="BA494" s="497"/>
      <c r="BB494" s="497"/>
      <c r="BC494" s="497"/>
      <c r="BD494" s="497"/>
      <c r="BE494" s="497"/>
      <c r="BF494" s="497"/>
      <c r="BG494" s="497"/>
      <c r="BH494" s="497"/>
      <c r="BI494" s="497"/>
      <c r="BJ494" s="497"/>
      <c r="BK494" s="497"/>
      <c r="BL494" s="497"/>
      <c r="BM494" s="497"/>
      <c r="BN494" s="497"/>
      <c r="BO494" s="497"/>
      <c r="BP494" s="497"/>
      <c r="BQ494" s="497"/>
      <c r="BR494" s="497"/>
      <c r="BS494" s="497"/>
      <c r="BT494" s="497"/>
      <c r="BU494" s="497"/>
      <c r="BV494" s="497"/>
      <c r="BW494" s="497"/>
      <c r="BX494" s="497"/>
      <c r="BY494" s="497"/>
      <c r="BZ494" s="497"/>
      <c r="CA494" s="497"/>
      <c r="CB494" s="497"/>
      <c r="CC494" s="497"/>
      <c r="CD494" s="497"/>
      <c r="CE494" s="497"/>
      <c r="CF494" s="497"/>
      <c r="CG494" s="497"/>
      <c r="CH494" s="497"/>
    </row>
    <row r="495" spans="1:86" s="335" customFormat="1">
      <c r="A495" s="517"/>
      <c r="B495" s="517"/>
      <c r="C495" s="517"/>
      <c r="D495" s="517"/>
      <c r="E495" s="517"/>
      <c r="F495" s="517"/>
      <c r="G495" s="517"/>
      <c r="H495" s="639"/>
      <c r="I495" s="639"/>
      <c r="J495" s="336"/>
      <c r="K495" s="2056"/>
      <c r="L495" s="337"/>
      <c r="N495" s="2057"/>
      <c r="O495" s="337"/>
      <c r="P495" s="337"/>
      <c r="Q495" s="337"/>
      <c r="R495" s="337"/>
      <c r="S495" s="337"/>
      <c r="T495" s="337"/>
      <c r="U495" s="497"/>
      <c r="V495" s="497"/>
      <c r="W495" s="497"/>
      <c r="X495" s="497"/>
      <c r="Y495" s="497"/>
      <c r="Z495" s="497"/>
      <c r="AA495" s="497"/>
      <c r="AB495" s="497"/>
      <c r="AC495" s="497"/>
      <c r="AD495" s="497"/>
      <c r="AE495" s="497"/>
      <c r="AF495" s="497"/>
      <c r="AG495" s="497"/>
      <c r="AH495" s="497"/>
      <c r="AI495" s="497"/>
      <c r="AJ495" s="497"/>
      <c r="AK495" s="497"/>
      <c r="AL495" s="497"/>
      <c r="AM495" s="497"/>
      <c r="AN495" s="497"/>
      <c r="AO495" s="497"/>
      <c r="AP495" s="497"/>
      <c r="AQ495" s="497"/>
      <c r="AR495" s="497"/>
      <c r="AS495" s="497"/>
      <c r="AT495" s="497"/>
      <c r="AU495" s="497"/>
      <c r="AV495" s="497"/>
      <c r="AW495" s="497"/>
      <c r="AX495" s="497"/>
      <c r="AY495" s="497"/>
      <c r="AZ495" s="497"/>
      <c r="BA495" s="497"/>
      <c r="BB495" s="497"/>
      <c r="BC495" s="497"/>
      <c r="BD495" s="497"/>
      <c r="BE495" s="497"/>
      <c r="BF495" s="497"/>
      <c r="BG495" s="497"/>
      <c r="BH495" s="497"/>
      <c r="BI495" s="497"/>
      <c r="BJ495" s="497"/>
      <c r="BK495" s="497"/>
      <c r="BL495" s="497"/>
      <c r="BM495" s="497"/>
      <c r="BN495" s="497"/>
      <c r="BO495" s="497"/>
      <c r="BP495" s="497"/>
      <c r="BQ495" s="497"/>
      <c r="BR495" s="497"/>
      <c r="BS495" s="497"/>
      <c r="BT495" s="497"/>
      <c r="BU495" s="497"/>
      <c r="BV495" s="497"/>
      <c r="BW495" s="497"/>
      <c r="BX495" s="497"/>
      <c r="BY495" s="497"/>
      <c r="BZ495" s="497"/>
      <c r="CA495" s="497"/>
      <c r="CB495" s="497"/>
      <c r="CC495" s="497"/>
      <c r="CD495" s="497"/>
      <c r="CE495" s="497"/>
      <c r="CF495" s="497"/>
      <c r="CG495" s="497"/>
      <c r="CH495" s="497"/>
    </row>
    <row r="496" spans="1:86" s="335" customFormat="1">
      <c r="A496" s="517"/>
      <c r="B496" s="517"/>
      <c r="C496" s="517"/>
      <c r="D496" s="517"/>
      <c r="E496" s="517"/>
      <c r="F496" s="517"/>
      <c r="G496" s="517"/>
      <c r="H496" s="639"/>
      <c r="I496" s="639"/>
      <c r="J496" s="336"/>
      <c r="K496" s="2056"/>
      <c r="L496" s="337"/>
      <c r="N496" s="2057"/>
      <c r="O496" s="337"/>
      <c r="P496" s="337"/>
      <c r="Q496" s="337"/>
      <c r="R496" s="337"/>
      <c r="S496" s="337"/>
      <c r="T496" s="337"/>
      <c r="U496" s="497"/>
      <c r="V496" s="497"/>
      <c r="W496" s="497"/>
      <c r="X496" s="497"/>
      <c r="Y496" s="497"/>
      <c r="Z496" s="497"/>
      <c r="AA496" s="497"/>
      <c r="AB496" s="497"/>
      <c r="AC496" s="497"/>
      <c r="AD496" s="497"/>
      <c r="AE496" s="497"/>
      <c r="AF496" s="497"/>
      <c r="AG496" s="497"/>
      <c r="AH496" s="497"/>
      <c r="AI496" s="497"/>
      <c r="AJ496" s="497"/>
      <c r="AK496" s="497"/>
      <c r="AL496" s="497"/>
      <c r="AM496" s="497"/>
      <c r="AN496" s="497"/>
      <c r="AO496" s="497"/>
      <c r="AP496" s="497"/>
      <c r="AQ496" s="497"/>
      <c r="AR496" s="497"/>
      <c r="AS496" s="497"/>
      <c r="AT496" s="497"/>
      <c r="AU496" s="497"/>
      <c r="AV496" s="497"/>
      <c r="AW496" s="497"/>
      <c r="AX496" s="497"/>
      <c r="AY496" s="497"/>
      <c r="AZ496" s="497"/>
      <c r="BA496" s="497"/>
      <c r="BB496" s="497"/>
      <c r="BC496" s="497"/>
      <c r="BD496" s="497"/>
      <c r="BE496" s="497"/>
      <c r="BF496" s="497"/>
      <c r="BG496" s="497"/>
      <c r="BH496" s="497"/>
      <c r="BI496" s="497"/>
      <c r="BJ496" s="497"/>
      <c r="BK496" s="497"/>
      <c r="BL496" s="497"/>
      <c r="BM496" s="497"/>
      <c r="BN496" s="497"/>
      <c r="BO496" s="497"/>
      <c r="BP496" s="497"/>
      <c r="BQ496" s="497"/>
      <c r="BR496" s="497"/>
      <c r="BS496" s="497"/>
      <c r="BT496" s="497"/>
      <c r="BU496" s="497"/>
      <c r="BV496" s="497"/>
      <c r="BW496" s="497"/>
      <c r="BX496" s="497"/>
      <c r="BY496" s="497"/>
      <c r="BZ496" s="497"/>
      <c r="CA496" s="497"/>
      <c r="CB496" s="497"/>
      <c r="CC496" s="497"/>
      <c r="CD496" s="497"/>
      <c r="CE496" s="497"/>
      <c r="CF496" s="497"/>
      <c r="CG496" s="497"/>
      <c r="CH496" s="497"/>
    </row>
    <row r="497" spans="1:86" s="335" customFormat="1">
      <c r="A497" s="517"/>
      <c r="B497" s="517"/>
      <c r="C497" s="517"/>
      <c r="D497" s="517"/>
      <c r="E497" s="517"/>
      <c r="F497" s="517"/>
      <c r="G497" s="517"/>
      <c r="H497" s="639"/>
      <c r="I497" s="639"/>
      <c r="J497" s="336"/>
      <c r="K497" s="2056"/>
      <c r="L497" s="337"/>
      <c r="N497" s="2057"/>
      <c r="O497" s="337"/>
      <c r="P497" s="337"/>
      <c r="Q497" s="337"/>
      <c r="R497" s="337"/>
      <c r="S497" s="337"/>
      <c r="T497" s="337"/>
      <c r="U497" s="497"/>
      <c r="V497" s="497"/>
      <c r="W497" s="497"/>
      <c r="X497" s="497"/>
      <c r="Y497" s="497"/>
      <c r="Z497" s="497"/>
      <c r="AA497" s="497"/>
      <c r="AB497" s="497"/>
      <c r="AC497" s="497"/>
      <c r="AD497" s="497"/>
      <c r="AE497" s="497"/>
      <c r="AF497" s="497"/>
      <c r="AG497" s="497"/>
      <c r="AH497" s="497"/>
      <c r="AI497" s="497"/>
      <c r="AJ497" s="497"/>
      <c r="AK497" s="497"/>
      <c r="AL497" s="497"/>
      <c r="AM497" s="497"/>
      <c r="AN497" s="497"/>
      <c r="AO497" s="497"/>
      <c r="AP497" s="497"/>
      <c r="AQ497" s="497"/>
      <c r="AR497" s="497"/>
      <c r="AS497" s="497"/>
      <c r="AT497" s="497"/>
      <c r="AU497" s="497"/>
      <c r="AV497" s="497"/>
      <c r="AW497" s="497"/>
      <c r="AX497" s="497"/>
      <c r="AY497" s="497"/>
      <c r="AZ497" s="497"/>
      <c r="BA497" s="497"/>
      <c r="BB497" s="497"/>
      <c r="BC497" s="497"/>
      <c r="BD497" s="497"/>
      <c r="BE497" s="497"/>
      <c r="BF497" s="497"/>
      <c r="BG497" s="497"/>
      <c r="BH497" s="497"/>
      <c r="BI497" s="497"/>
      <c r="BJ497" s="497"/>
      <c r="BK497" s="497"/>
      <c r="BL497" s="497"/>
      <c r="BM497" s="497"/>
      <c r="BN497" s="497"/>
      <c r="BO497" s="497"/>
      <c r="BP497" s="497"/>
      <c r="BQ497" s="497"/>
      <c r="BR497" s="497"/>
      <c r="BS497" s="497"/>
      <c r="BT497" s="497"/>
      <c r="BU497" s="497"/>
      <c r="BV497" s="497"/>
      <c r="BW497" s="497"/>
      <c r="BX497" s="497"/>
      <c r="BY497" s="497"/>
      <c r="BZ497" s="497"/>
      <c r="CA497" s="497"/>
      <c r="CB497" s="497"/>
      <c r="CC497" s="497"/>
      <c r="CD497" s="497"/>
      <c r="CE497" s="497"/>
      <c r="CF497" s="497"/>
      <c r="CG497" s="497"/>
      <c r="CH497" s="497"/>
    </row>
    <row r="498" spans="1:86" s="335" customFormat="1">
      <c r="A498" s="517"/>
      <c r="B498" s="517"/>
      <c r="C498" s="517"/>
      <c r="D498" s="517"/>
      <c r="E498" s="517"/>
      <c r="F498" s="517"/>
      <c r="G498" s="517"/>
      <c r="H498" s="639"/>
      <c r="I498" s="639"/>
      <c r="J498" s="336"/>
      <c r="K498" s="2056"/>
      <c r="L498" s="337"/>
      <c r="N498" s="2057"/>
      <c r="O498" s="337"/>
      <c r="P498" s="337"/>
      <c r="Q498" s="337"/>
      <c r="R498" s="337"/>
      <c r="S498" s="337"/>
      <c r="T498" s="337"/>
      <c r="U498" s="497"/>
      <c r="V498" s="497"/>
      <c r="W498" s="497"/>
      <c r="X498" s="497"/>
      <c r="Y498" s="497"/>
      <c r="Z498" s="497"/>
      <c r="AA498" s="497"/>
      <c r="AB498" s="497"/>
      <c r="AC498" s="497"/>
      <c r="AD498" s="497"/>
      <c r="AE498" s="497"/>
      <c r="AF498" s="497"/>
      <c r="AG498" s="497"/>
      <c r="AH498" s="497"/>
      <c r="AI498" s="497"/>
      <c r="AJ498" s="497"/>
      <c r="AK498" s="497"/>
      <c r="AL498" s="497"/>
      <c r="AM498" s="497"/>
      <c r="AN498" s="497"/>
      <c r="AO498" s="497"/>
      <c r="AP498" s="497"/>
      <c r="AQ498" s="497"/>
      <c r="AR498" s="497"/>
      <c r="AS498" s="497"/>
      <c r="AT498" s="497"/>
      <c r="AU498" s="497"/>
      <c r="AV498" s="497"/>
      <c r="AW498" s="497"/>
      <c r="AX498" s="497"/>
      <c r="AY498" s="497"/>
      <c r="AZ498" s="497"/>
      <c r="BA498" s="497"/>
      <c r="BB498" s="497"/>
      <c r="BC498" s="497"/>
      <c r="BD498" s="497"/>
      <c r="BE498" s="497"/>
      <c r="BF498" s="497"/>
      <c r="BG498" s="497"/>
      <c r="BH498" s="497"/>
      <c r="BI498" s="497"/>
      <c r="BJ498" s="497"/>
      <c r="BK498" s="497"/>
      <c r="BL498" s="497"/>
      <c r="BM498" s="497"/>
      <c r="BN498" s="497"/>
      <c r="BO498" s="497"/>
      <c r="BP498" s="497"/>
      <c r="BQ498" s="497"/>
      <c r="BR498" s="497"/>
      <c r="BS498" s="497"/>
      <c r="BT498" s="497"/>
      <c r="BU498" s="497"/>
      <c r="BV498" s="497"/>
      <c r="BW498" s="497"/>
      <c r="BX498" s="497"/>
      <c r="BY498" s="497"/>
      <c r="BZ498" s="497"/>
      <c r="CA498" s="497"/>
      <c r="CB498" s="497"/>
      <c r="CC498" s="497"/>
      <c r="CD498" s="497"/>
      <c r="CE498" s="497"/>
      <c r="CF498" s="497"/>
      <c r="CG498" s="497"/>
      <c r="CH498" s="497"/>
    </row>
    <row r="499" spans="1:86" s="335" customFormat="1">
      <c r="A499" s="517"/>
      <c r="B499" s="517"/>
      <c r="C499" s="517"/>
      <c r="D499" s="517"/>
      <c r="E499" s="517"/>
      <c r="F499" s="517"/>
      <c r="G499" s="517"/>
      <c r="H499" s="639"/>
      <c r="I499" s="639"/>
      <c r="J499" s="336"/>
      <c r="K499" s="2056"/>
      <c r="L499" s="337"/>
      <c r="N499" s="2057"/>
      <c r="O499" s="337"/>
      <c r="P499" s="337"/>
      <c r="Q499" s="337"/>
      <c r="R499" s="337"/>
      <c r="S499" s="337"/>
      <c r="T499" s="337"/>
      <c r="U499" s="497"/>
      <c r="V499" s="497"/>
      <c r="W499" s="497"/>
      <c r="X499" s="497"/>
      <c r="Y499" s="497"/>
      <c r="Z499" s="497"/>
      <c r="AA499" s="497"/>
      <c r="AB499" s="497"/>
      <c r="AC499" s="497"/>
      <c r="AD499" s="497"/>
      <c r="AE499" s="497"/>
      <c r="AF499" s="497"/>
      <c r="AG499" s="497"/>
      <c r="AH499" s="497"/>
      <c r="AI499" s="497"/>
      <c r="AJ499" s="497"/>
      <c r="AK499" s="497"/>
      <c r="AL499" s="497"/>
      <c r="AM499" s="497"/>
      <c r="AN499" s="497"/>
      <c r="AO499" s="497"/>
      <c r="AP499" s="497"/>
      <c r="AQ499" s="497"/>
      <c r="AR499" s="497"/>
      <c r="AS499" s="497"/>
      <c r="AT499" s="497"/>
      <c r="AU499" s="497"/>
      <c r="AV499" s="497"/>
      <c r="AW499" s="497"/>
      <c r="AX499" s="497"/>
      <c r="AY499" s="497"/>
      <c r="AZ499" s="497"/>
      <c r="BA499" s="497"/>
      <c r="BB499" s="497"/>
      <c r="BC499" s="497"/>
      <c r="BD499" s="497"/>
      <c r="BE499" s="497"/>
      <c r="BF499" s="497"/>
      <c r="BG499" s="497"/>
      <c r="BH499" s="497"/>
      <c r="BI499" s="497"/>
      <c r="BJ499" s="497"/>
      <c r="BK499" s="497"/>
      <c r="BL499" s="497"/>
      <c r="BM499" s="497"/>
      <c r="BN499" s="497"/>
      <c r="BO499" s="497"/>
      <c r="BP499" s="497"/>
      <c r="BQ499" s="497"/>
      <c r="BR499" s="497"/>
      <c r="BS499" s="497"/>
      <c r="BT499" s="497"/>
      <c r="BU499" s="497"/>
      <c r="BV499" s="497"/>
      <c r="BW499" s="497"/>
      <c r="BX499" s="497"/>
      <c r="BY499" s="497"/>
      <c r="BZ499" s="497"/>
      <c r="CA499" s="497"/>
      <c r="CB499" s="497"/>
      <c r="CC499" s="497"/>
      <c r="CD499" s="497"/>
      <c r="CE499" s="497"/>
      <c r="CF499" s="497"/>
      <c r="CG499" s="497"/>
      <c r="CH499" s="497"/>
    </row>
    <row r="500" spans="1:86" s="335" customFormat="1">
      <c r="A500" s="517"/>
      <c r="B500" s="517"/>
      <c r="C500" s="517"/>
      <c r="D500" s="517"/>
      <c r="E500" s="517"/>
      <c r="F500" s="517"/>
      <c r="G500" s="517"/>
      <c r="H500" s="639"/>
      <c r="I500" s="639"/>
      <c r="J500" s="336"/>
      <c r="K500" s="2056"/>
      <c r="L500" s="337"/>
      <c r="N500" s="2057"/>
      <c r="O500" s="337"/>
      <c r="P500" s="337"/>
      <c r="Q500" s="337"/>
      <c r="R500" s="337"/>
      <c r="S500" s="337"/>
      <c r="T500" s="337"/>
      <c r="U500" s="497"/>
      <c r="V500" s="497"/>
      <c r="W500" s="497"/>
      <c r="X500" s="497"/>
      <c r="Y500" s="497"/>
      <c r="Z500" s="497"/>
      <c r="AA500" s="497"/>
      <c r="AB500" s="497"/>
      <c r="AC500" s="497"/>
      <c r="AD500" s="497"/>
      <c r="AE500" s="497"/>
      <c r="AF500" s="497"/>
      <c r="AG500" s="497"/>
      <c r="AH500" s="497"/>
      <c r="AI500" s="497"/>
      <c r="AJ500" s="497"/>
      <c r="AK500" s="497"/>
      <c r="AL500" s="497"/>
      <c r="AM500" s="497"/>
      <c r="AN500" s="497"/>
      <c r="AO500" s="497"/>
      <c r="AP500" s="497"/>
      <c r="AQ500" s="497"/>
      <c r="AR500" s="497"/>
      <c r="AS500" s="497"/>
      <c r="AT500" s="497"/>
      <c r="AU500" s="497"/>
      <c r="AV500" s="497"/>
      <c r="AW500" s="497"/>
      <c r="AX500" s="497"/>
      <c r="AY500" s="497"/>
      <c r="AZ500" s="497"/>
      <c r="BA500" s="497"/>
      <c r="BB500" s="497"/>
      <c r="BC500" s="497"/>
      <c r="BD500" s="497"/>
      <c r="BE500" s="497"/>
      <c r="BF500" s="497"/>
      <c r="BG500" s="497"/>
      <c r="BH500" s="497"/>
      <c r="BI500" s="497"/>
      <c r="BJ500" s="497"/>
      <c r="BK500" s="497"/>
      <c r="BL500" s="497"/>
      <c r="BM500" s="497"/>
      <c r="BN500" s="497"/>
      <c r="BO500" s="497"/>
      <c r="BP500" s="497"/>
      <c r="BQ500" s="497"/>
      <c r="BR500" s="497"/>
      <c r="BS500" s="497"/>
      <c r="BT500" s="497"/>
      <c r="BU500" s="497"/>
      <c r="BV500" s="497"/>
      <c r="BW500" s="497"/>
      <c r="BX500" s="497"/>
      <c r="BY500" s="497"/>
      <c r="BZ500" s="497"/>
      <c r="CA500" s="497"/>
      <c r="CB500" s="497"/>
      <c r="CC500" s="497"/>
      <c r="CD500" s="497"/>
      <c r="CE500" s="497"/>
      <c r="CF500" s="497"/>
      <c r="CG500" s="497"/>
      <c r="CH500" s="497"/>
    </row>
    <row r="501" spans="1:86" s="335" customFormat="1">
      <c r="A501" s="517"/>
      <c r="B501" s="517"/>
      <c r="C501" s="517"/>
      <c r="D501" s="517"/>
      <c r="E501" s="517"/>
      <c r="F501" s="517"/>
      <c r="G501" s="517"/>
      <c r="H501" s="639"/>
      <c r="I501" s="639"/>
      <c r="J501" s="336"/>
      <c r="K501" s="2056"/>
      <c r="L501" s="337"/>
      <c r="N501" s="2057"/>
      <c r="O501" s="337"/>
      <c r="P501" s="337"/>
      <c r="Q501" s="337"/>
      <c r="R501" s="337"/>
      <c r="S501" s="337"/>
      <c r="T501" s="337"/>
      <c r="U501" s="497"/>
      <c r="V501" s="497"/>
      <c r="W501" s="497"/>
      <c r="X501" s="497"/>
      <c r="Y501" s="497"/>
      <c r="Z501" s="497"/>
      <c r="AA501" s="497"/>
      <c r="AB501" s="497"/>
      <c r="AC501" s="497"/>
      <c r="AD501" s="497"/>
      <c r="AE501" s="497"/>
      <c r="AF501" s="497"/>
      <c r="AG501" s="497"/>
      <c r="AH501" s="497"/>
      <c r="AI501" s="497"/>
      <c r="AJ501" s="497"/>
      <c r="AK501" s="497"/>
      <c r="AL501" s="497"/>
      <c r="AM501" s="497"/>
      <c r="AN501" s="497"/>
      <c r="AO501" s="497"/>
      <c r="AP501" s="497"/>
      <c r="AQ501" s="497"/>
      <c r="AR501" s="497"/>
      <c r="AS501" s="497"/>
      <c r="AT501" s="497"/>
      <c r="AU501" s="497"/>
      <c r="AV501" s="497"/>
      <c r="AW501" s="497"/>
      <c r="AX501" s="497"/>
      <c r="AY501" s="497"/>
      <c r="AZ501" s="497"/>
      <c r="BA501" s="497"/>
      <c r="BB501" s="497"/>
      <c r="BC501" s="497"/>
      <c r="BD501" s="497"/>
      <c r="BE501" s="497"/>
      <c r="BF501" s="497"/>
      <c r="BG501" s="497"/>
      <c r="BH501" s="497"/>
      <c r="BI501" s="497"/>
      <c r="BJ501" s="497"/>
      <c r="BK501" s="497"/>
      <c r="BL501" s="497"/>
      <c r="BM501" s="497"/>
      <c r="BN501" s="497"/>
      <c r="BO501" s="497"/>
      <c r="BP501" s="497"/>
      <c r="BQ501" s="497"/>
      <c r="BR501" s="497"/>
      <c r="BS501" s="497"/>
      <c r="BT501" s="497"/>
      <c r="BU501" s="497"/>
      <c r="BV501" s="497"/>
      <c r="BW501" s="497"/>
      <c r="BX501" s="497"/>
      <c r="BY501" s="497"/>
      <c r="BZ501" s="497"/>
      <c r="CA501" s="497"/>
      <c r="CB501" s="497"/>
      <c r="CC501" s="497"/>
      <c r="CD501" s="497"/>
      <c r="CE501" s="497"/>
      <c r="CF501" s="497"/>
      <c r="CG501" s="497"/>
      <c r="CH501" s="497"/>
    </row>
    <row r="502" spans="1:86" s="335" customFormat="1">
      <c r="A502" s="517"/>
      <c r="B502" s="517"/>
      <c r="C502" s="517"/>
      <c r="D502" s="517"/>
      <c r="E502" s="517"/>
      <c r="F502" s="517"/>
      <c r="G502" s="517"/>
      <c r="H502" s="639"/>
      <c r="I502" s="639"/>
      <c r="J502" s="336"/>
      <c r="K502" s="2056"/>
      <c r="L502" s="337"/>
      <c r="N502" s="2057"/>
      <c r="O502" s="337"/>
      <c r="P502" s="337"/>
      <c r="Q502" s="337"/>
      <c r="R502" s="337"/>
      <c r="S502" s="337"/>
      <c r="T502" s="337"/>
      <c r="U502" s="497"/>
      <c r="V502" s="497"/>
      <c r="W502" s="497"/>
      <c r="X502" s="497"/>
      <c r="Y502" s="497"/>
      <c r="Z502" s="497"/>
      <c r="AA502" s="497"/>
      <c r="AB502" s="497"/>
      <c r="AC502" s="497"/>
      <c r="AD502" s="497"/>
      <c r="AE502" s="497"/>
      <c r="AF502" s="497"/>
      <c r="AG502" s="497"/>
      <c r="AH502" s="497"/>
      <c r="AI502" s="497"/>
      <c r="AJ502" s="497"/>
      <c r="AK502" s="497"/>
      <c r="AL502" s="497"/>
      <c r="AM502" s="497"/>
      <c r="AN502" s="497"/>
      <c r="AO502" s="497"/>
      <c r="AP502" s="497"/>
      <c r="AQ502" s="497"/>
      <c r="AR502" s="497"/>
      <c r="AS502" s="497"/>
      <c r="AT502" s="497"/>
      <c r="AU502" s="497"/>
      <c r="AV502" s="497"/>
      <c r="AW502" s="497"/>
      <c r="AX502" s="497"/>
      <c r="AY502" s="497"/>
      <c r="AZ502" s="497"/>
      <c r="BA502" s="497"/>
      <c r="BB502" s="497"/>
      <c r="BC502" s="497"/>
      <c r="BD502" s="497"/>
      <c r="BE502" s="497"/>
      <c r="BF502" s="497"/>
      <c r="BG502" s="497"/>
      <c r="BH502" s="497"/>
      <c r="BI502" s="497"/>
      <c r="BJ502" s="497"/>
      <c r="BK502" s="497"/>
      <c r="BL502" s="497"/>
      <c r="BM502" s="497"/>
      <c r="BN502" s="497"/>
      <c r="BO502" s="497"/>
      <c r="BP502" s="497"/>
      <c r="BQ502" s="497"/>
      <c r="BR502" s="497"/>
      <c r="BS502" s="497"/>
      <c r="BT502" s="497"/>
      <c r="BU502" s="497"/>
      <c r="BV502" s="497"/>
      <c r="BW502" s="497"/>
      <c r="BX502" s="497"/>
      <c r="BY502" s="497"/>
      <c r="BZ502" s="497"/>
      <c r="CA502" s="497"/>
      <c r="CB502" s="497"/>
      <c r="CC502" s="497"/>
      <c r="CD502" s="497"/>
      <c r="CE502" s="497"/>
      <c r="CF502" s="497"/>
      <c r="CG502" s="497"/>
      <c r="CH502" s="497"/>
    </row>
    <row r="503" spans="1:86" s="335" customFormat="1">
      <c r="A503" s="517"/>
      <c r="B503" s="517"/>
      <c r="C503" s="517"/>
      <c r="D503" s="517"/>
      <c r="E503" s="517"/>
      <c r="F503" s="517"/>
      <c r="G503" s="517"/>
      <c r="H503" s="639"/>
      <c r="I503" s="639"/>
      <c r="J503" s="336"/>
      <c r="K503" s="2056"/>
      <c r="L503" s="337"/>
      <c r="N503" s="2057"/>
      <c r="O503" s="337"/>
      <c r="P503" s="337"/>
      <c r="Q503" s="337"/>
      <c r="R503" s="337"/>
      <c r="S503" s="337"/>
      <c r="T503" s="337"/>
      <c r="U503" s="497"/>
      <c r="V503" s="497"/>
      <c r="W503" s="497"/>
      <c r="X503" s="497"/>
      <c r="Y503" s="497"/>
      <c r="Z503" s="497"/>
      <c r="AA503" s="497"/>
      <c r="AB503" s="497"/>
      <c r="AC503" s="497"/>
      <c r="AD503" s="497"/>
      <c r="AE503" s="497"/>
      <c r="AF503" s="497"/>
      <c r="AG503" s="497"/>
      <c r="AH503" s="497"/>
      <c r="AI503" s="497"/>
      <c r="AJ503" s="497"/>
      <c r="AK503" s="497"/>
      <c r="AL503" s="497"/>
      <c r="AM503" s="497"/>
      <c r="AN503" s="497"/>
      <c r="AO503" s="497"/>
      <c r="AP503" s="497"/>
      <c r="AQ503" s="497"/>
      <c r="AR503" s="497"/>
      <c r="AS503" s="497"/>
      <c r="AT503" s="497"/>
      <c r="AU503" s="497"/>
      <c r="AV503" s="497"/>
      <c r="AW503" s="497"/>
      <c r="AX503" s="497"/>
      <c r="AY503" s="497"/>
      <c r="AZ503" s="497"/>
      <c r="BA503" s="497"/>
      <c r="BB503" s="497"/>
      <c r="BC503" s="497"/>
      <c r="BD503" s="497"/>
      <c r="BE503" s="497"/>
      <c r="BF503" s="497"/>
      <c r="BG503" s="497"/>
      <c r="BH503" s="497"/>
      <c r="BI503" s="497"/>
      <c r="BJ503" s="497"/>
      <c r="BK503" s="497"/>
      <c r="BL503" s="497"/>
      <c r="BM503" s="497"/>
      <c r="BN503" s="497"/>
      <c r="BO503" s="497"/>
      <c r="BP503" s="497"/>
      <c r="BQ503" s="497"/>
      <c r="BR503" s="497"/>
      <c r="BS503" s="497"/>
      <c r="BT503" s="497"/>
      <c r="BU503" s="497"/>
      <c r="BV503" s="497"/>
      <c r="BW503" s="497"/>
      <c r="BX503" s="497"/>
      <c r="BY503" s="497"/>
      <c r="BZ503" s="497"/>
      <c r="CA503" s="497"/>
      <c r="CB503" s="497"/>
      <c r="CC503" s="497"/>
      <c r="CD503" s="497"/>
      <c r="CE503" s="497"/>
      <c r="CF503" s="497"/>
      <c r="CG503" s="497"/>
      <c r="CH503" s="497"/>
    </row>
    <row r="504" spans="1:86" s="335" customFormat="1">
      <c r="A504" s="517"/>
      <c r="B504" s="517"/>
      <c r="C504" s="517"/>
      <c r="D504" s="517"/>
      <c r="E504" s="517"/>
      <c r="F504" s="517"/>
      <c r="G504" s="517"/>
      <c r="H504" s="639"/>
      <c r="I504" s="639"/>
      <c r="J504" s="336"/>
      <c r="K504" s="2056"/>
      <c r="L504" s="337"/>
      <c r="N504" s="2057"/>
      <c r="O504" s="337"/>
      <c r="P504" s="337"/>
      <c r="Q504" s="337"/>
      <c r="R504" s="337"/>
      <c r="S504" s="337"/>
      <c r="T504" s="337"/>
      <c r="U504" s="497"/>
      <c r="V504" s="497"/>
      <c r="W504" s="497"/>
      <c r="X504" s="497"/>
      <c r="Y504" s="497"/>
      <c r="Z504" s="497"/>
      <c r="AA504" s="497"/>
      <c r="AB504" s="497"/>
      <c r="AC504" s="497"/>
      <c r="AD504" s="497"/>
      <c r="AE504" s="497"/>
      <c r="AF504" s="497"/>
      <c r="AG504" s="497"/>
      <c r="AH504" s="497"/>
      <c r="AI504" s="497"/>
      <c r="AJ504" s="497"/>
      <c r="AK504" s="497"/>
      <c r="AL504" s="497"/>
      <c r="AM504" s="497"/>
      <c r="AN504" s="497"/>
      <c r="AO504" s="497"/>
      <c r="AP504" s="497"/>
      <c r="AQ504" s="497"/>
      <c r="AR504" s="497"/>
      <c r="AS504" s="497"/>
      <c r="AT504" s="497"/>
      <c r="AU504" s="497"/>
      <c r="AV504" s="497"/>
      <c r="AW504" s="497"/>
      <c r="AX504" s="497"/>
      <c r="AY504" s="497"/>
      <c r="AZ504" s="497"/>
      <c r="BA504" s="497"/>
      <c r="BB504" s="497"/>
      <c r="BC504" s="497"/>
      <c r="BD504" s="497"/>
      <c r="BE504" s="497"/>
      <c r="BF504" s="497"/>
      <c r="BG504" s="497"/>
      <c r="BH504" s="497"/>
      <c r="BI504" s="497"/>
      <c r="BJ504" s="497"/>
      <c r="BK504" s="497"/>
      <c r="BL504" s="497"/>
      <c r="BM504" s="497"/>
      <c r="BN504" s="497"/>
      <c r="BO504" s="497"/>
      <c r="BP504" s="497"/>
      <c r="BQ504" s="497"/>
      <c r="BR504" s="497"/>
      <c r="BS504" s="497"/>
      <c r="BT504" s="497"/>
      <c r="BU504" s="497"/>
      <c r="BV504" s="497"/>
      <c r="BW504" s="497"/>
      <c r="BX504" s="497"/>
      <c r="BY504" s="497"/>
      <c r="BZ504" s="497"/>
      <c r="CA504" s="497"/>
      <c r="CB504" s="497"/>
      <c r="CC504" s="497"/>
      <c r="CD504" s="497"/>
      <c r="CE504" s="497"/>
      <c r="CF504" s="497"/>
      <c r="CG504" s="497"/>
      <c r="CH504" s="497"/>
    </row>
    <row r="505" spans="1:86" s="335" customFormat="1">
      <c r="A505" s="517"/>
      <c r="B505" s="517"/>
      <c r="C505" s="517"/>
      <c r="D505" s="517"/>
      <c r="E505" s="517"/>
      <c r="F505" s="517"/>
      <c r="G505" s="517"/>
      <c r="H505" s="639"/>
      <c r="I505" s="639"/>
      <c r="J505" s="336"/>
      <c r="K505" s="2056"/>
      <c r="L505" s="337"/>
      <c r="N505" s="2057"/>
      <c r="O505" s="337"/>
      <c r="P505" s="337"/>
      <c r="Q505" s="337"/>
      <c r="R505" s="337"/>
      <c r="S505" s="337"/>
      <c r="T505" s="337"/>
      <c r="U505" s="497"/>
      <c r="V505" s="497"/>
      <c r="W505" s="497"/>
      <c r="X505" s="497"/>
      <c r="Y505" s="497"/>
      <c r="Z505" s="497"/>
      <c r="AA505" s="497"/>
      <c r="AB505" s="497"/>
      <c r="AC505" s="497"/>
      <c r="AD505" s="497"/>
      <c r="AE505" s="497"/>
      <c r="AF505" s="497"/>
      <c r="AG505" s="497"/>
      <c r="AH505" s="497"/>
      <c r="AI505" s="497"/>
      <c r="AJ505" s="497"/>
      <c r="AK505" s="497"/>
      <c r="AL505" s="497"/>
      <c r="AM505" s="497"/>
      <c r="AN505" s="497"/>
      <c r="AO505" s="497"/>
      <c r="AP505" s="497"/>
      <c r="AQ505" s="497"/>
      <c r="AR505" s="497"/>
      <c r="AS505" s="497"/>
      <c r="AT505" s="497"/>
      <c r="AU505" s="497"/>
      <c r="AV505" s="497"/>
      <c r="AW505" s="497"/>
      <c r="AX505" s="497"/>
      <c r="AY505" s="497"/>
      <c r="AZ505" s="497"/>
      <c r="BA505" s="497"/>
      <c r="BB505" s="497"/>
      <c r="BC505" s="497"/>
      <c r="BD505" s="497"/>
      <c r="BE505" s="497"/>
      <c r="BF505" s="497"/>
      <c r="BG505" s="497"/>
      <c r="BH505" s="497"/>
      <c r="BI505" s="497"/>
      <c r="BJ505" s="497"/>
      <c r="BK505" s="497"/>
      <c r="BL505" s="497"/>
      <c r="BM505" s="497"/>
      <c r="BN505" s="497"/>
      <c r="BO505" s="497"/>
      <c r="BP505" s="497"/>
      <c r="BQ505" s="497"/>
      <c r="BR505" s="497"/>
      <c r="BS505" s="497"/>
      <c r="BT505" s="497"/>
      <c r="BU505" s="497"/>
      <c r="BV505" s="497"/>
      <c r="BW505" s="497"/>
      <c r="BX505" s="497"/>
      <c r="BY505" s="497"/>
      <c r="BZ505" s="497"/>
      <c r="CA505" s="497"/>
      <c r="CB505" s="497"/>
      <c r="CC505" s="497"/>
      <c r="CD505" s="497"/>
      <c r="CE505" s="497"/>
      <c r="CF505" s="497"/>
      <c r="CG505" s="497"/>
      <c r="CH505" s="497"/>
    </row>
    <row r="506" spans="1:86" s="335" customFormat="1">
      <c r="A506" s="517"/>
      <c r="B506" s="517"/>
      <c r="C506" s="517"/>
      <c r="D506" s="517"/>
      <c r="E506" s="517"/>
      <c r="F506" s="517"/>
      <c r="G506" s="517"/>
      <c r="H506" s="639"/>
      <c r="I506" s="639"/>
      <c r="J506" s="336"/>
      <c r="K506" s="2056"/>
      <c r="L506" s="337"/>
      <c r="N506" s="2057"/>
      <c r="O506" s="337"/>
      <c r="P506" s="337"/>
      <c r="Q506" s="337"/>
      <c r="R506" s="337"/>
      <c r="S506" s="337"/>
      <c r="T506" s="337"/>
      <c r="U506" s="497"/>
      <c r="V506" s="497"/>
      <c r="W506" s="497"/>
      <c r="X506" s="497"/>
      <c r="Y506" s="497"/>
      <c r="Z506" s="497"/>
      <c r="AA506" s="497"/>
      <c r="AB506" s="497"/>
      <c r="AC506" s="497"/>
      <c r="AD506" s="497"/>
      <c r="AE506" s="497"/>
      <c r="AF506" s="497"/>
      <c r="AG506" s="497"/>
      <c r="AH506" s="497"/>
      <c r="AI506" s="497"/>
      <c r="AJ506" s="497"/>
      <c r="AK506" s="497"/>
      <c r="AL506" s="497"/>
      <c r="AM506" s="497"/>
      <c r="AN506" s="497"/>
      <c r="AO506" s="497"/>
      <c r="AP506" s="497"/>
      <c r="AQ506" s="497"/>
      <c r="AR506" s="497"/>
      <c r="AS506" s="497"/>
      <c r="AT506" s="497"/>
      <c r="AU506" s="497"/>
      <c r="AV506" s="497"/>
      <c r="AW506" s="497"/>
      <c r="AX506" s="497"/>
      <c r="AY506" s="497"/>
      <c r="AZ506" s="497"/>
      <c r="BA506" s="497"/>
      <c r="BB506" s="497"/>
      <c r="BC506" s="497"/>
      <c r="BD506" s="497"/>
      <c r="BE506" s="497"/>
      <c r="BF506" s="497"/>
      <c r="BG506" s="497"/>
      <c r="BH506" s="497"/>
      <c r="BI506" s="497"/>
      <c r="BJ506" s="497"/>
      <c r="BK506" s="497"/>
      <c r="BL506" s="497"/>
      <c r="BM506" s="497"/>
      <c r="BN506" s="497"/>
      <c r="BO506" s="497"/>
      <c r="BP506" s="497"/>
      <c r="BQ506" s="497"/>
      <c r="BR506" s="497"/>
      <c r="BS506" s="497"/>
      <c r="BT506" s="497"/>
      <c r="BU506" s="497"/>
      <c r="BV506" s="497"/>
      <c r="BW506" s="497"/>
      <c r="BX506" s="497"/>
      <c r="BY506" s="497"/>
      <c r="BZ506" s="497"/>
      <c r="CA506" s="497"/>
      <c r="CB506" s="497"/>
      <c r="CC506" s="497"/>
      <c r="CD506" s="497"/>
      <c r="CE506" s="497"/>
      <c r="CF506" s="497"/>
      <c r="CG506" s="497"/>
      <c r="CH506" s="497"/>
    </row>
    <row r="507" spans="1:86" s="335" customFormat="1">
      <c r="A507" s="517"/>
      <c r="B507" s="517"/>
      <c r="C507" s="517"/>
      <c r="D507" s="517"/>
      <c r="E507" s="517"/>
      <c r="F507" s="517"/>
      <c r="G507" s="517"/>
      <c r="H507" s="639"/>
      <c r="I507" s="639"/>
      <c r="J507" s="336"/>
      <c r="K507" s="2056"/>
      <c r="L507" s="337"/>
      <c r="N507" s="2057"/>
      <c r="O507" s="337"/>
      <c r="P507" s="337"/>
      <c r="Q507" s="337"/>
      <c r="R507" s="337"/>
      <c r="S507" s="337"/>
      <c r="T507" s="337"/>
      <c r="U507" s="497"/>
      <c r="V507" s="497"/>
      <c r="W507" s="497"/>
      <c r="X507" s="497"/>
      <c r="Y507" s="497"/>
      <c r="Z507" s="497"/>
      <c r="AA507" s="497"/>
      <c r="AB507" s="497"/>
      <c r="AC507" s="497"/>
      <c r="AD507" s="497"/>
      <c r="AE507" s="497"/>
      <c r="AF507" s="497"/>
      <c r="AG507" s="497"/>
      <c r="AH507" s="497"/>
      <c r="AI507" s="497"/>
      <c r="AJ507" s="497"/>
      <c r="AK507" s="497"/>
      <c r="AL507" s="497"/>
      <c r="AM507" s="497"/>
      <c r="AN507" s="497"/>
      <c r="AO507" s="497"/>
      <c r="AP507" s="497"/>
      <c r="AQ507" s="497"/>
      <c r="AR507" s="497"/>
      <c r="AS507" s="497"/>
      <c r="AT507" s="497"/>
      <c r="AU507" s="497"/>
      <c r="AV507" s="497"/>
      <c r="AW507" s="497"/>
      <c r="AX507" s="497"/>
      <c r="AY507" s="497"/>
      <c r="AZ507" s="497"/>
      <c r="BA507" s="497"/>
      <c r="BB507" s="497"/>
      <c r="BC507" s="497"/>
      <c r="BD507" s="497"/>
      <c r="BE507" s="497"/>
      <c r="BF507" s="497"/>
      <c r="BG507" s="497"/>
      <c r="BH507" s="497"/>
      <c r="BI507" s="497"/>
      <c r="BJ507" s="497"/>
      <c r="BK507" s="497"/>
      <c r="BL507" s="497"/>
      <c r="BM507" s="497"/>
      <c r="BN507" s="497"/>
      <c r="BO507" s="497"/>
      <c r="BP507" s="497"/>
      <c r="BQ507" s="497"/>
      <c r="BR507" s="497"/>
      <c r="BS507" s="497"/>
      <c r="BT507" s="497"/>
      <c r="BU507" s="497"/>
      <c r="BV507" s="497"/>
      <c r="BW507" s="497"/>
      <c r="BX507" s="497"/>
      <c r="BY507" s="497"/>
      <c r="BZ507" s="497"/>
      <c r="CA507" s="497"/>
      <c r="CB507" s="497"/>
      <c r="CC507" s="497"/>
      <c r="CD507" s="497"/>
      <c r="CE507" s="497"/>
      <c r="CF507" s="497"/>
      <c r="CG507" s="497"/>
      <c r="CH507" s="497"/>
    </row>
    <row r="508" spans="1:86" s="335" customFormat="1">
      <c r="A508" s="517"/>
      <c r="B508" s="517"/>
      <c r="C508" s="517"/>
      <c r="D508" s="517"/>
      <c r="E508" s="517"/>
      <c r="F508" s="517"/>
      <c r="G508" s="517"/>
      <c r="H508" s="639"/>
      <c r="I508" s="639"/>
      <c r="J508" s="336"/>
      <c r="K508" s="2056"/>
      <c r="L508" s="337"/>
      <c r="N508" s="2057"/>
      <c r="O508" s="337"/>
      <c r="P508" s="337"/>
      <c r="Q508" s="337"/>
      <c r="R508" s="337"/>
      <c r="S508" s="337"/>
      <c r="T508" s="337"/>
      <c r="U508" s="497"/>
      <c r="V508" s="497"/>
      <c r="W508" s="497"/>
      <c r="X508" s="497"/>
      <c r="Y508" s="497"/>
      <c r="Z508" s="497"/>
      <c r="AA508" s="497"/>
      <c r="AB508" s="497"/>
      <c r="AC508" s="497"/>
      <c r="AD508" s="497"/>
      <c r="AE508" s="497"/>
      <c r="AF508" s="497"/>
      <c r="AG508" s="497"/>
      <c r="AH508" s="497"/>
      <c r="AI508" s="497"/>
      <c r="AJ508" s="497"/>
      <c r="AK508" s="497"/>
      <c r="AL508" s="497"/>
      <c r="AM508" s="497"/>
      <c r="AN508" s="497"/>
      <c r="AO508" s="497"/>
      <c r="AP508" s="497"/>
      <c r="AQ508" s="497"/>
      <c r="AR508" s="497"/>
      <c r="AS508" s="497"/>
      <c r="AT508" s="497"/>
      <c r="AU508" s="497"/>
      <c r="AV508" s="497"/>
      <c r="AW508" s="497"/>
      <c r="AX508" s="497"/>
      <c r="AY508" s="497"/>
      <c r="AZ508" s="497"/>
      <c r="BA508" s="497"/>
      <c r="BB508" s="497"/>
      <c r="BC508" s="497"/>
      <c r="BD508" s="497"/>
      <c r="BE508" s="497"/>
      <c r="BF508" s="497"/>
      <c r="BG508" s="497"/>
      <c r="BH508" s="497"/>
      <c r="BI508" s="497"/>
      <c r="BJ508" s="497"/>
      <c r="BK508" s="497"/>
      <c r="BL508" s="497"/>
      <c r="BM508" s="497"/>
      <c r="BN508" s="497"/>
      <c r="BO508" s="497"/>
      <c r="BP508" s="497"/>
      <c r="BQ508" s="497"/>
      <c r="BR508" s="497"/>
      <c r="BS508" s="497"/>
      <c r="BT508" s="497"/>
      <c r="BU508" s="497"/>
      <c r="BV508" s="497"/>
      <c r="BW508" s="497"/>
      <c r="BX508" s="497"/>
      <c r="BY508" s="497"/>
      <c r="BZ508" s="497"/>
      <c r="CA508" s="497"/>
      <c r="CB508" s="497"/>
      <c r="CC508" s="497"/>
      <c r="CD508" s="497"/>
      <c r="CE508" s="497"/>
      <c r="CF508" s="497"/>
      <c r="CG508" s="497"/>
      <c r="CH508" s="497"/>
    </row>
    <row r="509" spans="1:86" s="335" customFormat="1">
      <c r="A509" s="517"/>
      <c r="B509" s="517"/>
      <c r="C509" s="517"/>
      <c r="D509" s="517"/>
      <c r="E509" s="517"/>
      <c r="F509" s="517"/>
      <c r="G509" s="517"/>
      <c r="H509" s="639"/>
      <c r="I509" s="639"/>
      <c r="J509" s="336"/>
      <c r="K509" s="2056"/>
      <c r="L509" s="337"/>
      <c r="N509" s="2057"/>
      <c r="O509" s="337"/>
      <c r="P509" s="337"/>
      <c r="Q509" s="337"/>
      <c r="R509" s="337"/>
      <c r="S509" s="337"/>
      <c r="T509" s="337"/>
      <c r="U509" s="497"/>
      <c r="V509" s="497"/>
      <c r="W509" s="497"/>
      <c r="X509" s="497"/>
      <c r="Y509" s="497"/>
      <c r="Z509" s="497"/>
      <c r="AA509" s="497"/>
      <c r="AB509" s="497"/>
      <c r="AC509" s="497"/>
      <c r="AD509" s="497"/>
      <c r="AE509" s="497"/>
      <c r="AF509" s="497"/>
      <c r="AG509" s="497"/>
      <c r="AH509" s="497"/>
      <c r="AI509" s="497"/>
      <c r="AJ509" s="497"/>
      <c r="AK509" s="497"/>
      <c r="AL509" s="497"/>
      <c r="AM509" s="497"/>
      <c r="AN509" s="497"/>
      <c r="AO509" s="497"/>
      <c r="AP509" s="497"/>
      <c r="AQ509" s="497"/>
      <c r="AR509" s="497"/>
      <c r="AS509" s="497"/>
      <c r="AT509" s="497"/>
      <c r="AU509" s="497"/>
      <c r="AV509" s="497"/>
      <c r="AW509" s="497"/>
      <c r="AX509" s="497"/>
      <c r="AY509" s="497"/>
      <c r="AZ509" s="497"/>
      <c r="BA509" s="497"/>
      <c r="BB509" s="497"/>
      <c r="BC509" s="497"/>
      <c r="BD509" s="497"/>
      <c r="BE509" s="497"/>
      <c r="BF509" s="497"/>
      <c r="BG509" s="497"/>
      <c r="BH509" s="497"/>
      <c r="BI509" s="497"/>
      <c r="BJ509" s="497"/>
      <c r="BK509" s="497"/>
      <c r="BL509" s="497"/>
      <c r="BM509" s="497"/>
      <c r="BN509" s="497"/>
      <c r="BO509" s="497"/>
      <c r="BP509" s="497"/>
      <c r="BQ509" s="497"/>
      <c r="BR509" s="497"/>
      <c r="BS509" s="497"/>
      <c r="BT509" s="497"/>
      <c r="BU509" s="497"/>
      <c r="BV509" s="497"/>
      <c r="BW509" s="497"/>
      <c r="BX509" s="497"/>
      <c r="BY509" s="497"/>
      <c r="BZ509" s="497"/>
      <c r="CA509" s="497"/>
      <c r="CB509" s="497"/>
      <c r="CC509" s="497"/>
      <c r="CD509" s="497"/>
      <c r="CE509" s="497"/>
      <c r="CF509" s="497"/>
      <c r="CG509" s="497"/>
      <c r="CH509" s="497"/>
    </row>
    <row r="510" spans="1:86" s="335" customFormat="1">
      <c r="A510" s="517"/>
      <c r="B510" s="517"/>
      <c r="C510" s="517"/>
      <c r="D510" s="517"/>
      <c r="E510" s="517"/>
      <c r="F510" s="517"/>
      <c r="G510" s="517"/>
      <c r="H510" s="639"/>
      <c r="I510" s="639"/>
      <c r="J510" s="336"/>
      <c r="K510" s="2056"/>
      <c r="L510" s="337"/>
      <c r="N510" s="2057"/>
      <c r="O510" s="337"/>
      <c r="P510" s="337"/>
      <c r="Q510" s="337"/>
      <c r="R510" s="337"/>
      <c r="S510" s="337"/>
      <c r="T510" s="337"/>
      <c r="U510" s="497"/>
      <c r="V510" s="497"/>
      <c r="W510" s="497"/>
      <c r="X510" s="497"/>
      <c r="Y510" s="497"/>
      <c r="Z510" s="497"/>
      <c r="AA510" s="497"/>
      <c r="AB510" s="497"/>
      <c r="AC510" s="497"/>
      <c r="AD510" s="497"/>
      <c r="AE510" s="497"/>
      <c r="AF510" s="497"/>
      <c r="AG510" s="497"/>
      <c r="AH510" s="497"/>
      <c r="AI510" s="497"/>
      <c r="AJ510" s="497"/>
      <c r="AK510" s="497"/>
      <c r="AL510" s="497"/>
      <c r="AM510" s="497"/>
      <c r="AN510" s="497"/>
      <c r="AO510" s="497"/>
      <c r="AP510" s="497"/>
      <c r="AQ510" s="497"/>
      <c r="AR510" s="497"/>
      <c r="AS510" s="497"/>
      <c r="AT510" s="497"/>
      <c r="AU510" s="497"/>
      <c r="AV510" s="497"/>
      <c r="AW510" s="497"/>
      <c r="AX510" s="497"/>
      <c r="AY510" s="497"/>
      <c r="AZ510" s="497"/>
      <c r="BA510" s="497"/>
      <c r="BB510" s="497"/>
      <c r="BC510" s="497"/>
      <c r="BD510" s="497"/>
      <c r="BE510" s="497"/>
      <c r="BF510" s="497"/>
      <c r="BG510" s="497"/>
      <c r="BH510" s="497"/>
      <c r="BI510" s="497"/>
      <c r="BJ510" s="497"/>
      <c r="BK510" s="497"/>
      <c r="BL510" s="497"/>
      <c r="BM510" s="497"/>
      <c r="BN510" s="497"/>
      <c r="BO510" s="497"/>
      <c r="BP510" s="497"/>
      <c r="BQ510" s="497"/>
      <c r="BR510" s="497"/>
      <c r="BS510" s="497"/>
      <c r="BT510" s="497"/>
      <c r="BU510" s="497"/>
      <c r="BV510" s="497"/>
      <c r="BW510" s="497"/>
      <c r="BX510" s="497"/>
      <c r="BY510" s="497"/>
      <c r="BZ510" s="497"/>
      <c r="CA510" s="497"/>
      <c r="CB510" s="497"/>
      <c r="CC510" s="497"/>
      <c r="CD510" s="497"/>
      <c r="CE510" s="497"/>
      <c r="CF510" s="497"/>
      <c r="CG510" s="497"/>
      <c r="CH510" s="497"/>
    </row>
    <row r="511" spans="1:86" s="335" customFormat="1">
      <c r="A511" s="517"/>
      <c r="B511" s="517"/>
      <c r="C511" s="517"/>
      <c r="D511" s="517"/>
      <c r="E511" s="517"/>
      <c r="F511" s="517"/>
      <c r="G511" s="517"/>
      <c r="H511" s="639"/>
      <c r="I511" s="639"/>
      <c r="J511" s="336"/>
      <c r="K511" s="2056"/>
      <c r="L511" s="337"/>
      <c r="N511" s="2057"/>
      <c r="O511" s="337"/>
      <c r="P511" s="337"/>
      <c r="Q511" s="337"/>
      <c r="R511" s="337"/>
      <c r="S511" s="337"/>
      <c r="T511" s="337"/>
      <c r="U511" s="497"/>
      <c r="V511" s="497"/>
      <c r="W511" s="497"/>
      <c r="X511" s="497"/>
      <c r="Y511" s="497"/>
      <c r="Z511" s="497"/>
      <c r="AA511" s="497"/>
      <c r="AB511" s="497"/>
      <c r="AC511" s="497"/>
      <c r="AD511" s="497"/>
      <c r="AE511" s="497"/>
      <c r="AF511" s="497"/>
      <c r="AG511" s="497"/>
      <c r="AH511" s="497"/>
      <c r="AI511" s="497"/>
      <c r="AJ511" s="497"/>
      <c r="AK511" s="497"/>
      <c r="AL511" s="497"/>
      <c r="AM511" s="497"/>
      <c r="AN511" s="497"/>
      <c r="AO511" s="497"/>
      <c r="AP511" s="497"/>
      <c r="AQ511" s="497"/>
      <c r="AR511" s="497"/>
      <c r="AS511" s="497"/>
      <c r="AT511" s="497"/>
      <c r="AU511" s="497"/>
      <c r="AV511" s="497"/>
      <c r="AW511" s="497"/>
      <c r="AX511" s="497"/>
      <c r="AY511" s="497"/>
      <c r="AZ511" s="497"/>
      <c r="BA511" s="497"/>
      <c r="BB511" s="497"/>
      <c r="BC511" s="497"/>
      <c r="BD511" s="497"/>
      <c r="BE511" s="497"/>
      <c r="BF511" s="497"/>
      <c r="BG511" s="497"/>
      <c r="BH511" s="497"/>
      <c r="BI511" s="497"/>
      <c r="BJ511" s="497"/>
      <c r="BK511" s="497"/>
      <c r="BL511" s="497"/>
      <c r="BM511" s="497"/>
      <c r="BN511" s="497"/>
      <c r="BO511" s="497"/>
      <c r="BP511" s="497"/>
      <c r="BQ511" s="497"/>
      <c r="BR511" s="497"/>
      <c r="BS511" s="497"/>
      <c r="BT511" s="497"/>
      <c r="BU511" s="497"/>
      <c r="BV511" s="497"/>
      <c r="BW511" s="497"/>
      <c r="BX511" s="497"/>
      <c r="BY511" s="497"/>
      <c r="BZ511" s="497"/>
      <c r="CA511" s="497"/>
      <c r="CB511" s="497"/>
      <c r="CC511" s="497"/>
      <c r="CD511" s="497"/>
      <c r="CE511" s="497"/>
      <c r="CF511" s="497"/>
      <c r="CG511" s="497"/>
      <c r="CH511" s="497"/>
    </row>
    <row r="512" spans="1:86" s="335" customFormat="1">
      <c r="A512" s="517"/>
      <c r="B512" s="517"/>
      <c r="C512" s="517"/>
      <c r="D512" s="517"/>
      <c r="E512" s="517"/>
      <c r="F512" s="517"/>
      <c r="G512" s="517"/>
      <c r="H512" s="639"/>
      <c r="I512" s="639"/>
      <c r="J512" s="336"/>
      <c r="K512" s="2056"/>
      <c r="L512" s="337"/>
      <c r="N512" s="2057"/>
      <c r="O512" s="337"/>
      <c r="P512" s="337"/>
      <c r="Q512" s="337"/>
      <c r="R512" s="337"/>
      <c r="S512" s="337"/>
      <c r="T512" s="337"/>
      <c r="U512" s="497"/>
      <c r="V512" s="497"/>
      <c r="W512" s="497"/>
      <c r="X512" s="497"/>
      <c r="Y512" s="497"/>
      <c r="Z512" s="497"/>
      <c r="AA512" s="497"/>
      <c r="AB512" s="497"/>
      <c r="AC512" s="497"/>
      <c r="AD512" s="497"/>
      <c r="AE512" s="497"/>
      <c r="AF512" s="497"/>
      <c r="AG512" s="497"/>
      <c r="AH512" s="497"/>
      <c r="AI512" s="497"/>
      <c r="AJ512" s="497"/>
      <c r="AK512" s="497"/>
      <c r="AL512" s="497"/>
      <c r="AM512" s="497"/>
      <c r="AN512" s="497"/>
      <c r="AO512" s="497"/>
      <c r="AP512" s="497"/>
      <c r="AQ512" s="497"/>
      <c r="AR512" s="497"/>
      <c r="AS512" s="497"/>
      <c r="AT512" s="497"/>
      <c r="AU512" s="497"/>
      <c r="AV512" s="497"/>
      <c r="AW512" s="497"/>
      <c r="AX512" s="497"/>
      <c r="AY512" s="497"/>
      <c r="AZ512" s="497"/>
      <c r="BA512" s="497"/>
      <c r="BB512" s="497"/>
      <c r="BC512" s="497"/>
      <c r="BD512" s="497"/>
      <c r="BE512" s="497"/>
      <c r="BF512" s="497"/>
      <c r="BG512" s="497"/>
      <c r="BH512" s="497"/>
      <c r="BI512" s="497"/>
      <c r="BJ512" s="497"/>
      <c r="BK512" s="497"/>
      <c r="BL512" s="497"/>
      <c r="BM512" s="497"/>
      <c r="BN512" s="497"/>
      <c r="BO512" s="497"/>
      <c r="BP512" s="497"/>
      <c r="BQ512" s="497"/>
      <c r="BR512" s="497"/>
      <c r="BS512" s="497"/>
      <c r="BT512" s="497"/>
      <c r="BU512" s="497"/>
      <c r="BV512" s="497"/>
      <c r="BW512" s="497"/>
      <c r="BX512" s="497"/>
      <c r="BY512" s="497"/>
      <c r="BZ512" s="497"/>
      <c r="CA512" s="497"/>
      <c r="CB512" s="497"/>
      <c r="CC512" s="497"/>
      <c r="CD512" s="497"/>
      <c r="CE512" s="497"/>
      <c r="CF512" s="497"/>
      <c r="CG512" s="497"/>
      <c r="CH512" s="497"/>
    </row>
    <row r="513" spans="1:86" s="335" customFormat="1">
      <c r="A513" s="517"/>
      <c r="B513" s="517"/>
      <c r="C513" s="517"/>
      <c r="D513" s="517"/>
      <c r="E513" s="517"/>
      <c r="F513" s="517"/>
      <c r="G513" s="517"/>
      <c r="H513" s="639"/>
      <c r="I513" s="639"/>
      <c r="J513" s="336"/>
      <c r="K513" s="2056"/>
      <c r="L513" s="337"/>
      <c r="N513" s="2057"/>
      <c r="O513" s="337"/>
      <c r="P513" s="337"/>
      <c r="Q513" s="337"/>
      <c r="R513" s="337"/>
      <c r="S513" s="337"/>
      <c r="T513" s="337"/>
      <c r="U513" s="497"/>
      <c r="V513" s="497"/>
      <c r="W513" s="497"/>
      <c r="X513" s="497"/>
      <c r="Y513" s="497"/>
      <c r="Z513" s="497"/>
      <c r="AA513" s="497"/>
      <c r="AB513" s="497"/>
      <c r="AC513" s="497"/>
      <c r="AD513" s="497"/>
      <c r="AE513" s="497"/>
      <c r="AF513" s="497"/>
      <c r="AG513" s="497"/>
      <c r="AH513" s="497"/>
      <c r="AI513" s="497"/>
      <c r="AJ513" s="497"/>
      <c r="AK513" s="497"/>
      <c r="AL513" s="497"/>
      <c r="AM513" s="497"/>
      <c r="AN513" s="497"/>
      <c r="AO513" s="497"/>
      <c r="AP513" s="497"/>
      <c r="AQ513" s="497"/>
      <c r="AR513" s="497"/>
      <c r="AS513" s="497"/>
      <c r="AT513" s="497"/>
      <c r="AU513" s="497"/>
      <c r="AV513" s="497"/>
      <c r="AW513" s="497"/>
      <c r="AX513" s="497"/>
      <c r="AY513" s="497"/>
      <c r="AZ513" s="497"/>
      <c r="BA513" s="497"/>
      <c r="BB513" s="497"/>
      <c r="BC513" s="497"/>
      <c r="BD513" s="497"/>
      <c r="BE513" s="497"/>
      <c r="BF513" s="497"/>
      <c r="BG513" s="497"/>
      <c r="BH513" s="497"/>
      <c r="BI513" s="497"/>
      <c r="BJ513" s="497"/>
      <c r="BK513" s="497"/>
      <c r="BL513" s="497"/>
      <c r="BM513" s="497"/>
      <c r="BN513" s="497"/>
      <c r="BO513" s="497"/>
      <c r="BP513" s="497"/>
      <c r="BQ513" s="497"/>
      <c r="BR513" s="497"/>
      <c r="BS513" s="497"/>
      <c r="BT513" s="497"/>
      <c r="BU513" s="497"/>
      <c r="BV513" s="497"/>
      <c r="BW513" s="497"/>
      <c r="BX513" s="497"/>
      <c r="BY513" s="497"/>
      <c r="BZ513" s="497"/>
      <c r="CA513" s="497"/>
      <c r="CB513" s="497"/>
      <c r="CC513" s="497"/>
      <c r="CD513" s="497"/>
      <c r="CE513" s="497"/>
      <c r="CF513" s="497"/>
      <c r="CG513" s="497"/>
      <c r="CH513" s="497"/>
    </row>
    <row r="514" spans="1:86" s="335" customFormat="1">
      <c r="A514" s="517"/>
      <c r="B514" s="517"/>
      <c r="C514" s="517"/>
      <c r="D514" s="517"/>
      <c r="E514" s="517"/>
      <c r="F514" s="517"/>
      <c r="G514" s="517"/>
      <c r="H514" s="639"/>
      <c r="I514" s="639"/>
      <c r="J514" s="336"/>
      <c r="K514" s="2056"/>
      <c r="L514" s="337"/>
      <c r="N514" s="2057"/>
      <c r="O514" s="337"/>
      <c r="P514" s="337"/>
      <c r="Q514" s="337"/>
      <c r="R514" s="337"/>
      <c r="S514" s="337"/>
      <c r="T514" s="337"/>
      <c r="U514" s="497"/>
      <c r="V514" s="497"/>
      <c r="W514" s="497"/>
      <c r="X514" s="497"/>
      <c r="Y514" s="497"/>
      <c r="Z514" s="497"/>
      <c r="AA514" s="497"/>
      <c r="AB514" s="497"/>
      <c r="AC514" s="497"/>
      <c r="AD514" s="497"/>
      <c r="AE514" s="497"/>
      <c r="AF514" s="497"/>
      <c r="AG514" s="497"/>
      <c r="AH514" s="497"/>
      <c r="AI514" s="497"/>
      <c r="AJ514" s="497"/>
      <c r="AK514" s="497"/>
      <c r="AL514" s="497"/>
      <c r="AM514" s="497"/>
      <c r="AN514" s="497"/>
      <c r="AO514" s="497"/>
      <c r="AP514" s="497"/>
      <c r="AQ514" s="497"/>
      <c r="AR514" s="497"/>
      <c r="AS514" s="497"/>
      <c r="AT514" s="497"/>
      <c r="AU514" s="497"/>
      <c r="AV514" s="497"/>
      <c r="AW514" s="497"/>
      <c r="AX514" s="497"/>
      <c r="AY514" s="497"/>
      <c r="AZ514" s="497"/>
      <c r="BA514" s="497"/>
      <c r="BB514" s="497"/>
      <c r="BC514" s="497"/>
      <c r="BD514" s="497"/>
      <c r="BE514" s="497"/>
      <c r="BF514" s="497"/>
      <c r="BG514" s="497"/>
      <c r="BH514" s="497"/>
      <c r="BI514" s="497"/>
      <c r="BJ514" s="497"/>
      <c r="BK514" s="497"/>
      <c r="BL514" s="497"/>
      <c r="BM514" s="497"/>
      <c r="BN514" s="497"/>
      <c r="BO514" s="497"/>
      <c r="BP514" s="497"/>
      <c r="BQ514" s="497"/>
      <c r="BR514" s="497"/>
      <c r="BS514" s="497"/>
      <c r="BT514" s="497"/>
      <c r="BU514" s="497"/>
      <c r="BV514" s="497"/>
      <c r="BW514" s="497"/>
      <c r="BX514" s="497"/>
      <c r="BY514" s="497"/>
      <c r="BZ514" s="497"/>
      <c r="CA514" s="497"/>
      <c r="CB514" s="497"/>
      <c r="CC514" s="497"/>
      <c r="CD514" s="497"/>
      <c r="CE514" s="497"/>
      <c r="CF514" s="497"/>
      <c r="CG514" s="497"/>
      <c r="CH514" s="497"/>
    </row>
    <row r="515" spans="1:86" s="335" customFormat="1">
      <c r="A515" s="517"/>
      <c r="B515" s="517"/>
      <c r="C515" s="517"/>
      <c r="D515" s="517"/>
      <c r="E515" s="517"/>
      <c r="F515" s="517"/>
      <c r="G515" s="517"/>
      <c r="H515" s="639"/>
      <c r="I515" s="639"/>
      <c r="J515" s="336"/>
      <c r="K515" s="2056"/>
      <c r="L515" s="337"/>
      <c r="N515" s="2057"/>
      <c r="O515" s="337"/>
      <c r="P515" s="337"/>
      <c r="Q515" s="337"/>
      <c r="R515" s="337"/>
      <c r="S515" s="337"/>
      <c r="T515" s="337"/>
      <c r="U515" s="497"/>
      <c r="V515" s="497"/>
      <c r="W515" s="497"/>
      <c r="X515" s="497"/>
      <c r="Y515" s="497"/>
      <c r="Z515" s="497"/>
      <c r="AA515" s="497"/>
      <c r="AB515" s="497"/>
      <c r="AC515" s="497"/>
      <c r="AD515" s="497"/>
      <c r="AE515" s="497"/>
      <c r="AF515" s="497"/>
      <c r="AG515" s="497"/>
      <c r="AH515" s="497"/>
      <c r="AI515" s="497"/>
      <c r="AJ515" s="497"/>
      <c r="AK515" s="497"/>
      <c r="AL515" s="497"/>
      <c r="AM515" s="497"/>
      <c r="AN515" s="497"/>
      <c r="AO515" s="497"/>
      <c r="AP515" s="497"/>
      <c r="AQ515" s="497"/>
      <c r="AR515" s="497"/>
      <c r="AS515" s="497"/>
      <c r="AT515" s="497"/>
      <c r="AU515" s="497"/>
      <c r="AV515" s="497"/>
      <c r="AW515" s="497"/>
      <c r="AX515" s="497"/>
      <c r="AY515" s="497"/>
      <c r="AZ515" s="497"/>
      <c r="BA515" s="497"/>
      <c r="BB515" s="497"/>
      <c r="BC515" s="497"/>
      <c r="BD515" s="497"/>
      <c r="BE515" s="497"/>
      <c r="BF515" s="497"/>
      <c r="BG515" s="497"/>
      <c r="BH515" s="497"/>
      <c r="BI515" s="497"/>
      <c r="BJ515" s="497"/>
      <c r="BK515" s="497"/>
      <c r="BL515" s="497"/>
      <c r="BM515" s="497"/>
      <c r="BN515" s="497"/>
      <c r="BO515" s="497"/>
      <c r="BP515" s="497"/>
      <c r="BQ515" s="497"/>
      <c r="BR515" s="497"/>
      <c r="BS515" s="497"/>
      <c r="BT515" s="497"/>
      <c r="BU515" s="497"/>
      <c r="BV515" s="497"/>
      <c r="BW515" s="497"/>
      <c r="BX515" s="497"/>
      <c r="BY515" s="497"/>
      <c r="BZ515" s="497"/>
      <c r="CA515" s="497"/>
      <c r="CB515" s="497"/>
      <c r="CC515" s="497"/>
      <c r="CD515" s="497"/>
      <c r="CE515" s="497"/>
      <c r="CF515" s="497"/>
      <c r="CG515" s="497"/>
      <c r="CH515" s="497"/>
    </row>
    <row r="516" spans="1:86" s="335" customFormat="1">
      <c r="A516" s="517"/>
      <c r="B516" s="517"/>
      <c r="C516" s="517"/>
      <c r="D516" s="517"/>
      <c r="E516" s="517"/>
      <c r="F516" s="517"/>
      <c r="G516" s="517"/>
      <c r="H516" s="639"/>
      <c r="I516" s="639"/>
      <c r="J516" s="336"/>
      <c r="K516" s="2056"/>
      <c r="L516" s="337"/>
      <c r="N516" s="2057"/>
      <c r="O516" s="337"/>
      <c r="P516" s="337"/>
      <c r="Q516" s="337"/>
      <c r="R516" s="337"/>
      <c r="S516" s="337"/>
      <c r="T516" s="337"/>
      <c r="U516" s="497"/>
      <c r="V516" s="497"/>
      <c r="W516" s="497"/>
      <c r="X516" s="497"/>
      <c r="Y516" s="497"/>
      <c r="Z516" s="497"/>
      <c r="AA516" s="497"/>
      <c r="AB516" s="497"/>
      <c r="AC516" s="497"/>
      <c r="AD516" s="497"/>
      <c r="AE516" s="497"/>
      <c r="AF516" s="497"/>
      <c r="AG516" s="497"/>
      <c r="AH516" s="497"/>
      <c r="AI516" s="497"/>
      <c r="AJ516" s="497"/>
      <c r="AK516" s="497"/>
      <c r="AL516" s="497"/>
      <c r="AM516" s="497"/>
      <c r="AN516" s="497"/>
      <c r="AO516" s="497"/>
      <c r="AP516" s="497"/>
      <c r="AQ516" s="497"/>
      <c r="AR516" s="497"/>
      <c r="AS516" s="497"/>
      <c r="AT516" s="497"/>
      <c r="AU516" s="497"/>
      <c r="AV516" s="497"/>
      <c r="AW516" s="497"/>
      <c r="AX516" s="497"/>
      <c r="AY516" s="497"/>
      <c r="AZ516" s="497"/>
      <c r="BA516" s="497"/>
      <c r="BB516" s="497"/>
      <c r="BC516" s="497"/>
      <c r="BD516" s="497"/>
      <c r="BE516" s="497"/>
      <c r="BF516" s="497"/>
      <c r="BG516" s="497"/>
      <c r="BH516" s="497"/>
      <c r="BI516" s="497"/>
      <c r="BJ516" s="497"/>
      <c r="BK516" s="497"/>
      <c r="BL516" s="497"/>
      <c r="BM516" s="497"/>
      <c r="BN516" s="497"/>
      <c r="BO516" s="497"/>
      <c r="BP516" s="497"/>
      <c r="BQ516" s="497"/>
      <c r="BR516" s="497"/>
      <c r="BS516" s="497"/>
      <c r="BT516" s="497"/>
      <c r="BU516" s="497"/>
      <c r="BV516" s="497"/>
      <c r="BW516" s="497"/>
      <c r="BX516" s="497"/>
      <c r="BY516" s="497"/>
      <c r="BZ516" s="497"/>
      <c r="CA516" s="497"/>
      <c r="CB516" s="497"/>
      <c r="CC516" s="497"/>
      <c r="CD516" s="497"/>
      <c r="CE516" s="497"/>
      <c r="CF516" s="497"/>
      <c r="CG516" s="497"/>
      <c r="CH516" s="497"/>
    </row>
    <row r="517" spans="1:86" s="335" customFormat="1">
      <c r="A517" s="517"/>
      <c r="B517" s="517"/>
      <c r="C517" s="517"/>
      <c r="D517" s="517"/>
      <c r="E517" s="517"/>
      <c r="F517" s="517"/>
      <c r="G517" s="517"/>
      <c r="H517" s="639"/>
      <c r="I517" s="639"/>
      <c r="J517" s="336"/>
      <c r="K517" s="2056"/>
      <c r="L517" s="337"/>
      <c r="N517" s="2057"/>
      <c r="O517" s="337"/>
      <c r="P517" s="337"/>
      <c r="Q517" s="337"/>
      <c r="R517" s="337"/>
      <c r="S517" s="337"/>
      <c r="T517" s="337"/>
      <c r="U517" s="497"/>
      <c r="V517" s="497"/>
      <c r="W517" s="497"/>
      <c r="X517" s="497"/>
      <c r="Y517" s="497"/>
      <c r="Z517" s="497"/>
      <c r="AA517" s="497"/>
      <c r="AB517" s="497"/>
      <c r="AC517" s="497"/>
      <c r="AD517" s="497"/>
      <c r="AE517" s="497"/>
      <c r="AF517" s="497"/>
      <c r="AG517" s="497"/>
      <c r="AH517" s="497"/>
      <c r="AI517" s="497"/>
      <c r="AJ517" s="497"/>
      <c r="AK517" s="497"/>
      <c r="AL517" s="497"/>
      <c r="AM517" s="497"/>
      <c r="AN517" s="497"/>
      <c r="AO517" s="497"/>
      <c r="AP517" s="497"/>
      <c r="AQ517" s="497"/>
      <c r="AR517" s="497"/>
      <c r="AS517" s="497"/>
      <c r="AT517" s="497"/>
      <c r="AU517" s="497"/>
      <c r="AV517" s="497"/>
      <c r="AW517" s="497"/>
      <c r="AX517" s="497"/>
      <c r="AY517" s="497"/>
      <c r="AZ517" s="497"/>
      <c r="BA517" s="497"/>
      <c r="BB517" s="497"/>
      <c r="BC517" s="497"/>
      <c r="BD517" s="497"/>
      <c r="BE517" s="497"/>
      <c r="BF517" s="497"/>
      <c r="BG517" s="497"/>
      <c r="BH517" s="497"/>
      <c r="BI517" s="497"/>
      <c r="BJ517" s="497"/>
      <c r="BK517" s="497"/>
      <c r="BL517" s="497"/>
      <c r="BM517" s="497"/>
      <c r="BN517" s="497"/>
      <c r="BO517" s="497"/>
      <c r="BP517" s="497"/>
      <c r="BQ517" s="497"/>
      <c r="BR517" s="497"/>
      <c r="BS517" s="497"/>
      <c r="BT517" s="497"/>
      <c r="BU517" s="497"/>
      <c r="BV517" s="497"/>
      <c r="BW517" s="497"/>
      <c r="BX517" s="497"/>
      <c r="BY517" s="497"/>
      <c r="BZ517" s="497"/>
      <c r="CA517" s="497"/>
      <c r="CB517" s="497"/>
      <c r="CC517" s="497"/>
      <c r="CD517" s="497"/>
      <c r="CE517" s="497"/>
      <c r="CF517" s="497"/>
      <c r="CG517" s="497"/>
      <c r="CH517" s="497"/>
    </row>
    <row r="518" spans="1:86" s="335" customFormat="1">
      <c r="A518" s="517"/>
      <c r="B518" s="517"/>
      <c r="C518" s="517"/>
      <c r="D518" s="517"/>
      <c r="E518" s="517"/>
      <c r="F518" s="517"/>
      <c r="G518" s="517"/>
      <c r="H518" s="639"/>
      <c r="I518" s="639"/>
      <c r="J518" s="336"/>
      <c r="K518" s="2056"/>
      <c r="L518" s="337"/>
      <c r="N518" s="2057"/>
      <c r="O518" s="337"/>
      <c r="P518" s="337"/>
      <c r="Q518" s="337"/>
      <c r="R518" s="337"/>
      <c r="S518" s="337"/>
      <c r="T518" s="337"/>
      <c r="U518" s="497"/>
      <c r="V518" s="497"/>
      <c r="W518" s="497"/>
      <c r="X518" s="497"/>
      <c r="Y518" s="497"/>
      <c r="Z518" s="497"/>
      <c r="AA518" s="497"/>
      <c r="AB518" s="497"/>
      <c r="AC518" s="497"/>
      <c r="AD518" s="497"/>
      <c r="AE518" s="497"/>
      <c r="AF518" s="497"/>
      <c r="AG518" s="497"/>
      <c r="AH518" s="497"/>
      <c r="AI518" s="497"/>
      <c r="AJ518" s="497"/>
      <c r="AK518" s="497"/>
      <c r="AL518" s="497"/>
      <c r="AM518" s="497"/>
      <c r="AN518" s="497"/>
      <c r="AO518" s="497"/>
      <c r="AP518" s="497"/>
      <c r="AQ518" s="497"/>
      <c r="AR518" s="497"/>
      <c r="AS518" s="497"/>
      <c r="AT518" s="497"/>
      <c r="AU518" s="497"/>
      <c r="AV518" s="497"/>
      <c r="AW518" s="497"/>
      <c r="AX518" s="497"/>
      <c r="AY518" s="497"/>
      <c r="AZ518" s="497"/>
      <c r="BA518" s="497"/>
      <c r="BB518" s="497"/>
      <c r="BC518" s="497"/>
      <c r="BD518" s="497"/>
      <c r="BE518" s="497"/>
      <c r="BF518" s="497"/>
      <c r="BG518" s="497"/>
      <c r="BH518" s="497"/>
      <c r="BI518" s="497"/>
      <c r="BJ518" s="497"/>
      <c r="BK518" s="497"/>
      <c r="BL518" s="497"/>
      <c r="BM518" s="497"/>
      <c r="BN518" s="497"/>
      <c r="BO518" s="497"/>
      <c r="BP518" s="497"/>
      <c r="BQ518" s="497"/>
      <c r="BR518" s="497"/>
      <c r="BS518" s="497"/>
      <c r="BT518" s="497"/>
      <c r="BU518" s="497"/>
      <c r="BV518" s="497"/>
      <c r="BW518" s="497"/>
      <c r="BX518" s="497"/>
      <c r="BY518" s="497"/>
      <c r="BZ518" s="497"/>
      <c r="CA518" s="497"/>
      <c r="CB518" s="497"/>
      <c r="CC518" s="497"/>
      <c r="CD518" s="497"/>
      <c r="CE518" s="497"/>
      <c r="CF518" s="497"/>
      <c r="CG518" s="497"/>
      <c r="CH518" s="497"/>
    </row>
    <row r="519" spans="1:86" s="335" customFormat="1">
      <c r="A519" s="517"/>
      <c r="B519" s="517"/>
      <c r="C519" s="517"/>
      <c r="D519" s="517"/>
      <c r="E519" s="517"/>
      <c r="F519" s="517"/>
      <c r="G519" s="517"/>
      <c r="H519" s="639"/>
      <c r="I519" s="639"/>
      <c r="J519" s="336"/>
      <c r="K519" s="2056"/>
      <c r="L519" s="337"/>
      <c r="N519" s="2057"/>
      <c r="O519" s="337"/>
      <c r="P519" s="337"/>
      <c r="Q519" s="337"/>
      <c r="R519" s="337"/>
      <c r="S519" s="337"/>
      <c r="T519" s="337"/>
      <c r="U519" s="497"/>
      <c r="V519" s="497"/>
      <c r="W519" s="497"/>
      <c r="X519" s="497"/>
      <c r="Y519" s="497"/>
      <c r="Z519" s="497"/>
      <c r="AA519" s="497"/>
      <c r="AB519" s="497"/>
      <c r="AC519" s="497"/>
      <c r="AD519" s="497"/>
      <c r="AE519" s="497"/>
      <c r="AF519" s="497"/>
      <c r="AG519" s="497"/>
      <c r="AH519" s="497"/>
      <c r="AI519" s="497"/>
      <c r="AJ519" s="497"/>
      <c r="AK519" s="497"/>
      <c r="AL519" s="497"/>
      <c r="AM519" s="497"/>
      <c r="AN519" s="497"/>
      <c r="AO519" s="497"/>
      <c r="AP519" s="497"/>
      <c r="AQ519" s="497"/>
      <c r="AR519" s="497"/>
      <c r="AS519" s="497"/>
      <c r="AT519" s="497"/>
      <c r="AU519" s="497"/>
      <c r="AV519" s="497"/>
      <c r="AW519" s="497"/>
      <c r="AX519" s="497"/>
      <c r="AY519" s="497"/>
      <c r="AZ519" s="497"/>
      <c r="BA519" s="497"/>
      <c r="BB519" s="497"/>
      <c r="BC519" s="497"/>
      <c r="BD519" s="497"/>
      <c r="BE519" s="497"/>
      <c r="BF519" s="497"/>
      <c r="BG519" s="497"/>
      <c r="BH519" s="497"/>
      <c r="BI519" s="497"/>
      <c r="BJ519" s="497"/>
      <c r="BK519" s="497"/>
      <c r="BL519" s="497"/>
      <c r="BM519" s="497"/>
      <c r="BN519" s="497"/>
      <c r="BO519" s="497"/>
      <c r="BP519" s="497"/>
      <c r="BQ519" s="497"/>
      <c r="BR519" s="497"/>
      <c r="BS519" s="497"/>
      <c r="BT519" s="497"/>
      <c r="BU519" s="497"/>
      <c r="BV519" s="497"/>
      <c r="BW519" s="497"/>
      <c r="BX519" s="497"/>
      <c r="BY519" s="497"/>
      <c r="BZ519" s="497"/>
      <c r="CA519" s="497"/>
      <c r="CB519" s="497"/>
      <c r="CC519" s="497"/>
      <c r="CD519" s="497"/>
      <c r="CE519" s="497"/>
      <c r="CF519" s="497"/>
      <c r="CG519" s="497"/>
      <c r="CH519" s="497"/>
    </row>
    <row r="520" spans="1:86" s="335" customFormat="1">
      <c r="A520" s="517"/>
      <c r="B520" s="517"/>
      <c r="C520" s="517"/>
      <c r="D520" s="517"/>
      <c r="E520" s="517"/>
      <c r="F520" s="517"/>
      <c r="G520" s="517"/>
      <c r="H520" s="639"/>
      <c r="I520" s="639"/>
      <c r="J520" s="336"/>
      <c r="K520" s="2056"/>
      <c r="L520" s="337"/>
      <c r="N520" s="2057"/>
      <c r="O520" s="337"/>
      <c r="P520" s="337"/>
      <c r="Q520" s="337"/>
      <c r="R520" s="337"/>
      <c r="S520" s="337"/>
      <c r="T520" s="337"/>
      <c r="U520" s="497"/>
      <c r="V520" s="497"/>
      <c r="W520" s="497"/>
      <c r="X520" s="497"/>
      <c r="Y520" s="497"/>
      <c r="Z520" s="497"/>
      <c r="AA520" s="497"/>
      <c r="AB520" s="497"/>
      <c r="AC520" s="497"/>
      <c r="AD520" s="497"/>
      <c r="AE520" s="497"/>
      <c r="AF520" s="497"/>
      <c r="AG520" s="497"/>
      <c r="AH520" s="497"/>
      <c r="AI520" s="497"/>
      <c r="AJ520" s="497"/>
      <c r="AK520" s="497"/>
      <c r="AL520" s="497"/>
      <c r="AM520" s="497"/>
      <c r="AN520" s="497"/>
      <c r="AO520" s="497"/>
      <c r="AP520" s="497"/>
      <c r="AQ520" s="497"/>
      <c r="AR520" s="497"/>
      <c r="AS520" s="497"/>
      <c r="AT520" s="497"/>
      <c r="AU520" s="497"/>
      <c r="AV520" s="497"/>
      <c r="AW520" s="497"/>
      <c r="AX520" s="497"/>
      <c r="AY520" s="497"/>
      <c r="AZ520" s="497"/>
      <c r="BA520" s="497"/>
      <c r="BB520" s="497"/>
      <c r="BC520" s="497"/>
      <c r="BD520" s="497"/>
      <c r="BE520" s="497"/>
      <c r="BF520" s="497"/>
      <c r="BG520" s="497"/>
      <c r="BH520" s="497"/>
      <c r="BI520" s="497"/>
      <c r="BJ520" s="497"/>
      <c r="BK520" s="497"/>
      <c r="BL520" s="497"/>
      <c r="BM520" s="497"/>
      <c r="BN520" s="497"/>
      <c r="BO520" s="497"/>
      <c r="BP520" s="497"/>
      <c r="BQ520" s="497"/>
      <c r="BR520" s="497"/>
      <c r="BS520" s="497"/>
      <c r="BT520" s="497"/>
      <c r="BU520" s="497"/>
      <c r="BV520" s="497"/>
      <c r="BW520" s="497"/>
      <c r="BX520" s="497"/>
      <c r="BY520" s="497"/>
      <c r="BZ520" s="497"/>
      <c r="CA520" s="497"/>
      <c r="CB520" s="497"/>
      <c r="CC520" s="497"/>
      <c r="CD520" s="497"/>
      <c r="CE520" s="497"/>
      <c r="CF520" s="497"/>
      <c r="CG520" s="497"/>
      <c r="CH520" s="497"/>
    </row>
    <row r="521" spans="1:86" s="335" customFormat="1">
      <c r="A521" s="517"/>
      <c r="B521" s="517"/>
      <c r="C521" s="517"/>
      <c r="D521" s="517"/>
      <c r="E521" s="517"/>
      <c r="F521" s="517"/>
      <c r="G521" s="517"/>
      <c r="H521" s="639"/>
      <c r="I521" s="639"/>
      <c r="J521" s="336"/>
      <c r="K521" s="2056"/>
      <c r="L521" s="337"/>
      <c r="N521" s="2057"/>
      <c r="O521" s="337"/>
      <c r="P521" s="337"/>
      <c r="Q521" s="337"/>
      <c r="R521" s="337"/>
      <c r="S521" s="337"/>
      <c r="T521" s="337"/>
      <c r="U521" s="497"/>
      <c r="V521" s="497"/>
      <c r="W521" s="497"/>
      <c r="X521" s="497"/>
      <c r="Y521" s="497"/>
      <c r="Z521" s="497"/>
      <c r="AA521" s="497"/>
      <c r="AB521" s="497"/>
      <c r="AC521" s="497"/>
      <c r="AD521" s="497"/>
      <c r="AE521" s="497"/>
      <c r="AF521" s="497"/>
      <c r="AG521" s="497"/>
      <c r="AH521" s="497"/>
      <c r="AI521" s="497"/>
      <c r="AJ521" s="497"/>
      <c r="AK521" s="497"/>
      <c r="AL521" s="497"/>
      <c r="AM521" s="497"/>
      <c r="AN521" s="497"/>
      <c r="AO521" s="497"/>
      <c r="AP521" s="497"/>
      <c r="AQ521" s="497"/>
      <c r="AR521" s="497"/>
      <c r="AS521" s="497"/>
      <c r="AT521" s="497"/>
      <c r="AU521" s="497"/>
      <c r="AV521" s="497"/>
      <c r="AW521" s="497"/>
      <c r="AX521" s="497"/>
      <c r="AY521" s="497"/>
      <c r="AZ521" s="497"/>
      <c r="BA521" s="497"/>
      <c r="BB521" s="497"/>
      <c r="BC521" s="497"/>
      <c r="BD521" s="497"/>
      <c r="BE521" s="497"/>
      <c r="BF521" s="497"/>
      <c r="BG521" s="497"/>
      <c r="BH521" s="497"/>
      <c r="BI521" s="497"/>
      <c r="BJ521" s="497"/>
      <c r="BK521" s="497"/>
      <c r="BL521" s="497"/>
      <c r="BM521" s="497"/>
      <c r="BN521" s="497"/>
      <c r="BO521" s="497"/>
      <c r="BP521" s="497"/>
      <c r="BQ521" s="497"/>
      <c r="BR521" s="497"/>
      <c r="BS521" s="497"/>
      <c r="BT521" s="497"/>
      <c r="BU521" s="497"/>
      <c r="BV521" s="497"/>
      <c r="BW521" s="497"/>
      <c r="BX521" s="497"/>
      <c r="BY521" s="497"/>
      <c r="BZ521" s="497"/>
      <c r="CA521" s="497"/>
      <c r="CB521" s="497"/>
      <c r="CC521" s="497"/>
      <c r="CD521" s="497"/>
      <c r="CE521" s="497"/>
      <c r="CF521" s="497"/>
      <c r="CG521" s="497"/>
      <c r="CH521" s="497"/>
    </row>
    <row r="522" spans="1:86" s="335" customFormat="1">
      <c r="A522" s="517"/>
      <c r="B522" s="517"/>
      <c r="C522" s="517"/>
      <c r="D522" s="517"/>
      <c r="E522" s="517"/>
      <c r="F522" s="517"/>
      <c r="G522" s="517"/>
      <c r="H522" s="639"/>
      <c r="I522" s="639"/>
      <c r="J522" s="336"/>
      <c r="K522" s="2056"/>
      <c r="L522" s="337"/>
      <c r="N522" s="2057"/>
      <c r="O522" s="337"/>
      <c r="P522" s="337"/>
      <c r="Q522" s="337"/>
      <c r="R522" s="337"/>
      <c r="S522" s="337"/>
      <c r="T522" s="337"/>
      <c r="U522" s="497"/>
      <c r="V522" s="497"/>
      <c r="W522" s="497"/>
      <c r="X522" s="497"/>
      <c r="Y522" s="497"/>
      <c r="Z522" s="497"/>
      <c r="AA522" s="497"/>
      <c r="AB522" s="497"/>
      <c r="AC522" s="497"/>
      <c r="AD522" s="497"/>
      <c r="AE522" s="497"/>
      <c r="AF522" s="497"/>
      <c r="AG522" s="497"/>
      <c r="AH522" s="497"/>
      <c r="AI522" s="497"/>
      <c r="AJ522" s="497"/>
      <c r="AK522" s="497"/>
      <c r="AL522" s="497"/>
      <c r="AM522" s="497"/>
      <c r="AN522" s="497"/>
      <c r="AO522" s="497"/>
      <c r="AP522" s="497"/>
      <c r="AQ522" s="497"/>
      <c r="AR522" s="497"/>
      <c r="AS522" s="497"/>
      <c r="AT522" s="497"/>
      <c r="AU522" s="497"/>
      <c r="AV522" s="497"/>
      <c r="AW522" s="497"/>
      <c r="AX522" s="497"/>
      <c r="AY522" s="497"/>
      <c r="AZ522" s="497"/>
      <c r="BA522" s="497"/>
      <c r="BB522" s="497"/>
      <c r="BC522" s="497"/>
      <c r="BD522" s="497"/>
      <c r="BE522" s="497"/>
      <c r="BF522" s="497"/>
      <c r="BG522" s="497"/>
      <c r="BH522" s="497"/>
      <c r="BI522" s="497"/>
      <c r="BJ522" s="497"/>
      <c r="BK522" s="497"/>
      <c r="BL522" s="497"/>
      <c r="BM522" s="497"/>
      <c r="BN522" s="497"/>
      <c r="BO522" s="497"/>
      <c r="BP522" s="497"/>
      <c r="BQ522" s="497"/>
      <c r="BR522" s="497"/>
      <c r="BS522" s="497"/>
      <c r="BT522" s="497"/>
      <c r="BU522" s="497"/>
      <c r="BV522" s="497"/>
      <c r="BW522" s="497"/>
      <c r="BX522" s="497"/>
      <c r="BY522" s="497"/>
      <c r="BZ522" s="497"/>
      <c r="CA522" s="497"/>
      <c r="CB522" s="497"/>
      <c r="CC522" s="497"/>
      <c r="CD522" s="497"/>
      <c r="CE522" s="497"/>
      <c r="CF522" s="497"/>
      <c r="CG522" s="497"/>
      <c r="CH522" s="497"/>
    </row>
    <row r="523" spans="1:86" s="335" customFormat="1">
      <c r="A523" s="517"/>
      <c r="B523" s="517"/>
      <c r="C523" s="517"/>
      <c r="D523" s="517"/>
      <c r="E523" s="517"/>
      <c r="F523" s="517"/>
      <c r="G523" s="517"/>
      <c r="H523" s="639"/>
      <c r="I523" s="639"/>
      <c r="J523" s="336"/>
      <c r="K523" s="2056"/>
      <c r="L523" s="337"/>
      <c r="N523" s="2057"/>
      <c r="O523" s="337"/>
      <c r="P523" s="337"/>
      <c r="Q523" s="337"/>
      <c r="R523" s="337"/>
      <c r="S523" s="337"/>
      <c r="T523" s="337"/>
      <c r="U523" s="497"/>
      <c r="V523" s="497"/>
      <c r="W523" s="497"/>
      <c r="X523" s="497"/>
      <c r="Y523" s="497"/>
      <c r="Z523" s="497"/>
      <c r="AA523" s="497"/>
      <c r="AB523" s="497"/>
      <c r="AC523" s="497"/>
      <c r="AD523" s="497"/>
      <c r="AE523" s="497"/>
      <c r="AF523" s="497"/>
      <c r="AG523" s="497"/>
      <c r="AH523" s="497"/>
      <c r="AI523" s="497"/>
      <c r="AJ523" s="497"/>
      <c r="AK523" s="497"/>
      <c r="AL523" s="497"/>
      <c r="AM523" s="497"/>
      <c r="AN523" s="497"/>
      <c r="AO523" s="497"/>
      <c r="AP523" s="497"/>
      <c r="AQ523" s="497"/>
      <c r="AR523" s="497"/>
      <c r="AS523" s="497"/>
      <c r="AT523" s="497"/>
      <c r="AU523" s="497"/>
      <c r="AV523" s="497"/>
      <c r="AW523" s="497"/>
      <c r="AX523" s="497"/>
      <c r="AY523" s="497"/>
      <c r="AZ523" s="497"/>
      <c r="BA523" s="497"/>
      <c r="BB523" s="497"/>
      <c r="BC523" s="497"/>
      <c r="BD523" s="497"/>
      <c r="BE523" s="497"/>
      <c r="BF523" s="497"/>
      <c r="BG523" s="497"/>
      <c r="BH523" s="497"/>
      <c r="BI523" s="497"/>
      <c r="BJ523" s="497"/>
      <c r="BK523" s="497"/>
      <c r="BL523" s="497"/>
      <c r="BM523" s="497"/>
      <c r="BN523" s="497"/>
      <c r="BO523" s="497"/>
      <c r="BP523" s="497"/>
      <c r="BQ523" s="497"/>
      <c r="BR523" s="497"/>
      <c r="BS523" s="497"/>
      <c r="BT523" s="497"/>
      <c r="BU523" s="497"/>
      <c r="BV523" s="497"/>
      <c r="BW523" s="497"/>
      <c r="BX523" s="497"/>
      <c r="BY523" s="497"/>
      <c r="BZ523" s="497"/>
      <c r="CA523" s="497"/>
      <c r="CB523" s="497"/>
      <c r="CC523" s="497"/>
      <c r="CD523" s="497"/>
      <c r="CE523" s="497"/>
      <c r="CF523" s="497"/>
      <c r="CG523" s="497"/>
      <c r="CH523" s="497"/>
    </row>
    <row r="524" spans="1:86" s="335" customFormat="1">
      <c r="A524" s="517"/>
      <c r="B524" s="517"/>
      <c r="C524" s="517"/>
      <c r="D524" s="517"/>
      <c r="E524" s="517"/>
      <c r="F524" s="517"/>
      <c r="G524" s="517"/>
      <c r="H524" s="639"/>
      <c r="I524" s="639"/>
      <c r="J524" s="336"/>
      <c r="K524" s="2056"/>
      <c r="L524" s="337"/>
      <c r="N524" s="2057"/>
      <c r="O524" s="337"/>
      <c r="P524" s="337"/>
      <c r="Q524" s="337"/>
      <c r="R524" s="337"/>
      <c r="S524" s="337"/>
      <c r="T524" s="337"/>
      <c r="U524" s="497"/>
      <c r="V524" s="497"/>
      <c r="W524" s="497"/>
      <c r="X524" s="497"/>
      <c r="Y524" s="497"/>
      <c r="Z524" s="497"/>
      <c r="AA524" s="497"/>
      <c r="AB524" s="497"/>
      <c r="AC524" s="497"/>
      <c r="AD524" s="497"/>
      <c r="AE524" s="497"/>
      <c r="AF524" s="497"/>
      <c r="AG524" s="497"/>
      <c r="AH524" s="497"/>
      <c r="AI524" s="497"/>
      <c r="AJ524" s="497"/>
      <c r="AK524" s="497"/>
      <c r="AL524" s="497"/>
      <c r="AM524" s="497"/>
      <c r="AN524" s="497"/>
      <c r="AO524" s="497"/>
      <c r="AP524" s="497"/>
      <c r="AQ524" s="497"/>
      <c r="AR524" s="497"/>
      <c r="AS524" s="497"/>
      <c r="AT524" s="497"/>
      <c r="AU524" s="497"/>
      <c r="AV524" s="497"/>
      <c r="AW524" s="497"/>
      <c r="AX524" s="497"/>
      <c r="AY524" s="497"/>
      <c r="AZ524" s="497"/>
      <c r="BA524" s="497"/>
      <c r="BB524" s="497"/>
      <c r="BC524" s="497"/>
      <c r="BD524" s="497"/>
      <c r="BE524" s="497"/>
      <c r="BF524" s="497"/>
      <c r="BG524" s="497"/>
      <c r="BH524" s="497"/>
      <c r="BI524" s="497"/>
      <c r="BJ524" s="497"/>
      <c r="BK524" s="497"/>
      <c r="BL524" s="497"/>
      <c r="BM524" s="497"/>
      <c r="BN524" s="497"/>
      <c r="BO524" s="497"/>
      <c r="BP524" s="497"/>
      <c r="BQ524" s="497"/>
      <c r="BR524" s="497"/>
      <c r="BS524" s="497"/>
      <c r="BT524" s="497"/>
      <c r="BU524" s="497"/>
      <c r="BV524" s="497"/>
      <c r="BW524" s="497"/>
      <c r="BX524" s="497"/>
      <c r="BY524" s="497"/>
      <c r="BZ524" s="497"/>
      <c r="CA524" s="497"/>
      <c r="CB524" s="497"/>
      <c r="CC524" s="497"/>
      <c r="CD524" s="497"/>
      <c r="CE524" s="497"/>
      <c r="CF524" s="497"/>
      <c r="CG524" s="497"/>
      <c r="CH524" s="497"/>
    </row>
    <row r="525" spans="1:86" s="335" customFormat="1">
      <c r="A525" s="517"/>
      <c r="B525" s="517"/>
      <c r="C525" s="517"/>
      <c r="D525" s="517"/>
      <c r="E525" s="517"/>
      <c r="F525" s="517"/>
      <c r="G525" s="517"/>
      <c r="H525" s="639"/>
      <c r="I525" s="639"/>
      <c r="J525" s="336"/>
      <c r="K525" s="2056"/>
      <c r="L525" s="337"/>
      <c r="N525" s="2057"/>
      <c r="O525" s="337"/>
      <c r="P525" s="337"/>
      <c r="Q525" s="337"/>
      <c r="R525" s="337"/>
      <c r="S525" s="337"/>
      <c r="T525" s="337"/>
      <c r="U525" s="497"/>
      <c r="V525" s="497"/>
      <c r="W525" s="497"/>
      <c r="X525" s="497"/>
      <c r="Y525" s="497"/>
      <c r="Z525" s="497"/>
      <c r="AA525" s="497"/>
      <c r="AB525" s="497"/>
      <c r="AC525" s="497"/>
      <c r="AD525" s="497"/>
      <c r="AE525" s="497"/>
      <c r="AF525" s="497"/>
      <c r="AG525" s="497"/>
      <c r="AH525" s="497"/>
      <c r="AI525" s="497"/>
      <c r="AJ525" s="497"/>
      <c r="AK525" s="497"/>
      <c r="AL525" s="497"/>
      <c r="AM525" s="497"/>
      <c r="AN525" s="497"/>
      <c r="AO525" s="497"/>
      <c r="AP525" s="497"/>
      <c r="AQ525" s="497"/>
      <c r="AR525" s="497"/>
      <c r="AS525" s="497"/>
      <c r="AT525" s="497"/>
      <c r="AU525" s="497"/>
      <c r="AV525" s="497"/>
      <c r="AW525" s="497"/>
      <c r="AX525" s="497"/>
      <c r="AY525" s="497"/>
      <c r="AZ525" s="497"/>
      <c r="BA525" s="497"/>
      <c r="BB525" s="497"/>
      <c r="BC525" s="497"/>
      <c r="BD525" s="497"/>
      <c r="BE525" s="497"/>
      <c r="BF525" s="497"/>
      <c r="BG525" s="497"/>
      <c r="BH525" s="497"/>
      <c r="BI525" s="497"/>
      <c r="BJ525" s="497"/>
      <c r="BK525" s="497"/>
      <c r="BL525" s="497"/>
      <c r="BM525" s="497"/>
      <c r="BN525" s="497"/>
      <c r="BO525" s="497"/>
      <c r="BP525" s="497"/>
      <c r="BQ525" s="497"/>
      <c r="BR525" s="497"/>
      <c r="BS525" s="497"/>
      <c r="BT525" s="497"/>
      <c r="BU525" s="497"/>
      <c r="BV525" s="497"/>
      <c r="BW525" s="497"/>
      <c r="BX525" s="497"/>
      <c r="BY525" s="497"/>
      <c r="BZ525" s="497"/>
      <c r="CA525" s="497"/>
      <c r="CB525" s="497"/>
      <c r="CC525" s="497"/>
      <c r="CD525" s="497"/>
      <c r="CE525" s="497"/>
      <c r="CF525" s="497"/>
      <c r="CG525" s="497"/>
      <c r="CH525" s="497"/>
    </row>
    <row r="526" spans="1:86" s="335" customFormat="1">
      <c r="A526" s="517"/>
      <c r="B526" s="517"/>
      <c r="C526" s="517"/>
      <c r="D526" s="517"/>
      <c r="E526" s="517"/>
      <c r="F526" s="517"/>
      <c r="G526" s="517"/>
      <c r="H526" s="639"/>
      <c r="I526" s="639"/>
      <c r="J526" s="336"/>
      <c r="K526" s="2056"/>
      <c r="L526" s="337"/>
      <c r="N526" s="2057"/>
      <c r="O526" s="337"/>
      <c r="P526" s="337"/>
      <c r="Q526" s="337"/>
      <c r="R526" s="337"/>
      <c r="S526" s="337"/>
      <c r="T526" s="337"/>
      <c r="U526" s="497"/>
      <c r="V526" s="497"/>
      <c r="W526" s="497"/>
      <c r="X526" s="497"/>
      <c r="Y526" s="497"/>
      <c r="Z526" s="497"/>
      <c r="AA526" s="497"/>
      <c r="AB526" s="497"/>
      <c r="AC526" s="497"/>
      <c r="AD526" s="497"/>
      <c r="AE526" s="497"/>
      <c r="AF526" s="497"/>
      <c r="AG526" s="497"/>
      <c r="AH526" s="497"/>
      <c r="AI526" s="497"/>
      <c r="AJ526" s="497"/>
      <c r="AK526" s="497"/>
      <c r="AL526" s="497"/>
      <c r="AM526" s="497"/>
      <c r="AN526" s="497"/>
      <c r="AO526" s="497"/>
      <c r="AP526" s="497"/>
      <c r="AQ526" s="497"/>
      <c r="AR526" s="497"/>
      <c r="AS526" s="497"/>
      <c r="AT526" s="497"/>
      <c r="AU526" s="497"/>
      <c r="AV526" s="497"/>
      <c r="AW526" s="497"/>
      <c r="AX526" s="497"/>
      <c r="AY526" s="497"/>
      <c r="AZ526" s="497"/>
      <c r="BA526" s="497"/>
      <c r="BB526" s="497"/>
      <c r="BC526" s="497"/>
      <c r="BD526" s="497"/>
      <c r="BE526" s="497"/>
      <c r="BF526" s="497"/>
      <c r="BG526" s="497"/>
      <c r="BH526" s="497"/>
      <c r="BI526" s="497"/>
      <c r="BJ526" s="497"/>
      <c r="BK526" s="497"/>
      <c r="BL526" s="497"/>
      <c r="BM526" s="497"/>
      <c r="BN526" s="497"/>
      <c r="BO526" s="497"/>
      <c r="BP526" s="497"/>
      <c r="BQ526" s="497"/>
      <c r="BR526" s="497"/>
      <c r="BS526" s="497"/>
      <c r="BT526" s="497"/>
      <c r="BU526" s="497"/>
      <c r="BV526" s="497"/>
      <c r="BW526" s="497"/>
      <c r="BX526" s="497"/>
      <c r="BY526" s="497"/>
      <c r="BZ526" s="497"/>
      <c r="CA526" s="497"/>
      <c r="CB526" s="497"/>
      <c r="CC526" s="497"/>
      <c r="CD526" s="497"/>
      <c r="CE526" s="497"/>
      <c r="CF526" s="497"/>
      <c r="CG526" s="497"/>
      <c r="CH526" s="497"/>
    </row>
    <row r="527" spans="1:86" s="335" customFormat="1">
      <c r="A527" s="517"/>
      <c r="B527" s="517"/>
      <c r="C527" s="517"/>
      <c r="D527" s="517"/>
      <c r="E527" s="517"/>
      <c r="F527" s="517"/>
      <c r="G527" s="517"/>
      <c r="H527" s="639"/>
      <c r="I527" s="639"/>
      <c r="J527" s="336"/>
      <c r="K527" s="2056"/>
      <c r="L527" s="337"/>
      <c r="N527" s="2057"/>
      <c r="O527" s="337"/>
      <c r="P527" s="337"/>
      <c r="Q527" s="337"/>
      <c r="R527" s="337"/>
      <c r="S527" s="337"/>
      <c r="T527" s="337"/>
      <c r="U527" s="497"/>
      <c r="V527" s="497"/>
      <c r="W527" s="497"/>
      <c r="X527" s="497"/>
      <c r="Y527" s="497"/>
      <c r="Z527" s="497"/>
      <c r="AA527" s="497"/>
      <c r="AB527" s="497"/>
      <c r="AC527" s="497"/>
      <c r="AD527" s="497"/>
      <c r="AE527" s="497"/>
      <c r="AF527" s="497"/>
      <c r="AG527" s="497"/>
      <c r="AH527" s="497"/>
      <c r="AI527" s="497"/>
      <c r="AJ527" s="497"/>
      <c r="AK527" s="497"/>
      <c r="AL527" s="497"/>
      <c r="AM527" s="497"/>
      <c r="AN527" s="497"/>
      <c r="AO527" s="497"/>
      <c r="AP527" s="497"/>
      <c r="AQ527" s="497"/>
      <c r="AR527" s="497"/>
      <c r="AS527" s="497"/>
      <c r="AT527" s="497"/>
      <c r="AU527" s="497"/>
      <c r="AV527" s="497"/>
      <c r="AW527" s="497"/>
      <c r="AX527" s="497"/>
      <c r="AY527" s="497"/>
      <c r="AZ527" s="497"/>
      <c r="BA527" s="497"/>
      <c r="BB527" s="497"/>
      <c r="BC527" s="497"/>
      <c r="BD527" s="497"/>
      <c r="BE527" s="497"/>
      <c r="BF527" s="497"/>
      <c r="BG527" s="497"/>
      <c r="BH527" s="497"/>
      <c r="BI527" s="497"/>
      <c r="BJ527" s="497"/>
      <c r="BK527" s="497"/>
      <c r="BL527" s="497"/>
      <c r="BM527" s="497"/>
      <c r="BN527" s="497"/>
      <c r="BO527" s="497"/>
      <c r="BP527" s="497"/>
      <c r="BQ527" s="497"/>
      <c r="BR527" s="497"/>
      <c r="BS527" s="497"/>
      <c r="BT527" s="497"/>
      <c r="BU527" s="497"/>
      <c r="BV527" s="497"/>
      <c r="BW527" s="497"/>
      <c r="BX527" s="497"/>
      <c r="BY527" s="497"/>
      <c r="BZ527" s="497"/>
      <c r="CA527" s="497"/>
      <c r="CB527" s="497"/>
      <c r="CC527" s="497"/>
      <c r="CD527" s="497"/>
      <c r="CE527" s="497"/>
      <c r="CF527" s="497"/>
      <c r="CG527" s="497"/>
      <c r="CH527" s="497"/>
    </row>
    <row r="528" spans="1:86" s="335" customFormat="1">
      <c r="A528" s="517"/>
      <c r="B528" s="517"/>
      <c r="C528" s="517"/>
      <c r="D528" s="517"/>
      <c r="E528" s="517"/>
      <c r="F528" s="517"/>
      <c r="G528" s="517"/>
      <c r="H528" s="639"/>
      <c r="I528" s="639"/>
      <c r="J528" s="336"/>
      <c r="K528" s="2056"/>
      <c r="L528" s="337"/>
      <c r="N528" s="2057"/>
      <c r="O528" s="337"/>
      <c r="P528" s="337"/>
      <c r="Q528" s="337"/>
      <c r="R528" s="337"/>
      <c r="S528" s="337"/>
      <c r="T528" s="337"/>
      <c r="U528" s="497"/>
      <c r="V528" s="497"/>
      <c r="W528" s="497"/>
      <c r="X528" s="497"/>
      <c r="Y528" s="497"/>
      <c r="Z528" s="497"/>
      <c r="AA528" s="497"/>
      <c r="AB528" s="497"/>
      <c r="AC528" s="497"/>
      <c r="AD528" s="497"/>
      <c r="AE528" s="497"/>
      <c r="AF528" s="497"/>
      <c r="AG528" s="497"/>
      <c r="AH528" s="497"/>
      <c r="AI528" s="497"/>
      <c r="AJ528" s="497"/>
      <c r="AK528" s="497"/>
      <c r="AL528" s="497"/>
      <c r="AM528" s="497"/>
      <c r="AN528" s="497"/>
      <c r="AO528" s="497"/>
      <c r="AP528" s="497"/>
      <c r="AQ528" s="497"/>
      <c r="AR528" s="497"/>
      <c r="AS528" s="497"/>
      <c r="AT528" s="497"/>
      <c r="AU528" s="497"/>
      <c r="AV528" s="497"/>
      <c r="AW528" s="497"/>
      <c r="AX528" s="497"/>
      <c r="AY528" s="497"/>
      <c r="AZ528" s="497"/>
      <c r="BA528" s="497"/>
      <c r="BB528" s="497"/>
      <c r="BC528" s="497"/>
      <c r="BD528" s="497"/>
      <c r="BE528" s="497"/>
      <c r="BF528" s="497"/>
      <c r="BG528" s="497"/>
      <c r="BH528" s="497"/>
      <c r="BI528" s="497"/>
      <c r="BJ528" s="497"/>
      <c r="BK528" s="497"/>
      <c r="BL528" s="497"/>
      <c r="BM528" s="497"/>
      <c r="BN528" s="497"/>
      <c r="BO528" s="497"/>
      <c r="BP528" s="497"/>
      <c r="BQ528" s="497"/>
      <c r="BR528" s="497"/>
      <c r="BS528" s="497"/>
      <c r="BT528" s="497"/>
      <c r="BU528" s="497"/>
      <c r="BV528" s="497"/>
      <c r="BW528" s="497"/>
      <c r="BX528" s="497"/>
      <c r="BY528" s="497"/>
      <c r="BZ528" s="497"/>
      <c r="CA528" s="497"/>
      <c r="CB528" s="497"/>
      <c r="CC528" s="497"/>
      <c r="CD528" s="497"/>
      <c r="CE528" s="497"/>
      <c r="CF528" s="497"/>
      <c r="CG528" s="497"/>
      <c r="CH528" s="497"/>
    </row>
    <row r="529" spans="1:86" s="335" customFormat="1">
      <c r="A529" s="517"/>
      <c r="B529" s="517"/>
      <c r="C529" s="517"/>
      <c r="D529" s="517"/>
      <c r="E529" s="517"/>
      <c r="F529" s="517"/>
      <c r="G529" s="517"/>
      <c r="H529" s="639"/>
      <c r="I529" s="639"/>
      <c r="J529" s="336"/>
      <c r="K529" s="2056"/>
      <c r="L529" s="337"/>
      <c r="N529" s="2057"/>
      <c r="O529" s="337"/>
      <c r="P529" s="337"/>
      <c r="Q529" s="337"/>
      <c r="R529" s="337"/>
      <c r="S529" s="337"/>
      <c r="T529" s="337"/>
      <c r="U529" s="497"/>
      <c r="V529" s="497"/>
      <c r="W529" s="497"/>
      <c r="X529" s="497"/>
      <c r="Y529" s="497"/>
      <c r="Z529" s="497"/>
      <c r="AA529" s="497"/>
      <c r="AB529" s="497"/>
      <c r="AC529" s="497"/>
      <c r="AD529" s="497"/>
      <c r="AE529" s="497"/>
      <c r="AF529" s="497"/>
      <c r="AG529" s="497"/>
      <c r="AH529" s="497"/>
      <c r="AI529" s="497"/>
      <c r="AJ529" s="497"/>
      <c r="AK529" s="497"/>
      <c r="AL529" s="497"/>
      <c r="AM529" s="497"/>
      <c r="AN529" s="497"/>
      <c r="AO529" s="497"/>
      <c r="AP529" s="497"/>
      <c r="AQ529" s="497"/>
      <c r="AR529" s="497"/>
      <c r="AS529" s="497"/>
      <c r="AT529" s="497"/>
      <c r="AU529" s="497"/>
      <c r="AV529" s="497"/>
      <c r="AW529" s="497"/>
      <c r="AX529" s="497"/>
      <c r="AY529" s="497"/>
      <c r="AZ529" s="497"/>
      <c r="BA529" s="497"/>
      <c r="BB529" s="497"/>
      <c r="BC529" s="497"/>
      <c r="BD529" s="497"/>
      <c r="BE529" s="497"/>
      <c r="BF529" s="497"/>
      <c r="BG529" s="497"/>
      <c r="BH529" s="497"/>
      <c r="BI529" s="497"/>
      <c r="BJ529" s="497"/>
      <c r="BK529" s="497"/>
      <c r="BL529" s="497"/>
      <c r="BM529" s="497"/>
      <c r="BN529" s="497"/>
      <c r="BO529" s="497"/>
      <c r="BP529" s="497"/>
      <c r="BQ529" s="497"/>
      <c r="BR529" s="497"/>
      <c r="BS529" s="497"/>
      <c r="BT529" s="497"/>
      <c r="BU529" s="497"/>
      <c r="BV529" s="497"/>
      <c r="BW529" s="497"/>
      <c r="BX529" s="497"/>
      <c r="BY529" s="497"/>
      <c r="BZ529" s="497"/>
      <c r="CA529" s="497"/>
      <c r="CB529" s="497"/>
      <c r="CC529" s="497"/>
      <c r="CD529" s="497"/>
      <c r="CE529" s="497"/>
      <c r="CF529" s="497"/>
      <c r="CG529" s="497"/>
      <c r="CH529" s="497"/>
    </row>
    <row r="530" spans="1:86" s="335" customFormat="1">
      <c r="A530" s="517"/>
      <c r="B530" s="517"/>
      <c r="C530" s="517"/>
      <c r="D530" s="517"/>
      <c r="E530" s="517"/>
      <c r="F530" s="517"/>
      <c r="G530" s="517"/>
      <c r="H530" s="639"/>
      <c r="I530" s="639"/>
      <c r="J530" s="336"/>
      <c r="K530" s="2056"/>
      <c r="L530" s="337"/>
      <c r="N530" s="2057"/>
      <c r="O530" s="337"/>
      <c r="P530" s="337"/>
      <c r="Q530" s="337"/>
      <c r="R530" s="337"/>
      <c r="S530" s="337"/>
      <c r="T530" s="337"/>
      <c r="U530" s="497"/>
      <c r="V530" s="497"/>
      <c r="W530" s="497"/>
      <c r="X530" s="497"/>
      <c r="Y530" s="497"/>
      <c r="Z530" s="497"/>
      <c r="AA530" s="497"/>
      <c r="AB530" s="497"/>
      <c r="AC530" s="497"/>
      <c r="AD530" s="497"/>
      <c r="AE530" s="497"/>
      <c r="AF530" s="497"/>
      <c r="AG530" s="497"/>
      <c r="AH530" s="497"/>
      <c r="AI530" s="497"/>
      <c r="AJ530" s="497"/>
      <c r="AK530" s="497"/>
      <c r="AL530" s="497"/>
      <c r="AM530" s="497"/>
      <c r="AN530" s="497"/>
      <c r="AO530" s="497"/>
      <c r="AP530" s="497"/>
      <c r="AQ530" s="497"/>
      <c r="AR530" s="497"/>
      <c r="AS530" s="497"/>
      <c r="AT530" s="497"/>
      <c r="AU530" s="497"/>
      <c r="AV530" s="497"/>
      <c r="AW530" s="497"/>
      <c r="AX530" s="497"/>
      <c r="AY530" s="497"/>
      <c r="AZ530" s="497"/>
      <c r="BA530" s="497"/>
      <c r="BB530" s="497"/>
      <c r="BC530" s="497"/>
      <c r="BD530" s="497"/>
      <c r="BE530" s="497"/>
      <c r="BF530" s="497"/>
      <c r="BG530" s="497"/>
      <c r="BH530" s="497"/>
      <c r="BI530" s="497"/>
      <c r="BJ530" s="497"/>
      <c r="BK530" s="497"/>
      <c r="BL530" s="497"/>
      <c r="BM530" s="497"/>
      <c r="BN530" s="497"/>
      <c r="BO530" s="497"/>
      <c r="BP530" s="497"/>
      <c r="BQ530" s="497"/>
      <c r="BR530" s="497"/>
      <c r="BS530" s="497"/>
      <c r="BT530" s="497"/>
      <c r="BU530" s="497"/>
      <c r="BV530" s="497"/>
      <c r="BW530" s="497"/>
      <c r="BX530" s="497"/>
      <c r="BY530" s="497"/>
      <c r="BZ530" s="497"/>
      <c r="CA530" s="497"/>
      <c r="CB530" s="497"/>
      <c r="CC530" s="497"/>
      <c r="CD530" s="497"/>
      <c r="CE530" s="497"/>
      <c r="CF530" s="497"/>
      <c r="CG530" s="497"/>
      <c r="CH530" s="497"/>
    </row>
    <row r="531" spans="1:86" s="335" customFormat="1">
      <c r="A531" s="517"/>
      <c r="B531" s="517"/>
      <c r="C531" s="517"/>
      <c r="D531" s="517"/>
      <c r="E531" s="517"/>
      <c r="F531" s="517"/>
      <c r="G531" s="517"/>
      <c r="H531" s="639"/>
      <c r="I531" s="639"/>
      <c r="J531" s="336"/>
      <c r="K531" s="2056"/>
      <c r="L531" s="337"/>
      <c r="N531" s="2057"/>
      <c r="O531" s="337"/>
      <c r="P531" s="337"/>
      <c r="Q531" s="337"/>
      <c r="R531" s="337"/>
      <c r="S531" s="337"/>
      <c r="T531" s="337"/>
      <c r="U531" s="497"/>
      <c r="V531" s="497"/>
      <c r="W531" s="497"/>
      <c r="X531" s="497"/>
      <c r="Y531" s="497"/>
      <c r="Z531" s="497"/>
      <c r="AA531" s="497"/>
      <c r="AB531" s="497"/>
      <c r="AC531" s="497"/>
      <c r="AD531" s="497"/>
      <c r="AE531" s="497"/>
      <c r="AF531" s="497"/>
      <c r="AG531" s="497"/>
      <c r="AH531" s="497"/>
      <c r="AI531" s="497"/>
      <c r="AJ531" s="497"/>
      <c r="AK531" s="497"/>
      <c r="AL531" s="497"/>
      <c r="AM531" s="497"/>
      <c r="AN531" s="497"/>
      <c r="AO531" s="497"/>
      <c r="AP531" s="497"/>
      <c r="AQ531" s="497"/>
      <c r="AR531" s="497"/>
      <c r="AS531" s="497"/>
      <c r="AT531" s="497"/>
      <c r="AU531" s="497"/>
      <c r="AV531" s="497"/>
      <c r="AW531" s="497"/>
      <c r="AX531" s="497"/>
      <c r="AY531" s="497"/>
      <c r="AZ531" s="497"/>
      <c r="BA531" s="497"/>
      <c r="BB531" s="497"/>
      <c r="BC531" s="497"/>
      <c r="BD531" s="497"/>
      <c r="BE531" s="497"/>
      <c r="BF531" s="497"/>
      <c r="BG531" s="497"/>
      <c r="BH531" s="497"/>
      <c r="BI531" s="497"/>
      <c r="BJ531" s="497"/>
      <c r="BK531" s="497"/>
      <c r="BL531" s="497"/>
      <c r="BM531" s="497"/>
      <c r="BN531" s="497"/>
      <c r="BO531" s="497"/>
      <c r="BP531" s="497"/>
      <c r="BQ531" s="497"/>
      <c r="BR531" s="497"/>
      <c r="BS531" s="497"/>
      <c r="BT531" s="497"/>
      <c r="BU531" s="497"/>
      <c r="BV531" s="497"/>
      <c r="BW531" s="497"/>
      <c r="BX531" s="497"/>
      <c r="BY531" s="497"/>
      <c r="BZ531" s="497"/>
      <c r="CA531" s="497"/>
      <c r="CB531" s="497"/>
      <c r="CC531" s="497"/>
      <c r="CD531" s="497"/>
      <c r="CE531" s="497"/>
      <c r="CF531" s="497"/>
      <c r="CG531" s="497"/>
      <c r="CH531" s="497"/>
    </row>
    <row r="532" spans="1:86" s="335" customFormat="1">
      <c r="A532" s="517"/>
      <c r="B532" s="517"/>
      <c r="C532" s="517"/>
      <c r="D532" s="517"/>
      <c r="E532" s="517"/>
      <c r="F532" s="517"/>
      <c r="G532" s="517"/>
      <c r="H532" s="639"/>
      <c r="I532" s="639"/>
      <c r="J532" s="336"/>
      <c r="K532" s="2056"/>
      <c r="L532" s="337"/>
      <c r="N532" s="2057"/>
      <c r="O532" s="337"/>
      <c r="P532" s="337"/>
      <c r="Q532" s="337"/>
      <c r="R532" s="337"/>
      <c r="S532" s="337"/>
      <c r="T532" s="337"/>
      <c r="U532" s="497"/>
      <c r="V532" s="497"/>
      <c r="W532" s="497"/>
      <c r="X532" s="497"/>
      <c r="Y532" s="497"/>
      <c r="Z532" s="497"/>
      <c r="AA532" s="497"/>
      <c r="AB532" s="497"/>
      <c r="AC532" s="497"/>
      <c r="AD532" s="497"/>
      <c r="AE532" s="497"/>
      <c r="AF532" s="497"/>
      <c r="AG532" s="497"/>
      <c r="AH532" s="497"/>
      <c r="AI532" s="497"/>
      <c r="AJ532" s="497"/>
      <c r="AK532" s="497"/>
      <c r="AL532" s="497"/>
      <c r="AM532" s="497"/>
      <c r="AN532" s="497"/>
      <c r="AO532" s="497"/>
      <c r="AP532" s="497"/>
      <c r="AQ532" s="497"/>
      <c r="AR532" s="497"/>
      <c r="AS532" s="497"/>
      <c r="AT532" s="497"/>
      <c r="AU532" s="497"/>
      <c r="AV532" s="497"/>
      <c r="AW532" s="497"/>
      <c r="AX532" s="497"/>
      <c r="AY532" s="497"/>
      <c r="AZ532" s="497"/>
      <c r="BA532" s="497"/>
      <c r="BB532" s="497"/>
      <c r="BC532" s="497"/>
      <c r="BD532" s="497"/>
      <c r="BE532" s="497"/>
      <c r="BF532" s="497"/>
      <c r="BG532" s="497"/>
      <c r="BH532" s="497"/>
      <c r="BI532" s="497"/>
      <c r="BJ532" s="497"/>
      <c r="BK532" s="497"/>
      <c r="BL532" s="497"/>
      <c r="BM532" s="497"/>
      <c r="BN532" s="497"/>
      <c r="BO532" s="497"/>
      <c r="BP532" s="497"/>
      <c r="BQ532" s="497"/>
      <c r="BR532" s="497"/>
      <c r="BS532" s="497"/>
      <c r="BT532" s="497"/>
      <c r="BU532" s="497"/>
      <c r="BV532" s="497"/>
      <c r="BW532" s="497"/>
      <c r="BX532" s="497"/>
      <c r="BY532" s="497"/>
      <c r="BZ532" s="497"/>
      <c r="CA532" s="497"/>
      <c r="CB532" s="497"/>
      <c r="CC532" s="497"/>
      <c r="CD532" s="497"/>
      <c r="CE532" s="497"/>
      <c r="CF532" s="497"/>
      <c r="CG532" s="497"/>
      <c r="CH532" s="497"/>
    </row>
    <row r="533" spans="1:86" s="335" customFormat="1">
      <c r="A533" s="517"/>
      <c r="B533" s="517"/>
      <c r="C533" s="517"/>
      <c r="D533" s="517"/>
      <c r="E533" s="517"/>
      <c r="F533" s="517"/>
      <c r="G533" s="517"/>
      <c r="H533" s="639"/>
      <c r="I533" s="639"/>
      <c r="J533" s="336"/>
      <c r="K533" s="2056"/>
      <c r="L533" s="337"/>
      <c r="N533" s="2057"/>
      <c r="O533" s="337"/>
      <c r="P533" s="337"/>
      <c r="Q533" s="337"/>
      <c r="R533" s="337"/>
      <c r="S533" s="337"/>
      <c r="T533" s="337"/>
      <c r="U533" s="497"/>
      <c r="V533" s="497"/>
      <c r="W533" s="497"/>
      <c r="X533" s="497"/>
      <c r="Y533" s="497"/>
      <c r="Z533" s="497"/>
      <c r="AA533" s="497"/>
      <c r="AB533" s="497"/>
      <c r="AC533" s="497"/>
      <c r="AD533" s="497"/>
      <c r="AE533" s="497"/>
      <c r="AF533" s="497"/>
      <c r="AG533" s="497"/>
      <c r="AH533" s="497"/>
      <c r="AI533" s="497"/>
      <c r="AJ533" s="497"/>
      <c r="AK533" s="497"/>
      <c r="AL533" s="497"/>
      <c r="AM533" s="497"/>
      <c r="AN533" s="497"/>
      <c r="AO533" s="497"/>
      <c r="AP533" s="497"/>
      <c r="AQ533" s="497"/>
      <c r="AR533" s="497"/>
      <c r="AS533" s="497"/>
      <c r="AT533" s="497"/>
      <c r="AU533" s="497"/>
      <c r="AV533" s="497"/>
      <c r="AW533" s="497"/>
      <c r="AX533" s="497"/>
      <c r="AY533" s="497"/>
      <c r="AZ533" s="497"/>
      <c r="BA533" s="497"/>
      <c r="BB533" s="497"/>
      <c r="BC533" s="497"/>
      <c r="BD533" s="497"/>
      <c r="BE533" s="497"/>
      <c r="BF533" s="497"/>
      <c r="BG533" s="497"/>
      <c r="BH533" s="497"/>
      <c r="BI533" s="497"/>
      <c r="BJ533" s="497"/>
      <c r="BK533" s="497"/>
      <c r="BL533" s="497"/>
      <c r="BM533" s="497"/>
      <c r="BN533" s="497"/>
      <c r="BO533" s="497"/>
      <c r="BP533" s="497"/>
      <c r="BQ533" s="497"/>
      <c r="BR533" s="497"/>
      <c r="BS533" s="497"/>
      <c r="BT533" s="497"/>
      <c r="BU533" s="497"/>
      <c r="BV533" s="497"/>
      <c r="BW533" s="497"/>
      <c r="BX533" s="497"/>
      <c r="BY533" s="497"/>
      <c r="BZ533" s="497"/>
      <c r="CA533" s="497"/>
      <c r="CB533" s="497"/>
      <c r="CC533" s="497"/>
      <c r="CD533" s="497"/>
      <c r="CE533" s="497"/>
      <c r="CF533" s="497"/>
      <c r="CG533" s="497"/>
      <c r="CH533" s="497"/>
    </row>
    <row r="534" spans="1:86" s="335" customFormat="1">
      <c r="A534" s="517"/>
      <c r="B534" s="517"/>
      <c r="C534" s="517"/>
      <c r="D534" s="517"/>
      <c r="E534" s="517"/>
      <c r="F534" s="517"/>
      <c r="G534" s="517"/>
      <c r="H534" s="639"/>
      <c r="I534" s="639"/>
      <c r="J534" s="336"/>
      <c r="K534" s="2056"/>
      <c r="L534" s="337"/>
      <c r="N534" s="2057"/>
      <c r="O534" s="337"/>
      <c r="P534" s="337"/>
      <c r="Q534" s="337"/>
      <c r="R534" s="337"/>
      <c r="S534" s="337"/>
      <c r="T534" s="337"/>
      <c r="U534" s="497"/>
      <c r="V534" s="497"/>
      <c r="W534" s="497"/>
      <c r="X534" s="497"/>
      <c r="Y534" s="497"/>
      <c r="Z534" s="497"/>
      <c r="AA534" s="497"/>
      <c r="AB534" s="497"/>
      <c r="AC534" s="497"/>
      <c r="AD534" s="497"/>
      <c r="AE534" s="497"/>
      <c r="AF534" s="497"/>
      <c r="AG534" s="497"/>
      <c r="AH534" s="497"/>
      <c r="AI534" s="497"/>
      <c r="AJ534" s="497"/>
      <c r="AK534" s="497"/>
      <c r="AL534" s="497"/>
      <c r="AM534" s="497"/>
      <c r="AN534" s="497"/>
      <c r="AO534" s="497"/>
      <c r="AP534" s="497"/>
      <c r="AQ534" s="497"/>
      <c r="AR534" s="497"/>
      <c r="AS534" s="497"/>
      <c r="AT534" s="497"/>
      <c r="AU534" s="497"/>
      <c r="AV534" s="497"/>
      <c r="AW534" s="497"/>
      <c r="AX534" s="497"/>
      <c r="AY534" s="497"/>
      <c r="AZ534" s="497"/>
      <c r="BA534" s="497"/>
      <c r="BB534" s="497"/>
      <c r="BC534" s="497"/>
      <c r="BD534" s="497"/>
      <c r="BE534" s="497"/>
      <c r="BF534" s="497"/>
      <c r="BG534" s="497"/>
      <c r="BH534" s="497"/>
      <c r="BI534" s="497"/>
      <c r="BJ534" s="497"/>
      <c r="BK534" s="497"/>
      <c r="BL534" s="497"/>
      <c r="BM534" s="497"/>
      <c r="BN534" s="497"/>
      <c r="BO534" s="497"/>
      <c r="BP534" s="497"/>
      <c r="BQ534" s="497"/>
      <c r="BR534" s="497"/>
      <c r="BS534" s="497"/>
      <c r="BT534" s="497"/>
      <c r="BU534" s="497"/>
      <c r="BV534" s="497"/>
      <c r="BW534" s="497"/>
      <c r="BX534" s="497"/>
      <c r="BY534" s="497"/>
      <c r="BZ534" s="497"/>
      <c r="CA534" s="497"/>
      <c r="CB534" s="497"/>
      <c r="CC534" s="497"/>
      <c r="CD534" s="497"/>
      <c r="CE534" s="497"/>
      <c r="CF534" s="497"/>
      <c r="CG534" s="497"/>
      <c r="CH534" s="497"/>
    </row>
    <row r="535" spans="1:86" s="335" customFormat="1">
      <c r="A535" s="517"/>
      <c r="B535" s="517"/>
      <c r="C535" s="517"/>
      <c r="D535" s="517"/>
      <c r="E535" s="517"/>
      <c r="F535" s="517"/>
      <c r="G535" s="517"/>
      <c r="H535" s="639"/>
      <c r="I535" s="639"/>
      <c r="J535" s="336"/>
      <c r="K535" s="2056"/>
      <c r="L535" s="337"/>
      <c r="N535" s="2057"/>
      <c r="O535" s="337"/>
      <c r="P535" s="337"/>
      <c r="Q535" s="337"/>
      <c r="R535" s="337"/>
      <c r="S535" s="337"/>
      <c r="T535" s="337"/>
      <c r="U535" s="497"/>
      <c r="V535" s="497"/>
      <c r="W535" s="497"/>
      <c r="X535" s="497"/>
      <c r="Y535" s="497"/>
      <c r="Z535" s="497"/>
      <c r="AA535" s="497"/>
      <c r="AB535" s="497"/>
      <c r="AC535" s="497"/>
      <c r="AD535" s="497"/>
      <c r="AE535" s="497"/>
      <c r="AF535" s="497"/>
      <c r="AG535" s="497"/>
      <c r="AH535" s="497"/>
      <c r="AI535" s="497"/>
      <c r="AJ535" s="497"/>
      <c r="AK535" s="497"/>
      <c r="AL535" s="497"/>
      <c r="AM535" s="497"/>
      <c r="AN535" s="497"/>
      <c r="AO535" s="497"/>
      <c r="AP535" s="497"/>
      <c r="AQ535" s="497"/>
      <c r="AR535" s="497"/>
      <c r="AS535" s="497"/>
      <c r="AT535" s="497"/>
      <c r="AU535" s="497"/>
      <c r="AV535" s="497"/>
      <c r="AW535" s="497"/>
      <c r="AX535" s="497"/>
      <c r="AY535" s="497"/>
      <c r="AZ535" s="497"/>
      <c r="BA535" s="497"/>
      <c r="BB535" s="497"/>
      <c r="BC535" s="497"/>
      <c r="BD535" s="497"/>
      <c r="BE535" s="497"/>
      <c r="BF535" s="497"/>
      <c r="BG535" s="497"/>
      <c r="BH535" s="497"/>
      <c r="BI535" s="497"/>
      <c r="BJ535" s="497"/>
      <c r="BK535" s="497"/>
      <c r="BL535" s="497"/>
      <c r="BM535" s="497"/>
      <c r="BN535" s="497"/>
      <c r="BO535" s="497"/>
      <c r="BP535" s="497"/>
      <c r="BQ535" s="497"/>
      <c r="BR535" s="497"/>
      <c r="BS535" s="497"/>
      <c r="BT535" s="497"/>
      <c r="BU535" s="497"/>
      <c r="BV535" s="497"/>
      <c r="BW535" s="497"/>
      <c r="BX535" s="497"/>
      <c r="BY535" s="497"/>
      <c r="BZ535" s="497"/>
      <c r="CA535" s="497"/>
      <c r="CB535" s="497"/>
      <c r="CC535" s="497"/>
      <c r="CD535" s="497"/>
      <c r="CE535" s="497"/>
      <c r="CF535" s="497"/>
      <c r="CG535" s="497"/>
      <c r="CH535" s="497"/>
    </row>
    <row r="536" spans="1:86" s="335" customFormat="1">
      <c r="A536" s="517"/>
      <c r="B536" s="517"/>
      <c r="C536" s="517"/>
      <c r="D536" s="517"/>
      <c r="E536" s="517"/>
      <c r="F536" s="517"/>
      <c r="G536" s="517"/>
      <c r="H536" s="639"/>
      <c r="I536" s="639"/>
      <c r="J536" s="336"/>
      <c r="K536" s="2056"/>
      <c r="L536" s="337"/>
      <c r="N536" s="2057"/>
      <c r="O536" s="337"/>
      <c r="P536" s="337"/>
      <c r="Q536" s="337"/>
      <c r="R536" s="337"/>
      <c r="S536" s="337"/>
      <c r="T536" s="337"/>
      <c r="U536" s="497"/>
      <c r="V536" s="497"/>
      <c r="W536" s="497"/>
      <c r="X536" s="497"/>
      <c r="Y536" s="497"/>
      <c r="Z536" s="497"/>
      <c r="AA536" s="497"/>
      <c r="AB536" s="497"/>
      <c r="AC536" s="497"/>
      <c r="AD536" s="497"/>
      <c r="AE536" s="497"/>
      <c r="AF536" s="497"/>
      <c r="AG536" s="497"/>
      <c r="AH536" s="497"/>
      <c r="AI536" s="497"/>
      <c r="AJ536" s="497"/>
      <c r="AK536" s="497"/>
      <c r="AL536" s="497"/>
      <c r="AM536" s="497"/>
      <c r="AN536" s="497"/>
      <c r="AO536" s="497"/>
      <c r="AP536" s="497"/>
      <c r="AQ536" s="497"/>
      <c r="AR536" s="497"/>
      <c r="AS536" s="497"/>
      <c r="AT536" s="497"/>
      <c r="AU536" s="497"/>
      <c r="AV536" s="497"/>
      <c r="AW536" s="497"/>
      <c r="AX536" s="497"/>
      <c r="AY536" s="497"/>
      <c r="AZ536" s="497"/>
      <c r="BA536" s="497"/>
      <c r="BB536" s="497"/>
      <c r="BC536" s="497"/>
      <c r="BD536" s="497"/>
      <c r="BE536" s="497"/>
      <c r="BF536" s="497"/>
      <c r="BG536" s="497"/>
      <c r="BH536" s="497"/>
      <c r="BI536" s="497"/>
      <c r="BJ536" s="497"/>
      <c r="BK536" s="497"/>
      <c r="BL536" s="497"/>
      <c r="BM536" s="497"/>
      <c r="BN536" s="497"/>
      <c r="BO536" s="497"/>
      <c r="BP536" s="497"/>
      <c r="BQ536" s="497"/>
      <c r="BR536" s="497"/>
      <c r="BS536" s="497"/>
      <c r="BT536" s="497"/>
      <c r="BU536" s="497"/>
      <c r="BV536" s="497"/>
      <c r="BW536" s="497"/>
      <c r="BX536" s="497"/>
      <c r="BY536" s="497"/>
      <c r="BZ536" s="497"/>
      <c r="CA536" s="497"/>
      <c r="CB536" s="497"/>
      <c r="CC536" s="497"/>
      <c r="CD536" s="497"/>
      <c r="CE536" s="497"/>
      <c r="CF536" s="497"/>
      <c r="CG536" s="497"/>
      <c r="CH536" s="497"/>
    </row>
    <row r="537" spans="1:86" s="335" customFormat="1">
      <c r="A537" s="517"/>
      <c r="B537" s="517"/>
      <c r="C537" s="517"/>
      <c r="D537" s="517"/>
      <c r="E537" s="517"/>
      <c r="F537" s="517"/>
      <c r="G537" s="517"/>
      <c r="H537" s="639"/>
      <c r="I537" s="639"/>
      <c r="J537" s="336"/>
      <c r="K537" s="2056"/>
      <c r="L537" s="337"/>
      <c r="N537" s="2057"/>
      <c r="O537" s="337"/>
      <c r="P537" s="337"/>
      <c r="Q537" s="337"/>
      <c r="R537" s="337"/>
      <c r="S537" s="337"/>
      <c r="T537" s="337"/>
      <c r="U537" s="497"/>
      <c r="V537" s="497"/>
      <c r="W537" s="497"/>
      <c r="X537" s="497"/>
      <c r="Y537" s="497"/>
      <c r="Z537" s="497"/>
      <c r="AA537" s="497"/>
      <c r="AB537" s="497"/>
      <c r="AC537" s="497"/>
      <c r="AD537" s="497"/>
      <c r="AE537" s="497"/>
      <c r="AF537" s="497"/>
      <c r="AG537" s="497"/>
      <c r="AH537" s="497"/>
      <c r="AI537" s="497"/>
      <c r="AJ537" s="497"/>
      <c r="AK537" s="497"/>
      <c r="AL537" s="497"/>
      <c r="AM537" s="497"/>
      <c r="AN537" s="497"/>
      <c r="AO537" s="497"/>
      <c r="AP537" s="497"/>
      <c r="AQ537" s="497"/>
      <c r="AR537" s="497"/>
      <c r="AS537" s="497"/>
      <c r="AT537" s="497"/>
      <c r="AU537" s="497"/>
      <c r="AV537" s="497"/>
      <c r="AW537" s="497"/>
      <c r="AX537" s="497"/>
      <c r="AY537" s="497"/>
      <c r="AZ537" s="497"/>
      <c r="BA537" s="497"/>
      <c r="BB537" s="497"/>
      <c r="BC537" s="497"/>
      <c r="BD537" s="497"/>
      <c r="BE537" s="497"/>
      <c r="BF537" s="497"/>
      <c r="BG537" s="497"/>
      <c r="BH537" s="497"/>
      <c r="BI537" s="497"/>
      <c r="BJ537" s="497"/>
      <c r="BK537" s="497"/>
      <c r="BL537" s="497"/>
      <c r="BM537" s="497"/>
      <c r="BN537" s="497"/>
      <c r="BO537" s="497"/>
      <c r="BP537" s="497"/>
      <c r="BQ537" s="497"/>
      <c r="BR537" s="497"/>
      <c r="BS537" s="497"/>
      <c r="BT537" s="497"/>
      <c r="BU537" s="497"/>
      <c r="BV537" s="497"/>
      <c r="BW537" s="497"/>
      <c r="BX537" s="497"/>
      <c r="BY537" s="497"/>
      <c r="BZ537" s="497"/>
      <c r="CA537" s="497"/>
      <c r="CB537" s="497"/>
      <c r="CC537" s="497"/>
      <c r="CD537" s="497"/>
      <c r="CE537" s="497"/>
      <c r="CF537" s="497"/>
      <c r="CG537" s="497"/>
      <c r="CH537" s="497"/>
    </row>
    <row r="538" spans="1:86" s="335" customFormat="1">
      <c r="A538" s="517"/>
      <c r="B538" s="517"/>
      <c r="C538" s="517"/>
      <c r="D538" s="517"/>
      <c r="E538" s="517"/>
      <c r="F538" s="517"/>
      <c r="G538" s="517"/>
      <c r="H538" s="639"/>
      <c r="I538" s="639"/>
      <c r="J538" s="336"/>
      <c r="K538" s="2056"/>
      <c r="L538" s="337"/>
      <c r="N538" s="2057"/>
      <c r="O538" s="337"/>
      <c r="P538" s="337"/>
      <c r="Q538" s="337"/>
      <c r="R538" s="337"/>
      <c r="S538" s="337"/>
      <c r="T538" s="337"/>
      <c r="U538" s="497"/>
      <c r="V538" s="497"/>
      <c r="W538" s="497"/>
      <c r="X538" s="497"/>
      <c r="Y538" s="497"/>
      <c r="Z538" s="497"/>
      <c r="AA538" s="497"/>
      <c r="AB538" s="497"/>
      <c r="AC538" s="497"/>
      <c r="AD538" s="497"/>
      <c r="AE538" s="497"/>
      <c r="AF538" s="497"/>
      <c r="AG538" s="497"/>
      <c r="AH538" s="497"/>
      <c r="AI538" s="497"/>
      <c r="AJ538" s="497"/>
      <c r="AK538" s="497"/>
      <c r="AL538" s="497"/>
      <c r="AM538" s="497"/>
      <c r="AN538" s="497"/>
      <c r="AO538" s="497"/>
      <c r="AP538" s="497"/>
      <c r="AQ538" s="497"/>
      <c r="AR538" s="497"/>
      <c r="AS538" s="497"/>
      <c r="AT538" s="497"/>
      <c r="AU538" s="497"/>
      <c r="AV538" s="497"/>
      <c r="AW538" s="497"/>
      <c r="AX538" s="497"/>
      <c r="AY538" s="497"/>
      <c r="AZ538" s="497"/>
      <c r="BA538" s="497"/>
      <c r="BB538" s="497"/>
      <c r="BC538" s="497"/>
      <c r="BD538" s="497"/>
      <c r="BE538" s="497"/>
      <c r="BF538" s="497"/>
      <c r="BG538" s="497"/>
      <c r="BH538" s="497"/>
      <c r="BI538" s="497"/>
      <c r="BJ538" s="497"/>
      <c r="BK538" s="497"/>
      <c r="BL538" s="497"/>
      <c r="BM538" s="497"/>
      <c r="BN538" s="497"/>
      <c r="BO538" s="497"/>
      <c r="BP538" s="497"/>
      <c r="BQ538" s="497"/>
      <c r="BR538" s="497"/>
      <c r="BS538" s="497"/>
      <c r="BT538" s="497"/>
      <c r="BU538" s="497"/>
      <c r="BV538" s="497"/>
      <c r="BW538" s="497"/>
      <c r="BX538" s="497"/>
      <c r="BY538" s="497"/>
      <c r="BZ538" s="497"/>
      <c r="CA538" s="497"/>
      <c r="CB538" s="497"/>
      <c r="CC538" s="497"/>
      <c r="CD538" s="497"/>
      <c r="CE538" s="497"/>
      <c r="CF538" s="497"/>
      <c r="CG538" s="497"/>
      <c r="CH538" s="497"/>
    </row>
    <row r="539" spans="1:86" s="335" customFormat="1">
      <c r="A539" s="517"/>
      <c r="B539" s="517"/>
      <c r="C539" s="517"/>
      <c r="D539" s="517"/>
      <c r="E539" s="517"/>
      <c r="F539" s="517"/>
      <c r="G539" s="517"/>
      <c r="H539" s="639"/>
      <c r="I539" s="639"/>
      <c r="J539" s="336"/>
      <c r="K539" s="2056"/>
      <c r="L539" s="337"/>
      <c r="N539" s="2057"/>
      <c r="O539" s="337"/>
      <c r="P539" s="337"/>
      <c r="Q539" s="337"/>
      <c r="R539" s="337"/>
      <c r="S539" s="337"/>
      <c r="T539" s="337"/>
      <c r="U539" s="497"/>
      <c r="V539" s="497"/>
      <c r="W539" s="497"/>
      <c r="X539" s="497"/>
      <c r="Y539" s="497"/>
      <c r="Z539" s="497"/>
      <c r="AA539" s="497"/>
      <c r="AB539" s="497"/>
      <c r="AC539" s="497"/>
      <c r="AD539" s="497"/>
      <c r="AE539" s="497"/>
      <c r="AF539" s="497"/>
      <c r="AG539" s="497"/>
      <c r="AH539" s="497"/>
      <c r="AI539" s="497"/>
      <c r="AJ539" s="497"/>
      <c r="AK539" s="497"/>
      <c r="AL539" s="497"/>
      <c r="AM539" s="497"/>
      <c r="AN539" s="497"/>
      <c r="AO539" s="497"/>
      <c r="AP539" s="497"/>
      <c r="AQ539" s="497"/>
      <c r="AR539" s="497"/>
      <c r="AS539" s="497"/>
      <c r="AT539" s="497"/>
      <c r="AU539" s="497"/>
      <c r="AV539" s="497"/>
      <c r="AW539" s="497"/>
      <c r="AX539" s="497"/>
      <c r="AY539" s="497"/>
      <c r="AZ539" s="497"/>
      <c r="BA539" s="497"/>
      <c r="BB539" s="497"/>
      <c r="BC539" s="497"/>
      <c r="BD539" s="497"/>
      <c r="BE539" s="497"/>
      <c r="BF539" s="497"/>
      <c r="BG539" s="497"/>
      <c r="BH539" s="497"/>
      <c r="BI539" s="497"/>
      <c r="BJ539" s="497"/>
      <c r="BK539" s="497"/>
      <c r="BL539" s="497"/>
      <c r="BM539" s="497"/>
      <c r="BN539" s="497"/>
      <c r="BO539" s="497"/>
      <c r="BP539" s="497"/>
      <c r="BQ539" s="497"/>
      <c r="BR539" s="497"/>
      <c r="BS539" s="497"/>
      <c r="BT539" s="497"/>
      <c r="BU539" s="497"/>
      <c r="BV539" s="497"/>
      <c r="BW539" s="497"/>
      <c r="BX539" s="497"/>
      <c r="BY539" s="497"/>
      <c r="BZ539" s="497"/>
      <c r="CA539" s="497"/>
      <c r="CB539" s="497"/>
      <c r="CC539" s="497"/>
      <c r="CD539" s="497"/>
      <c r="CE539" s="497"/>
      <c r="CF539" s="497"/>
      <c r="CG539" s="497"/>
      <c r="CH539" s="497"/>
    </row>
    <row r="540" spans="1:86" s="335" customFormat="1">
      <c r="A540" s="517"/>
      <c r="B540" s="517"/>
      <c r="C540" s="517"/>
      <c r="D540" s="517"/>
      <c r="E540" s="517"/>
      <c r="F540" s="517"/>
      <c r="G540" s="517"/>
      <c r="H540" s="639"/>
      <c r="I540" s="639"/>
      <c r="J540" s="336"/>
      <c r="K540" s="2056"/>
      <c r="L540" s="337"/>
      <c r="N540" s="2057"/>
      <c r="O540" s="337"/>
      <c r="P540" s="337"/>
      <c r="Q540" s="337"/>
      <c r="R540" s="337"/>
      <c r="S540" s="337"/>
      <c r="T540" s="337"/>
      <c r="U540" s="497"/>
      <c r="V540" s="497"/>
      <c r="W540" s="497"/>
      <c r="X540" s="497"/>
      <c r="Y540" s="497"/>
      <c r="Z540" s="497"/>
      <c r="AA540" s="497"/>
      <c r="AB540" s="497"/>
      <c r="AC540" s="497"/>
      <c r="AD540" s="497"/>
      <c r="AE540" s="497"/>
      <c r="AF540" s="497"/>
      <c r="AG540" s="497"/>
      <c r="AH540" s="497"/>
      <c r="AI540" s="497"/>
      <c r="AJ540" s="497"/>
      <c r="AK540" s="497"/>
      <c r="AL540" s="497"/>
      <c r="AM540" s="497"/>
      <c r="AN540" s="497"/>
      <c r="AO540" s="497"/>
      <c r="AP540" s="497"/>
      <c r="AQ540" s="497"/>
      <c r="AR540" s="497"/>
      <c r="AS540" s="497"/>
      <c r="AT540" s="497"/>
      <c r="AU540" s="497"/>
      <c r="AV540" s="497"/>
      <c r="AW540" s="497"/>
      <c r="AX540" s="497"/>
      <c r="AY540" s="497"/>
      <c r="AZ540" s="497"/>
      <c r="BA540" s="497"/>
      <c r="BB540" s="497"/>
      <c r="BC540" s="497"/>
      <c r="BD540" s="497"/>
      <c r="BE540" s="497"/>
      <c r="BF540" s="497"/>
      <c r="BG540" s="497"/>
      <c r="BH540" s="497"/>
      <c r="BI540" s="497"/>
      <c r="BJ540" s="497"/>
      <c r="BK540" s="497"/>
      <c r="BL540" s="497"/>
      <c r="BM540" s="497"/>
      <c r="BN540" s="497"/>
      <c r="BO540" s="497"/>
      <c r="BP540" s="497"/>
      <c r="BQ540" s="497"/>
      <c r="BR540" s="497"/>
      <c r="BS540" s="497"/>
      <c r="BT540" s="497"/>
      <c r="BU540" s="497"/>
      <c r="BV540" s="497"/>
      <c r="BW540" s="497"/>
      <c r="BX540" s="497"/>
      <c r="BY540" s="497"/>
      <c r="BZ540" s="497"/>
      <c r="CA540" s="497"/>
      <c r="CB540" s="497"/>
      <c r="CC540" s="497"/>
      <c r="CD540" s="497"/>
      <c r="CE540" s="497"/>
      <c r="CF540" s="497"/>
      <c r="CG540" s="497"/>
      <c r="CH540" s="497"/>
    </row>
    <row r="541" spans="1:86" s="335" customFormat="1">
      <c r="A541" s="517"/>
      <c r="B541" s="517"/>
      <c r="C541" s="517"/>
      <c r="D541" s="517"/>
      <c r="E541" s="517"/>
      <c r="F541" s="517"/>
      <c r="G541" s="517"/>
      <c r="H541" s="639"/>
      <c r="I541" s="639"/>
      <c r="J541" s="336"/>
      <c r="K541" s="2056"/>
      <c r="L541" s="337"/>
      <c r="N541" s="2057"/>
      <c r="O541" s="337"/>
      <c r="P541" s="337"/>
      <c r="Q541" s="337"/>
      <c r="R541" s="337"/>
      <c r="S541" s="337"/>
      <c r="T541" s="337"/>
      <c r="U541" s="497"/>
      <c r="V541" s="497"/>
      <c r="W541" s="497"/>
      <c r="X541" s="497"/>
      <c r="Y541" s="497"/>
      <c r="Z541" s="497"/>
      <c r="AA541" s="497"/>
      <c r="AB541" s="497"/>
      <c r="AC541" s="497"/>
      <c r="AD541" s="497"/>
      <c r="AE541" s="497"/>
      <c r="AF541" s="497"/>
      <c r="AG541" s="497"/>
      <c r="AH541" s="497"/>
      <c r="AI541" s="497"/>
      <c r="AJ541" s="497"/>
      <c r="AK541" s="497"/>
      <c r="AL541" s="497"/>
      <c r="AM541" s="497"/>
      <c r="AN541" s="497"/>
      <c r="AO541" s="497"/>
      <c r="AP541" s="497"/>
      <c r="AQ541" s="497"/>
      <c r="AR541" s="497"/>
      <c r="AS541" s="497"/>
      <c r="AT541" s="497"/>
      <c r="AU541" s="497"/>
      <c r="AV541" s="497"/>
      <c r="AW541" s="497"/>
      <c r="AX541" s="497"/>
      <c r="AY541" s="497"/>
      <c r="AZ541" s="497"/>
      <c r="BA541" s="497"/>
      <c r="BB541" s="497"/>
      <c r="BC541" s="497"/>
      <c r="BD541" s="497"/>
      <c r="BE541" s="497"/>
      <c r="BF541" s="497"/>
      <c r="BG541" s="497"/>
      <c r="BH541" s="497"/>
      <c r="BI541" s="497"/>
      <c r="BJ541" s="497"/>
      <c r="BK541" s="497"/>
      <c r="BL541" s="497"/>
      <c r="BM541" s="497"/>
      <c r="BN541" s="497"/>
      <c r="BO541" s="497"/>
      <c r="BP541" s="497"/>
      <c r="BQ541" s="497"/>
      <c r="BR541" s="497"/>
      <c r="BS541" s="497"/>
      <c r="BT541" s="497"/>
      <c r="BU541" s="497"/>
      <c r="BV541" s="497"/>
      <c r="BW541" s="497"/>
      <c r="BX541" s="497"/>
      <c r="BY541" s="497"/>
      <c r="BZ541" s="497"/>
      <c r="CA541" s="497"/>
      <c r="CB541" s="497"/>
      <c r="CC541" s="497"/>
      <c r="CD541" s="497"/>
      <c r="CE541" s="497"/>
      <c r="CF541" s="497"/>
      <c r="CG541" s="497"/>
      <c r="CH541" s="497"/>
    </row>
    <row r="542" spans="1:86" s="335" customFormat="1">
      <c r="A542" s="517"/>
      <c r="B542" s="517"/>
      <c r="C542" s="517"/>
      <c r="D542" s="517"/>
      <c r="E542" s="517"/>
      <c r="F542" s="517"/>
      <c r="G542" s="517"/>
      <c r="H542" s="639"/>
      <c r="I542" s="639"/>
      <c r="J542" s="336"/>
      <c r="K542" s="2056"/>
      <c r="L542" s="337"/>
      <c r="N542" s="2057"/>
      <c r="O542" s="337"/>
      <c r="P542" s="337"/>
      <c r="Q542" s="337"/>
      <c r="R542" s="337"/>
      <c r="S542" s="337"/>
      <c r="T542" s="337"/>
      <c r="U542" s="497"/>
      <c r="V542" s="497"/>
      <c r="W542" s="497"/>
      <c r="X542" s="497"/>
      <c r="Y542" s="497"/>
      <c r="Z542" s="497"/>
      <c r="AA542" s="497"/>
      <c r="AB542" s="497"/>
      <c r="AC542" s="497"/>
      <c r="AD542" s="497"/>
      <c r="AE542" s="497"/>
      <c r="AF542" s="497"/>
      <c r="AG542" s="497"/>
      <c r="AH542" s="497"/>
      <c r="AI542" s="497"/>
      <c r="AJ542" s="497"/>
      <c r="AK542" s="497"/>
      <c r="AL542" s="497"/>
      <c r="AM542" s="497"/>
      <c r="AN542" s="497"/>
      <c r="AO542" s="497"/>
      <c r="AP542" s="497"/>
      <c r="AQ542" s="497"/>
      <c r="AR542" s="497"/>
      <c r="AS542" s="497"/>
      <c r="AT542" s="497"/>
      <c r="AU542" s="497"/>
      <c r="AV542" s="497"/>
      <c r="AW542" s="497"/>
      <c r="AX542" s="497"/>
      <c r="AY542" s="497"/>
      <c r="AZ542" s="497"/>
      <c r="BA542" s="497"/>
      <c r="BB542" s="497"/>
      <c r="BC542" s="497"/>
      <c r="BD542" s="497"/>
      <c r="BE542" s="497"/>
      <c r="BF542" s="497"/>
      <c r="BG542" s="497"/>
      <c r="BH542" s="497"/>
      <c r="BI542" s="497"/>
      <c r="BJ542" s="497"/>
      <c r="BK542" s="497"/>
      <c r="BL542" s="497"/>
      <c r="BM542" s="497"/>
      <c r="BN542" s="497"/>
      <c r="BO542" s="497"/>
      <c r="BP542" s="497"/>
      <c r="BQ542" s="497"/>
      <c r="BR542" s="497"/>
      <c r="BS542" s="497"/>
      <c r="BT542" s="497"/>
      <c r="BU542" s="497"/>
      <c r="BV542" s="497"/>
      <c r="BW542" s="497"/>
      <c r="BX542" s="497"/>
      <c r="BY542" s="497"/>
      <c r="BZ542" s="497"/>
      <c r="CA542" s="497"/>
      <c r="CB542" s="497"/>
      <c r="CC542" s="497"/>
      <c r="CD542" s="497"/>
      <c r="CE542" s="497"/>
      <c r="CF542" s="497"/>
      <c r="CG542" s="497"/>
      <c r="CH542" s="497"/>
    </row>
    <row r="543" spans="1:86" s="335" customFormat="1">
      <c r="A543" s="517"/>
      <c r="B543" s="517"/>
      <c r="C543" s="517"/>
      <c r="D543" s="517"/>
      <c r="E543" s="517"/>
      <c r="F543" s="517"/>
      <c r="G543" s="517"/>
      <c r="H543" s="639"/>
      <c r="I543" s="639"/>
      <c r="J543" s="336"/>
      <c r="K543" s="2056"/>
      <c r="L543" s="337"/>
      <c r="N543" s="2057"/>
      <c r="O543" s="337"/>
      <c r="P543" s="337"/>
      <c r="Q543" s="337"/>
      <c r="R543" s="337"/>
      <c r="S543" s="337"/>
      <c r="T543" s="337"/>
      <c r="U543" s="497"/>
      <c r="V543" s="497"/>
      <c r="W543" s="497"/>
      <c r="X543" s="497"/>
      <c r="Y543" s="497"/>
      <c r="Z543" s="497"/>
      <c r="AA543" s="497"/>
      <c r="AB543" s="497"/>
      <c r="AC543" s="497"/>
      <c r="AD543" s="497"/>
      <c r="AE543" s="497"/>
      <c r="AF543" s="497"/>
      <c r="AG543" s="497"/>
      <c r="AH543" s="497"/>
      <c r="AI543" s="497"/>
      <c r="AJ543" s="497"/>
      <c r="AK543" s="497"/>
      <c r="AL543" s="497"/>
      <c r="AM543" s="497"/>
      <c r="AN543" s="497"/>
      <c r="AO543" s="497"/>
      <c r="AP543" s="497"/>
      <c r="AQ543" s="497"/>
      <c r="AR543" s="497"/>
      <c r="AS543" s="497"/>
      <c r="AT543" s="497"/>
      <c r="AU543" s="497"/>
      <c r="AV543" s="497"/>
      <c r="AW543" s="497"/>
      <c r="AX543" s="497"/>
      <c r="AY543" s="497"/>
      <c r="AZ543" s="497"/>
      <c r="BA543" s="497"/>
      <c r="BB543" s="497"/>
      <c r="BC543" s="497"/>
      <c r="BD543" s="497"/>
      <c r="BE543" s="497"/>
      <c r="BF543" s="497"/>
      <c r="BG543" s="497"/>
      <c r="BH543" s="497"/>
      <c r="BI543" s="497"/>
      <c r="BJ543" s="497"/>
      <c r="BK543" s="497"/>
      <c r="BL543" s="497"/>
      <c r="BM543" s="497"/>
      <c r="BN543" s="497"/>
      <c r="BO543" s="497"/>
      <c r="BP543" s="497"/>
      <c r="BQ543" s="497"/>
      <c r="BR543" s="497"/>
      <c r="BS543" s="497"/>
      <c r="BT543" s="497"/>
      <c r="BU543" s="497"/>
      <c r="BV543" s="497"/>
      <c r="BW543" s="497"/>
      <c r="BX543" s="497"/>
      <c r="BY543" s="497"/>
      <c r="BZ543" s="497"/>
      <c r="CA543" s="497"/>
      <c r="CB543" s="497"/>
      <c r="CC543" s="497"/>
      <c r="CD543" s="497"/>
      <c r="CE543" s="497"/>
      <c r="CF543" s="497"/>
      <c r="CG543" s="497"/>
      <c r="CH543" s="497"/>
    </row>
    <row r="544" spans="1:86" s="335" customFormat="1">
      <c r="A544" s="517"/>
      <c r="B544" s="517"/>
      <c r="C544" s="517"/>
      <c r="D544" s="517"/>
      <c r="E544" s="517"/>
      <c r="F544" s="517"/>
      <c r="G544" s="517"/>
      <c r="H544" s="639"/>
      <c r="I544" s="639"/>
      <c r="J544" s="336"/>
      <c r="K544" s="2056"/>
      <c r="L544" s="337"/>
      <c r="N544" s="2057"/>
      <c r="O544" s="337"/>
      <c r="P544" s="337"/>
      <c r="Q544" s="337"/>
      <c r="R544" s="337"/>
      <c r="S544" s="337"/>
      <c r="T544" s="337"/>
      <c r="U544" s="497"/>
      <c r="V544" s="497"/>
      <c r="W544" s="497"/>
      <c r="X544" s="497"/>
      <c r="Y544" s="497"/>
      <c r="Z544" s="497"/>
      <c r="AA544" s="497"/>
      <c r="AB544" s="497"/>
      <c r="AC544" s="497"/>
      <c r="AD544" s="497"/>
      <c r="AE544" s="497"/>
      <c r="AF544" s="497"/>
      <c r="AG544" s="497"/>
      <c r="AH544" s="497"/>
      <c r="AI544" s="497"/>
      <c r="AJ544" s="497"/>
      <c r="AK544" s="497"/>
      <c r="AL544" s="497"/>
      <c r="AM544" s="497"/>
      <c r="AN544" s="497"/>
      <c r="AO544" s="497"/>
      <c r="AP544" s="497"/>
      <c r="AQ544" s="497"/>
      <c r="AR544" s="497"/>
      <c r="AS544" s="497"/>
      <c r="AT544" s="497"/>
      <c r="AU544" s="497"/>
      <c r="AV544" s="497"/>
      <c r="AW544" s="497"/>
      <c r="AX544" s="497"/>
      <c r="AY544" s="497"/>
      <c r="AZ544" s="497"/>
      <c r="BA544" s="497"/>
      <c r="BB544" s="497"/>
      <c r="BC544" s="497"/>
      <c r="BD544" s="497"/>
      <c r="BE544" s="497"/>
      <c r="BF544" s="497"/>
      <c r="BG544" s="497"/>
      <c r="BH544" s="497"/>
      <c r="BI544" s="497"/>
      <c r="BJ544" s="497"/>
      <c r="BK544" s="497"/>
      <c r="BL544" s="497"/>
      <c r="BM544" s="497"/>
      <c r="BN544" s="497"/>
      <c r="BO544" s="497"/>
      <c r="BP544" s="497"/>
      <c r="BQ544" s="497"/>
      <c r="BR544" s="497"/>
      <c r="BS544" s="497"/>
      <c r="BT544" s="497"/>
      <c r="BU544" s="497"/>
      <c r="BV544" s="497"/>
      <c r="BW544" s="497"/>
      <c r="BX544" s="497"/>
      <c r="BY544" s="497"/>
      <c r="BZ544" s="497"/>
      <c r="CA544" s="497"/>
      <c r="CB544" s="497"/>
      <c r="CC544" s="497"/>
      <c r="CD544" s="497"/>
      <c r="CE544" s="497"/>
      <c r="CF544" s="497"/>
      <c r="CG544" s="497"/>
      <c r="CH544" s="497"/>
    </row>
    <row r="545" spans="1:86" s="335" customFormat="1">
      <c r="A545" s="517"/>
      <c r="B545" s="517"/>
      <c r="C545" s="517"/>
      <c r="D545" s="517"/>
      <c r="E545" s="517"/>
      <c r="F545" s="517"/>
      <c r="G545" s="517"/>
      <c r="H545" s="639"/>
      <c r="I545" s="639"/>
      <c r="J545" s="336"/>
      <c r="K545" s="2056"/>
      <c r="L545" s="337"/>
      <c r="N545" s="2057"/>
      <c r="O545" s="337"/>
      <c r="P545" s="337"/>
      <c r="Q545" s="337"/>
      <c r="R545" s="337"/>
      <c r="S545" s="337"/>
      <c r="T545" s="337"/>
      <c r="U545" s="497"/>
      <c r="V545" s="497"/>
      <c r="W545" s="497"/>
      <c r="X545" s="497"/>
      <c r="Y545" s="497"/>
      <c r="Z545" s="497"/>
      <c r="AA545" s="497"/>
      <c r="AB545" s="497"/>
      <c r="AC545" s="497"/>
      <c r="AD545" s="497"/>
      <c r="AE545" s="497"/>
      <c r="AF545" s="497"/>
      <c r="AG545" s="497"/>
      <c r="AH545" s="497"/>
      <c r="AI545" s="497"/>
      <c r="AJ545" s="497"/>
      <c r="AK545" s="497"/>
      <c r="AL545" s="497"/>
      <c r="AM545" s="497"/>
      <c r="AN545" s="497"/>
      <c r="AO545" s="497"/>
      <c r="AP545" s="497"/>
      <c r="AQ545" s="497"/>
      <c r="AR545" s="497"/>
      <c r="AS545" s="497"/>
      <c r="AT545" s="497"/>
      <c r="AU545" s="497"/>
      <c r="AV545" s="497"/>
      <c r="AW545" s="497"/>
      <c r="AX545" s="497"/>
      <c r="AY545" s="497"/>
      <c r="AZ545" s="497"/>
      <c r="BA545" s="497"/>
      <c r="BB545" s="497"/>
      <c r="BC545" s="497"/>
      <c r="BD545" s="497"/>
      <c r="BE545" s="497"/>
      <c r="BF545" s="497"/>
      <c r="BG545" s="497"/>
      <c r="BH545" s="497"/>
      <c r="BI545" s="497"/>
      <c r="BJ545" s="497"/>
      <c r="BK545" s="497"/>
      <c r="BL545" s="497"/>
      <c r="BM545" s="497"/>
      <c r="BN545" s="497"/>
      <c r="BO545" s="497"/>
      <c r="BP545" s="497"/>
      <c r="BQ545" s="497"/>
      <c r="BR545" s="497"/>
      <c r="BS545" s="497"/>
      <c r="BT545" s="497"/>
      <c r="BU545" s="497"/>
      <c r="BV545" s="497"/>
      <c r="BW545" s="497"/>
      <c r="BX545" s="497"/>
      <c r="BY545" s="497"/>
      <c r="BZ545" s="497"/>
      <c r="CA545" s="497"/>
      <c r="CB545" s="497"/>
      <c r="CC545" s="497"/>
      <c r="CD545" s="497"/>
      <c r="CE545" s="497"/>
      <c r="CF545" s="497"/>
      <c r="CG545" s="497"/>
      <c r="CH545" s="497"/>
    </row>
    <row r="546" spans="1:86" s="335" customFormat="1">
      <c r="A546" s="517"/>
      <c r="B546" s="517"/>
      <c r="C546" s="517"/>
      <c r="D546" s="517"/>
      <c r="E546" s="517"/>
      <c r="F546" s="517"/>
      <c r="G546" s="517"/>
      <c r="H546" s="639"/>
      <c r="I546" s="639"/>
      <c r="J546" s="336"/>
      <c r="K546" s="2056"/>
      <c r="L546" s="337"/>
      <c r="N546" s="2057"/>
      <c r="O546" s="337"/>
      <c r="P546" s="337"/>
      <c r="Q546" s="337"/>
      <c r="R546" s="337"/>
      <c r="S546" s="337"/>
      <c r="T546" s="337"/>
      <c r="U546" s="497"/>
      <c r="V546" s="497"/>
      <c r="W546" s="497"/>
      <c r="X546" s="497"/>
      <c r="Y546" s="497"/>
      <c r="Z546" s="497"/>
      <c r="AA546" s="497"/>
      <c r="AB546" s="497"/>
      <c r="AC546" s="497"/>
      <c r="AD546" s="497"/>
      <c r="AE546" s="497"/>
      <c r="AF546" s="497"/>
      <c r="AG546" s="497"/>
      <c r="AH546" s="497"/>
      <c r="AI546" s="497"/>
      <c r="AJ546" s="497"/>
      <c r="AK546" s="497"/>
      <c r="AL546" s="497"/>
      <c r="AM546" s="497"/>
      <c r="AN546" s="497"/>
      <c r="AO546" s="497"/>
      <c r="AP546" s="497"/>
      <c r="AQ546" s="497"/>
      <c r="AR546" s="497"/>
      <c r="AS546" s="497"/>
      <c r="AT546" s="497"/>
      <c r="AU546" s="497"/>
      <c r="AV546" s="497"/>
      <c r="AW546" s="497"/>
      <c r="AX546" s="497"/>
      <c r="AY546" s="497"/>
      <c r="AZ546" s="497"/>
      <c r="BA546" s="497"/>
      <c r="BB546" s="497"/>
      <c r="BC546" s="497"/>
      <c r="BD546" s="497"/>
      <c r="BE546" s="497"/>
      <c r="BF546" s="497"/>
      <c r="BG546" s="497"/>
      <c r="BH546" s="497"/>
      <c r="BI546" s="497"/>
      <c r="BJ546" s="497"/>
      <c r="BK546" s="497"/>
      <c r="BL546" s="497"/>
      <c r="BM546" s="497"/>
      <c r="BN546" s="497"/>
      <c r="BO546" s="497"/>
      <c r="BP546" s="497"/>
      <c r="BQ546" s="497"/>
      <c r="BR546" s="497"/>
      <c r="BS546" s="497"/>
      <c r="BT546" s="497"/>
      <c r="BU546" s="497"/>
      <c r="BV546" s="497"/>
      <c r="BW546" s="497"/>
      <c r="BX546" s="497"/>
      <c r="BY546" s="497"/>
      <c r="BZ546" s="497"/>
      <c r="CA546" s="497"/>
      <c r="CB546" s="497"/>
      <c r="CC546" s="497"/>
      <c r="CD546" s="497"/>
      <c r="CE546" s="497"/>
      <c r="CF546" s="497"/>
      <c r="CG546" s="497"/>
      <c r="CH546" s="497"/>
    </row>
    <row r="547" spans="1:86" s="335" customFormat="1">
      <c r="A547" s="517"/>
      <c r="B547" s="517"/>
      <c r="C547" s="517"/>
      <c r="D547" s="517"/>
      <c r="E547" s="517"/>
      <c r="F547" s="517"/>
      <c r="G547" s="517"/>
      <c r="H547" s="639"/>
      <c r="I547" s="639"/>
      <c r="J547" s="336"/>
      <c r="K547" s="2056"/>
      <c r="L547" s="337"/>
      <c r="N547" s="2057"/>
      <c r="O547" s="337"/>
      <c r="P547" s="337"/>
      <c r="Q547" s="337"/>
      <c r="R547" s="337"/>
      <c r="S547" s="337"/>
      <c r="T547" s="337"/>
      <c r="U547" s="497"/>
      <c r="V547" s="497"/>
      <c r="W547" s="497"/>
      <c r="X547" s="497"/>
      <c r="Y547" s="497"/>
      <c r="Z547" s="497"/>
      <c r="AA547" s="497"/>
      <c r="AB547" s="497"/>
      <c r="AC547" s="497"/>
      <c r="AD547" s="497"/>
      <c r="AE547" s="497"/>
      <c r="AF547" s="497"/>
      <c r="AG547" s="497"/>
      <c r="AH547" s="497"/>
      <c r="AI547" s="497"/>
      <c r="AJ547" s="497"/>
      <c r="AK547" s="497"/>
      <c r="AL547" s="497"/>
      <c r="AM547" s="497"/>
      <c r="AN547" s="497"/>
      <c r="AO547" s="497"/>
      <c r="AP547" s="497"/>
      <c r="AQ547" s="497"/>
      <c r="AR547" s="497"/>
      <c r="AS547" s="497"/>
      <c r="AT547" s="497"/>
      <c r="AU547" s="497"/>
      <c r="AV547" s="497"/>
      <c r="AW547" s="497"/>
      <c r="AX547" s="497"/>
      <c r="AY547" s="497"/>
      <c r="AZ547" s="497"/>
      <c r="BA547" s="497"/>
      <c r="BB547" s="497"/>
      <c r="BC547" s="497"/>
      <c r="BD547" s="497"/>
      <c r="BE547" s="497"/>
      <c r="BF547" s="497"/>
      <c r="BG547" s="497"/>
      <c r="BH547" s="497"/>
      <c r="BI547" s="497"/>
      <c r="BJ547" s="497"/>
      <c r="BK547" s="497"/>
      <c r="BL547" s="497"/>
      <c r="BM547" s="497"/>
      <c r="BN547" s="497"/>
      <c r="BO547" s="497"/>
      <c r="BP547" s="497"/>
      <c r="BQ547" s="497"/>
      <c r="BR547" s="497"/>
      <c r="BS547" s="497"/>
      <c r="BT547" s="497"/>
      <c r="BU547" s="497"/>
      <c r="BV547" s="497"/>
      <c r="BW547" s="497"/>
      <c r="BX547" s="497"/>
      <c r="BY547" s="497"/>
      <c r="BZ547" s="497"/>
      <c r="CA547" s="497"/>
      <c r="CB547" s="497"/>
      <c r="CC547" s="497"/>
      <c r="CD547" s="497"/>
      <c r="CE547" s="497"/>
      <c r="CF547" s="497"/>
      <c r="CG547" s="497"/>
      <c r="CH547" s="497"/>
    </row>
    <row r="548" spans="1:86" s="335" customFormat="1">
      <c r="A548" s="517"/>
      <c r="B548" s="517"/>
      <c r="C548" s="517"/>
      <c r="D548" s="517"/>
      <c r="E548" s="517"/>
      <c r="F548" s="517"/>
      <c r="G548" s="517"/>
      <c r="H548" s="639"/>
      <c r="I548" s="639"/>
      <c r="J548" s="336"/>
      <c r="K548" s="2056"/>
      <c r="L548" s="337"/>
      <c r="N548" s="2057"/>
      <c r="O548" s="337"/>
      <c r="P548" s="337"/>
      <c r="Q548" s="337"/>
      <c r="R548" s="337"/>
      <c r="S548" s="337"/>
      <c r="T548" s="337"/>
      <c r="U548" s="497"/>
      <c r="V548" s="497"/>
      <c r="W548" s="497"/>
      <c r="X548" s="497"/>
      <c r="Y548" s="497"/>
      <c r="Z548" s="497"/>
      <c r="AA548" s="497"/>
      <c r="AB548" s="497"/>
      <c r="AC548" s="497"/>
      <c r="AD548" s="497"/>
      <c r="AE548" s="497"/>
      <c r="AF548" s="497"/>
      <c r="AG548" s="497"/>
      <c r="AH548" s="497"/>
      <c r="AI548" s="497"/>
      <c r="AJ548" s="497"/>
      <c r="AK548" s="497"/>
      <c r="AL548" s="497"/>
      <c r="AM548" s="497"/>
      <c r="AN548" s="497"/>
      <c r="AO548" s="497"/>
      <c r="AP548" s="497"/>
      <c r="AQ548" s="497"/>
      <c r="AR548" s="497"/>
      <c r="AS548" s="497"/>
      <c r="AT548" s="497"/>
      <c r="AU548" s="497"/>
      <c r="AV548" s="497"/>
      <c r="AW548" s="497"/>
      <c r="AX548" s="497"/>
      <c r="AY548" s="497"/>
      <c r="AZ548" s="497"/>
      <c r="BA548" s="497"/>
      <c r="BB548" s="497"/>
      <c r="BC548" s="497"/>
      <c r="BD548" s="497"/>
      <c r="BE548" s="497"/>
      <c r="BF548" s="497"/>
      <c r="BG548" s="497"/>
      <c r="BH548" s="497"/>
      <c r="BI548" s="497"/>
      <c r="BJ548" s="497"/>
      <c r="BK548" s="497"/>
      <c r="BL548" s="497"/>
      <c r="BM548" s="497"/>
      <c r="BN548" s="497"/>
      <c r="BO548" s="497"/>
      <c r="BP548" s="497"/>
      <c r="BQ548" s="497"/>
      <c r="BR548" s="497"/>
      <c r="BS548" s="497"/>
      <c r="BT548" s="497"/>
      <c r="BU548" s="497"/>
      <c r="BV548" s="497"/>
      <c r="BW548" s="497"/>
      <c r="BX548" s="497"/>
      <c r="BY548" s="497"/>
      <c r="BZ548" s="497"/>
      <c r="CA548" s="497"/>
      <c r="CB548" s="497"/>
      <c r="CC548" s="497"/>
      <c r="CD548" s="497"/>
      <c r="CE548" s="497"/>
      <c r="CF548" s="497"/>
      <c r="CG548" s="497"/>
      <c r="CH548" s="497"/>
    </row>
    <row r="549" spans="1:86" s="335" customFormat="1">
      <c r="A549" s="517"/>
      <c r="B549" s="517"/>
      <c r="C549" s="517"/>
      <c r="D549" s="517"/>
      <c r="E549" s="517"/>
      <c r="F549" s="517"/>
      <c r="G549" s="517"/>
      <c r="H549" s="639"/>
      <c r="I549" s="639"/>
      <c r="J549" s="336"/>
      <c r="K549" s="2056"/>
      <c r="L549" s="337"/>
      <c r="N549" s="2057"/>
      <c r="O549" s="337"/>
      <c r="P549" s="337"/>
      <c r="Q549" s="337"/>
      <c r="R549" s="337"/>
      <c r="S549" s="337"/>
      <c r="T549" s="337"/>
      <c r="U549" s="497"/>
      <c r="V549" s="497"/>
      <c r="W549" s="497"/>
      <c r="X549" s="497"/>
      <c r="Y549" s="497"/>
      <c r="Z549" s="497"/>
      <c r="AA549" s="497"/>
      <c r="AB549" s="497"/>
      <c r="AC549" s="497"/>
      <c r="AD549" s="497"/>
      <c r="AE549" s="497"/>
      <c r="AF549" s="497"/>
      <c r="AG549" s="497"/>
      <c r="AH549" s="497"/>
      <c r="AI549" s="497"/>
      <c r="AJ549" s="497"/>
      <c r="AK549" s="497"/>
      <c r="AL549" s="497"/>
      <c r="AM549" s="497"/>
      <c r="AN549" s="497"/>
      <c r="AO549" s="497"/>
      <c r="AP549" s="497"/>
      <c r="AQ549" s="497"/>
      <c r="AR549" s="497"/>
      <c r="AS549" s="497"/>
      <c r="AT549" s="497"/>
      <c r="AU549" s="497"/>
      <c r="AV549" s="497"/>
      <c r="AW549" s="497"/>
      <c r="AX549" s="497"/>
      <c r="AY549" s="497"/>
      <c r="AZ549" s="497"/>
      <c r="BA549" s="497"/>
      <c r="BB549" s="497"/>
      <c r="BC549" s="497"/>
      <c r="BD549" s="497"/>
      <c r="BE549" s="497"/>
      <c r="BF549" s="497"/>
      <c r="BG549" s="497"/>
      <c r="BH549" s="497"/>
      <c r="BI549" s="497"/>
      <c r="BJ549" s="497"/>
      <c r="BK549" s="497"/>
      <c r="BL549" s="497"/>
      <c r="BM549" s="497"/>
      <c r="BN549" s="497"/>
      <c r="BO549" s="497"/>
      <c r="BP549" s="497"/>
      <c r="BQ549" s="497"/>
      <c r="BR549" s="497"/>
      <c r="BS549" s="497"/>
      <c r="BT549" s="497"/>
      <c r="BU549" s="497"/>
      <c r="BV549" s="497"/>
      <c r="BW549" s="497"/>
      <c r="BX549" s="497"/>
      <c r="BY549" s="497"/>
      <c r="BZ549" s="497"/>
      <c r="CA549" s="497"/>
      <c r="CB549" s="497"/>
      <c r="CC549" s="497"/>
      <c r="CD549" s="497"/>
      <c r="CE549" s="497"/>
      <c r="CF549" s="497"/>
      <c r="CG549" s="497"/>
      <c r="CH549" s="497"/>
    </row>
    <row r="550" spans="1:86" s="335" customFormat="1">
      <c r="A550" s="517"/>
      <c r="B550" s="517"/>
      <c r="C550" s="517"/>
      <c r="D550" s="517"/>
      <c r="E550" s="517"/>
      <c r="F550" s="517"/>
      <c r="G550" s="517"/>
      <c r="H550" s="639"/>
      <c r="I550" s="639"/>
      <c r="J550" s="336"/>
      <c r="K550" s="2056"/>
      <c r="L550" s="337"/>
      <c r="N550" s="2057"/>
      <c r="O550" s="337"/>
      <c r="P550" s="337"/>
      <c r="Q550" s="337"/>
      <c r="R550" s="337"/>
      <c r="S550" s="337"/>
      <c r="T550" s="337"/>
      <c r="U550" s="497"/>
      <c r="V550" s="497"/>
      <c r="W550" s="497"/>
      <c r="X550" s="497"/>
      <c r="Y550" s="497"/>
      <c r="Z550" s="497"/>
      <c r="AA550" s="497"/>
      <c r="AB550" s="497"/>
      <c r="AC550" s="497"/>
      <c r="AD550" s="497"/>
      <c r="AE550" s="497"/>
      <c r="AF550" s="497"/>
      <c r="AG550" s="497"/>
      <c r="AH550" s="497"/>
      <c r="AI550" s="497"/>
      <c r="AJ550" s="497"/>
      <c r="AK550" s="497"/>
      <c r="AL550" s="497"/>
      <c r="AM550" s="497"/>
      <c r="AN550" s="497"/>
      <c r="AO550" s="497"/>
      <c r="AP550" s="497"/>
      <c r="AQ550" s="497"/>
      <c r="AR550" s="497"/>
      <c r="AS550" s="497"/>
      <c r="AT550" s="497"/>
      <c r="AU550" s="497"/>
      <c r="AV550" s="497"/>
      <c r="AW550" s="497"/>
      <c r="AX550" s="497"/>
      <c r="AY550" s="497"/>
      <c r="AZ550" s="497"/>
      <c r="BA550" s="497"/>
      <c r="BB550" s="497"/>
      <c r="BC550" s="497"/>
      <c r="BD550" s="497"/>
      <c r="BE550" s="497"/>
      <c r="BF550" s="497"/>
      <c r="BG550" s="497"/>
      <c r="BH550" s="497"/>
      <c r="BI550" s="497"/>
      <c r="BJ550" s="497"/>
      <c r="BK550" s="497"/>
      <c r="BL550" s="497"/>
      <c r="BM550" s="497"/>
      <c r="BN550" s="497"/>
      <c r="BO550" s="497"/>
      <c r="BP550" s="497"/>
      <c r="BQ550" s="497"/>
      <c r="BR550" s="497"/>
      <c r="BS550" s="497"/>
      <c r="BT550" s="497"/>
      <c r="BU550" s="497"/>
      <c r="BV550" s="497"/>
      <c r="BW550" s="497"/>
      <c r="BX550" s="497"/>
      <c r="BY550" s="497"/>
      <c r="BZ550" s="497"/>
      <c r="CA550" s="497"/>
      <c r="CB550" s="497"/>
      <c r="CC550" s="497"/>
      <c r="CD550" s="497"/>
      <c r="CE550" s="497"/>
      <c r="CF550" s="497"/>
      <c r="CG550" s="497"/>
      <c r="CH550" s="497"/>
    </row>
    <row r="551" spans="1:86" s="335" customFormat="1">
      <c r="A551" s="517"/>
      <c r="B551" s="517"/>
      <c r="C551" s="517"/>
      <c r="D551" s="517"/>
      <c r="E551" s="517"/>
      <c r="F551" s="517"/>
      <c r="G551" s="517"/>
      <c r="H551" s="639"/>
      <c r="I551" s="639"/>
      <c r="J551" s="336"/>
      <c r="K551" s="2056"/>
      <c r="L551" s="337"/>
      <c r="N551" s="2057"/>
      <c r="O551" s="337"/>
      <c r="P551" s="337"/>
      <c r="Q551" s="337"/>
      <c r="R551" s="337"/>
      <c r="S551" s="337"/>
      <c r="T551" s="337"/>
      <c r="U551" s="497"/>
      <c r="V551" s="497"/>
      <c r="W551" s="497"/>
      <c r="X551" s="497"/>
      <c r="Y551" s="497"/>
      <c r="Z551" s="497"/>
      <c r="AA551" s="497"/>
      <c r="AB551" s="497"/>
      <c r="AC551" s="497"/>
      <c r="AD551" s="497"/>
      <c r="AE551" s="497"/>
      <c r="AF551" s="497"/>
      <c r="AG551" s="497"/>
      <c r="AH551" s="497"/>
      <c r="AI551" s="497"/>
      <c r="AJ551" s="497"/>
      <c r="AK551" s="497"/>
      <c r="AL551" s="497"/>
      <c r="AM551" s="497"/>
      <c r="AN551" s="497"/>
      <c r="AO551" s="497"/>
      <c r="AP551" s="497"/>
      <c r="AQ551" s="497"/>
      <c r="AR551" s="497"/>
      <c r="AS551" s="497"/>
      <c r="AT551" s="497"/>
      <c r="AU551" s="497"/>
      <c r="AV551" s="497"/>
      <c r="AW551" s="497"/>
      <c r="AX551" s="497"/>
      <c r="AY551" s="497"/>
      <c r="AZ551" s="497"/>
      <c r="BA551" s="497"/>
      <c r="BB551" s="497"/>
      <c r="BC551" s="497"/>
      <c r="BD551" s="497"/>
      <c r="BE551" s="497"/>
      <c r="BF551" s="497"/>
      <c r="BG551" s="497"/>
      <c r="BH551" s="497"/>
      <c r="BI551" s="497"/>
      <c r="BJ551" s="497"/>
      <c r="BK551" s="497"/>
      <c r="BL551" s="497"/>
      <c r="BM551" s="497"/>
      <c r="BN551" s="497"/>
      <c r="BO551" s="497"/>
      <c r="BP551" s="497"/>
      <c r="BQ551" s="497"/>
      <c r="BR551" s="497"/>
      <c r="BS551" s="497"/>
      <c r="BT551" s="497"/>
      <c r="BU551" s="497"/>
      <c r="BV551" s="497"/>
      <c r="BW551" s="497"/>
      <c r="BX551" s="497"/>
      <c r="BY551" s="497"/>
      <c r="BZ551" s="497"/>
      <c r="CA551" s="497"/>
      <c r="CB551" s="497"/>
      <c r="CC551" s="497"/>
      <c r="CD551" s="497"/>
      <c r="CE551" s="497"/>
      <c r="CF551" s="497"/>
      <c r="CG551" s="497"/>
      <c r="CH551" s="497"/>
    </row>
    <row r="552" spans="1:86" s="335" customFormat="1">
      <c r="A552" s="517"/>
      <c r="B552" s="517"/>
      <c r="C552" s="517"/>
      <c r="D552" s="517"/>
      <c r="E552" s="517"/>
      <c r="F552" s="517"/>
      <c r="G552" s="517"/>
      <c r="H552" s="639"/>
      <c r="I552" s="639"/>
      <c r="J552" s="336"/>
      <c r="K552" s="2056"/>
      <c r="L552" s="337"/>
      <c r="N552" s="2057"/>
      <c r="O552" s="337"/>
      <c r="P552" s="337"/>
      <c r="Q552" s="337"/>
      <c r="R552" s="337"/>
      <c r="S552" s="337"/>
      <c r="T552" s="337"/>
      <c r="U552" s="497"/>
      <c r="V552" s="497"/>
      <c r="W552" s="497"/>
      <c r="X552" s="497"/>
      <c r="Y552" s="497"/>
      <c r="Z552" s="497"/>
      <c r="AA552" s="497"/>
      <c r="AB552" s="497"/>
      <c r="AC552" s="497"/>
      <c r="AD552" s="497"/>
      <c r="AE552" s="497"/>
      <c r="AF552" s="497"/>
      <c r="AG552" s="497"/>
      <c r="AH552" s="497"/>
      <c r="AI552" s="497"/>
      <c r="AJ552" s="497"/>
      <c r="AK552" s="497"/>
      <c r="AL552" s="497"/>
      <c r="AM552" s="497"/>
      <c r="AN552" s="497"/>
      <c r="AO552" s="497"/>
      <c r="AP552" s="497"/>
      <c r="AQ552" s="497"/>
      <c r="AR552" s="497"/>
      <c r="AS552" s="497"/>
      <c r="AT552" s="497"/>
      <c r="AU552" s="497"/>
      <c r="AV552" s="497"/>
      <c r="AW552" s="497"/>
      <c r="AX552" s="497"/>
      <c r="AY552" s="497"/>
      <c r="AZ552" s="497"/>
      <c r="BA552" s="497"/>
      <c r="BB552" s="497"/>
      <c r="BC552" s="497"/>
      <c r="BD552" s="497"/>
      <c r="BE552" s="497"/>
      <c r="BF552" s="497"/>
      <c r="BG552" s="497"/>
      <c r="BH552" s="497"/>
      <c r="BI552" s="497"/>
      <c r="BJ552" s="497"/>
      <c r="BK552" s="497"/>
      <c r="BL552" s="497"/>
      <c r="BM552" s="497"/>
      <c r="BN552" s="497"/>
      <c r="BO552" s="497"/>
      <c r="BP552" s="497"/>
      <c r="BQ552" s="497"/>
      <c r="BR552" s="497"/>
      <c r="BS552" s="497"/>
      <c r="BT552" s="497"/>
      <c r="BU552" s="497"/>
      <c r="BV552" s="497"/>
      <c r="BW552" s="497"/>
      <c r="BX552" s="497"/>
      <c r="BY552" s="497"/>
      <c r="BZ552" s="497"/>
      <c r="CA552" s="497"/>
      <c r="CB552" s="497"/>
      <c r="CC552" s="497"/>
      <c r="CD552" s="497"/>
      <c r="CE552" s="497"/>
      <c r="CF552" s="497"/>
      <c r="CG552" s="497"/>
      <c r="CH552" s="497"/>
    </row>
    <row r="553" spans="1:86" s="335" customFormat="1">
      <c r="A553" s="517"/>
      <c r="B553" s="517"/>
      <c r="C553" s="517"/>
      <c r="D553" s="517"/>
      <c r="E553" s="517"/>
      <c r="F553" s="517"/>
      <c r="G553" s="517"/>
      <c r="H553" s="639"/>
      <c r="I553" s="639"/>
      <c r="J553" s="336"/>
      <c r="K553" s="2056"/>
      <c r="L553" s="337"/>
      <c r="N553" s="2057"/>
      <c r="O553" s="337"/>
      <c r="P553" s="337"/>
      <c r="Q553" s="337"/>
      <c r="R553" s="337"/>
      <c r="S553" s="337"/>
      <c r="T553" s="337"/>
      <c r="U553" s="497"/>
      <c r="V553" s="497"/>
      <c r="W553" s="497"/>
      <c r="X553" s="497"/>
      <c r="Y553" s="497"/>
      <c r="Z553" s="497"/>
      <c r="AA553" s="497"/>
      <c r="AB553" s="497"/>
      <c r="AC553" s="497"/>
      <c r="AD553" s="497"/>
      <c r="AE553" s="497"/>
      <c r="AF553" s="497"/>
      <c r="AG553" s="497"/>
      <c r="AH553" s="497"/>
      <c r="AI553" s="497"/>
      <c r="AJ553" s="497"/>
      <c r="AK553" s="497"/>
      <c r="AL553" s="497"/>
      <c r="AM553" s="497"/>
      <c r="AN553" s="497"/>
      <c r="AO553" s="497"/>
      <c r="AP553" s="497"/>
      <c r="AQ553" s="497"/>
      <c r="AR553" s="497"/>
      <c r="AS553" s="497"/>
      <c r="AT553" s="497"/>
      <c r="AU553" s="497"/>
      <c r="AV553" s="497"/>
      <c r="AW553" s="497"/>
      <c r="AX553" s="497"/>
      <c r="AY553" s="497"/>
      <c r="AZ553" s="497"/>
      <c r="BA553" s="497"/>
      <c r="BB553" s="497"/>
      <c r="BC553" s="497"/>
      <c r="BD553" s="497"/>
      <c r="BE553" s="497"/>
      <c r="BF553" s="497"/>
      <c r="BG553" s="497"/>
      <c r="BH553" s="497"/>
      <c r="BI553" s="497"/>
      <c r="BJ553" s="497"/>
      <c r="BK553" s="497"/>
      <c r="BL553" s="497"/>
      <c r="BM553" s="497"/>
      <c r="BN553" s="497"/>
      <c r="BO553" s="497"/>
      <c r="BP553" s="497"/>
      <c r="BQ553" s="497"/>
      <c r="BR553" s="497"/>
      <c r="BS553" s="497"/>
      <c r="BT553" s="497"/>
      <c r="BU553" s="497"/>
      <c r="BV553" s="497"/>
      <c r="BW553" s="497"/>
      <c r="BX553" s="497"/>
      <c r="BY553" s="497"/>
      <c r="BZ553" s="497"/>
      <c r="CA553" s="497"/>
      <c r="CB553" s="497"/>
      <c r="CC553" s="497"/>
      <c r="CD553" s="497"/>
      <c r="CE553" s="497"/>
      <c r="CF553" s="497"/>
      <c r="CG553" s="497"/>
      <c r="CH553" s="497"/>
    </row>
    <row r="554" spans="1:86" s="335" customFormat="1">
      <c r="A554" s="517"/>
      <c r="B554" s="517"/>
      <c r="C554" s="517"/>
      <c r="D554" s="517"/>
      <c r="E554" s="517"/>
      <c r="F554" s="517"/>
      <c r="G554" s="517"/>
      <c r="H554" s="639"/>
      <c r="I554" s="639"/>
      <c r="J554" s="336"/>
      <c r="K554" s="2056"/>
      <c r="L554" s="337"/>
      <c r="N554" s="2057"/>
      <c r="O554" s="337"/>
      <c r="P554" s="337"/>
      <c r="Q554" s="337"/>
      <c r="R554" s="337"/>
      <c r="S554" s="337"/>
      <c r="T554" s="337"/>
      <c r="U554" s="497"/>
      <c r="V554" s="497"/>
      <c r="W554" s="497"/>
      <c r="X554" s="497"/>
      <c r="Y554" s="497"/>
      <c r="Z554" s="497"/>
      <c r="AA554" s="497"/>
      <c r="AB554" s="497"/>
      <c r="AC554" s="497"/>
      <c r="AD554" s="497"/>
      <c r="AE554" s="497"/>
      <c r="AF554" s="497"/>
      <c r="AG554" s="497"/>
      <c r="AH554" s="497"/>
      <c r="AI554" s="497"/>
      <c r="AJ554" s="497"/>
      <c r="AK554" s="497"/>
      <c r="AL554" s="497"/>
      <c r="AM554" s="497"/>
      <c r="AN554" s="497"/>
      <c r="AO554" s="497"/>
      <c r="AP554" s="497"/>
      <c r="AQ554" s="497"/>
      <c r="AR554" s="497"/>
      <c r="AS554" s="497"/>
      <c r="AT554" s="497"/>
      <c r="AU554" s="497"/>
      <c r="AV554" s="497"/>
      <c r="AW554" s="497"/>
      <c r="AX554" s="497"/>
      <c r="AY554" s="497"/>
      <c r="AZ554" s="497"/>
      <c r="BA554" s="497"/>
      <c r="BB554" s="497"/>
      <c r="BC554" s="497"/>
      <c r="BD554" s="497"/>
      <c r="BE554" s="497"/>
      <c r="BF554" s="497"/>
      <c r="BG554" s="497"/>
      <c r="BH554" s="497"/>
      <c r="BI554" s="497"/>
      <c r="BJ554" s="497"/>
      <c r="BK554" s="497"/>
      <c r="BL554" s="497"/>
      <c r="BM554" s="497"/>
      <c r="BN554" s="497"/>
      <c r="BO554" s="497"/>
      <c r="BP554" s="497"/>
      <c r="BQ554" s="497"/>
      <c r="BR554" s="497"/>
      <c r="BS554" s="497"/>
      <c r="BT554" s="497"/>
      <c r="BU554" s="497"/>
      <c r="BV554" s="497"/>
      <c r="BW554" s="497"/>
      <c r="BX554" s="497"/>
      <c r="BY554" s="497"/>
      <c r="BZ554" s="497"/>
      <c r="CA554" s="497"/>
      <c r="CB554" s="497"/>
      <c r="CC554" s="497"/>
      <c r="CD554" s="497"/>
      <c r="CE554" s="497"/>
      <c r="CF554" s="497"/>
      <c r="CG554" s="497"/>
      <c r="CH554" s="497"/>
    </row>
    <row r="555" spans="1:86" s="335" customFormat="1">
      <c r="A555" s="517"/>
      <c r="B555" s="517"/>
      <c r="C555" s="517"/>
      <c r="D555" s="517"/>
      <c r="E555" s="517"/>
      <c r="F555" s="517"/>
      <c r="G555" s="517"/>
      <c r="H555" s="639"/>
      <c r="I555" s="639"/>
      <c r="J555" s="336"/>
      <c r="K555" s="2056"/>
      <c r="L555" s="337"/>
      <c r="N555" s="2057"/>
      <c r="O555" s="337"/>
      <c r="P555" s="337"/>
      <c r="Q555" s="337"/>
      <c r="R555" s="337"/>
      <c r="S555" s="337"/>
      <c r="T555" s="337"/>
      <c r="U555" s="497"/>
      <c r="V555" s="497"/>
      <c r="W555" s="497"/>
      <c r="X555" s="497"/>
      <c r="Y555" s="497"/>
      <c r="Z555" s="497"/>
      <c r="AA555" s="497"/>
      <c r="AB555" s="497"/>
      <c r="AC555" s="497"/>
      <c r="AD555" s="497"/>
      <c r="AE555" s="497"/>
      <c r="AF555" s="497"/>
      <c r="AG555" s="497"/>
      <c r="AH555" s="497"/>
      <c r="AI555" s="497"/>
      <c r="AJ555" s="497"/>
      <c r="AK555" s="497"/>
      <c r="AL555" s="497"/>
      <c r="AM555" s="497"/>
      <c r="AN555" s="497"/>
      <c r="AO555" s="497"/>
      <c r="AP555" s="497"/>
      <c r="AQ555" s="497"/>
      <c r="AR555" s="497"/>
      <c r="AS555" s="497"/>
      <c r="AT555" s="497"/>
      <c r="AU555" s="497"/>
      <c r="AV555" s="497"/>
      <c r="AW555" s="497"/>
      <c r="AX555" s="497"/>
      <c r="AY555" s="497"/>
      <c r="AZ555" s="497"/>
      <c r="BA555" s="497"/>
      <c r="BB555" s="497"/>
      <c r="BC555" s="497"/>
      <c r="BD555" s="497"/>
      <c r="BE555" s="497"/>
      <c r="BF555" s="497"/>
      <c r="BG555" s="497"/>
      <c r="BH555" s="497"/>
      <c r="BI555" s="497"/>
      <c r="BJ555" s="497"/>
      <c r="BK555" s="497"/>
      <c r="BL555" s="497"/>
      <c r="BM555" s="497"/>
      <c r="BN555" s="497"/>
      <c r="BO555" s="497"/>
      <c r="BP555" s="497"/>
      <c r="BQ555" s="497"/>
      <c r="BR555" s="497"/>
      <c r="BS555" s="497"/>
      <c r="BT555" s="497"/>
      <c r="BU555" s="497"/>
      <c r="BV555" s="497"/>
      <c r="BW555" s="497"/>
      <c r="BX555" s="497"/>
      <c r="BY555" s="497"/>
      <c r="BZ555" s="497"/>
      <c r="CA555" s="497"/>
      <c r="CB555" s="497"/>
      <c r="CC555" s="497"/>
      <c r="CD555" s="497"/>
      <c r="CE555" s="497"/>
      <c r="CF555" s="497"/>
      <c r="CG555" s="497"/>
      <c r="CH555" s="497"/>
    </row>
    <row r="556" spans="1:86" s="335" customFormat="1">
      <c r="A556" s="517"/>
      <c r="B556" s="517"/>
      <c r="C556" s="517"/>
      <c r="D556" s="517"/>
      <c r="E556" s="517"/>
      <c r="F556" s="517"/>
      <c r="G556" s="517"/>
      <c r="H556" s="639"/>
      <c r="I556" s="639"/>
      <c r="J556" s="336"/>
      <c r="K556" s="2056"/>
      <c r="L556" s="337"/>
      <c r="N556" s="2057"/>
      <c r="O556" s="337"/>
      <c r="P556" s="337"/>
      <c r="Q556" s="337"/>
      <c r="R556" s="337"/>
      <c r="S556" s="337"/>
      <c r="T556" s="337"/>
      <c r="U556" s="497"/>
      <c r="V556" s="497"/>
      <c r="W556" s="497"/>
      <c r="X556" s="497"/>
      <c r="Y556" s="497"/>
      <c r="Z556" s="497"/>
      <c r="AA556" s="497"/>
      <c r="AB556" s="497"/>
      <c r="AC556" s="497"/>
      <c r="AD556" s="497"/>
      <c r="AE556" s="497"/>
      <c r="AF556" s="497"/>
      <c r="AG556" s="497"/>
      <c r="AH556" s="497"/>
      <c r="AI556" s="497"/>
      <c r="AJ556" s="497"/>
      <c r="AK556" s="497"/>
      <c r="AL556" s="497"/>
      <c r="AM556" s="497"/>
      <c r="AN556" s="497"/>
      <c r="AO556" s="497"/>
      <c r="AP556" s="497"/>
      <c r="AQ556" s="497"/>
      <c r="AR556" s="497"/>
      <c r="AS556" s="497"/>
      <c r="AT556" s="497"/>
      <c r="AU556" s="497"/>
      <c r="AV556" s="497"/>
      <c r="AW556" s="497"/>
      <c r="AX556" s="497"/>
      <c r="AY556" s="497"/>
      <c r="AZ556" s="497"/>
      <c r="BA556" s="497"/>
      <c r="BB556" s="497"/>
      <c r="BC556" s="497"/>
      <c r="BD556" s="497"/>
      <c r="BE556" s="497"/>
      <c r="BF556" s="497"/>
      <c r="BG556" s="497"/>
      <c r="BH556" s="497"/>
      <c r="BI556" s="497"/>
      <c r="BJ556" s="497"/>
      <c r="BK556" s="497"/>
      <c r="BL556" s="497"/>
      <c r="BM556" s="497"/>
      <c r="BN556" s="497"/>
      <c r="BO556" s="497"/>
      <c r="BP556" s="497"/>
      <c r="BQ556" s="497"/>
      <c r="BR556" s="497"/>
      <c r="BS556" s="497"/>
      <c r="BT556" s="497"/>
      <c r="BU556" s="497"/>
      <c r="BV556" s="497"/>
      <c r="BW556" s="497"/>
      <c r="BX556" s="497"/>
      <c r="BY556" s="497"/>
      <c r="BZ556" s="497"/>
      <c r="CA556" s="497"/>
      <c r="CB556" s="497"/>
      <c r="CC556" s="497"/>
      <c r="CD556" s="497"/>
      <c r="CE556" s="497"/>
      <c r="CF556" s="497"/>
      <c r="CG556" s="497"/>
      <c r="CH556" s="497"/>
    </row>
    <row r="557" spans="1:86" s="335" customFormat="1">
      <c r="A557" s="517"/>
      <c r="B557" s="517"/>
      <c r="C557" s="517"/>
      <c r="D557" s="517"/>
      <c r="E557" s="517"/>
      <c r="F557" s="517"/>
      <c r="G557" s="517"/>
      <c r="H557" s="639"/>
      <c r="I557" s="639"/>
      <c r="J557" s="336"/>
      <c r="K557" s="2056"/>
      <c r="L557" s="337"/>
      <c r="N557" s="2057"/>
      <c r="O557" s="337"/>
      <c r="P557" s="337"/>
      <c r="Q557" s="337"/>
      <c r="R557" s="337"/>
      <c r="S557" s="337"/>
      <c r="T557" s="337"/>
      <c r="U557" s="497"/>
      <c r="V557" s="497"/>
      <c r="W557" s="497"/>
      <c r="X557" s="497"/>
      <c r="Y557" s="497"/>
      <c r="Z557" s="497"/>
      <c r="AA557" s="497"/>
      <c r="AB557" s="497"/>
      <c r="AC557" s="497"/>
      <c r="AD557" s="497"/>
      <c r="AE557" s="497"/>
      <c r="AF557" s="497"/>
      <c r="AG557" s="497"/>
      <c r="AH557" s="497"/>
      <c r="AI557" s="497"/>
      <c r="AJ557" s="497"/>
      <c r="AK557" s="497"/>
      <c r="AL557" s="497"/>
      <c r="AM557" s="497"/>
      <c r="AN557" s="497"/>
      <c r="AO557" s="497"/>
      <c r="AP557" s="497"/>
      <c r="AQ557" s="497"/>
      <c r="AR557" s="497"/>
      <c r="AS557" s="497"/>
      <c r="AT557" s="497"/>
      <c r="AU557" s="497"/>
      <c r="AV557" s="497"/>
      <c r="AW557" s="497"/>
      <c r="AX557" s="497"/>
      <c r="AY557" s="497"/>
      <c r="AZ557" s="497"/>
      <c r="BA557" s="497"/>
      <c r="BB557" s="497"/>
      <c r="BC557" s="497"/>
      <c r="BD557" s="497"/>
      <c r="BE557" s="497"/>
      <c r="BF557" s="497"/>
      <c r="BG557" s="497"/>
      <c r="BH557" s="497"/>
      <c r="BI557" s="497"/>
      <c r="BJ557" s="497"/>
      <c r="BK557" s="497"/>
      <c r="BL557" s="497"/>
      <c r="BM557" s="497"/>
      <c r="BN557" s="497"/>
      <c r="BO557" s="497"/>
      <c r="BP557" s="497"/>
      <c r="BQ557" s="497"/>
      <c r="BR557" s="497"/>
      <c r="BS557" s="497"/>
      <c r="BT557" s="497"/>
      <c r="BU557" s="497"/>
      <c r="BV557" s="497"/>
      <c r="BW557" s="497"/>
      <c r="BX557" s="497"/>
      <c r="BY557" s="497"/>
      <c r="BZ557" s="497"/>
      <c r="CA557" s="497"/>
      <c r="CB557" s="497"/>
      <c r="CC557" s="497"/>
      <c r="CD557" s="497"/>
      <c r="CE557" s="497"/>
      <c r="CF557" s="497"/>
      <c r="CG557" s="497"/>
      <c r="CH557" s="497"/>
    </row>
    <row r="558" spans="1:86" s="335" customFormat="1">
      <c r="A558" s="517"/>
      <c r="B558" s="517"/>
      <c r="C558" s="517"/>
      <c r="D558" s="517"/>
      <c r="E558" s="517"/>
      <c r="F558" s="517"/>
      <c r="G558" s="517"/>
      <c r="H558" s="639"/>
      <c r="I558" s="639"/>
      <c r="J558" s="336"/>
      <c r="K558" s="2056"/>
      <c r="L558" s="337"/>
      <c r="N558" s="2057"/>
      <c r="O558" s="337"/>
      <c r="P558" s="337"/>
      <c r="Q558" s="337"/>
      <c r="R558" s="337"/>
      <c r="S558" s="337"/>
      <c r="T558" s="337"/>
      <c r="U558" s="497"/>
      <c r="V558" s="497"/>
      <c r="W558" s="497"/>
      <c r="X558" s="497"/>
      <c r="Y558" s="497"/>
      <c r="Z558" s="497"/>
      <c r="AA558" s="497"/>
      <c r="AB558" s="497"/>
      <c r="AC558" s="497"/>
      <c r="AD558" s="497"/>
      <c r="AE558" s="497"/>
      <c r="AF558" s="497"/>
      <c r="AG558" s="497"/>
      <c r="AH558" s="497"/>
      <c r="AI558" s="497"/>
      <c r="AJ558" s="497"/>
      <c r="AK558" s="497"/>
      <c r="AL558" s="497"/>
      <c r="AM558" s="497"/>
      <c r="AN558" s="497"/>
      <c r="AO558" s="497"/>
      <c r="AP558" s="497"/>
      <c r="AQ558" s="497"/>
      <c r="AR558" s="497"/>
      <c r="AS558" s="497"/>
      <c r="AT558" s="497"/>
      <c r="AU558" s="497"/>
      <c r="AV558" s="497"/>
      <c r="AW558" s="497"/>
      <c r="AX558" s="497"/>
      <c r="AY558" s="497"/>
      <c r="AZ558" s="497"/>
      <c r="BA558" s="497"/>
      <c r="BB558" s="497"/>
      <c r="BC558" s="497"/>
      <c r="BD558" s="497"/>
      <c r="BE558" s="497"/>
      <c r="BF558" s="497"/>
      <c r="BG558" s="497"/>
      <c r="BH558" s="497"/>
      <c r="BI558" s="497"/>
      <c r="BJ558" s="497"/>
      <c r="BK558" s="497"/>
      <c r="BL558" s="497"/>
      <c r="BM558" s="497"/>
      <c r="BN558" s="497"/>
      <c r="BO558" s="497"/>
      <c r="BP558" s="497"/>
      <c r="BQ558" s="497"/>
      <c r="BR558" s="497"/>
      <c r="BS558" s="497"/>
      <c r="BT558" s="497"/>
      <c r="BU558" s="497"/>
      <c r="BV558" s="497"/>
      <c r="BW558" s="497"/>
      <c r="BX558" s="497"/>
      <c r="BY558" s="497"/>
      <c r="BZ558" s="497"/>
      <c r="CA558" s="497"/>
      <c r="CB558" s="497"/>
      <c r="CC558" s="497"/>
      <c r="CD558" s="497"/>
      <c r="CE558" s="497"/>
      <c r="CF558" s="497"/>
      <c r="CG558" s="497"/>
      <c r="CH558" s="497"/>
    </row>
    <row r="559" spans="1:86" s="335" customFormat="1">
      <c r="A559" s="517"/>
      <c r="B559" s="517"/>
      <c r="C559" s="517"/>
      <c r="D559" s="517"/>
      <c r="E559" s="517"/>
      <c r="F559" s="517"/>
      <c r="G559" s="517"/>
      <c r="H559" s="639"/>
      <c r="I559" s="639"/>
      <c r="J559" s="336"/>
      <c r="K559" s="2056"/>
      <c r="L559" s="337"/>
      <c r="N559" s="2057"/>
      <c r="O559" s="337"/>
      <c r="P559" s="337"/>
      <c r="Q559" s="337"/>
      <c r="R559" s="337"/>
      <c r="S559" s="337"/>
      <c r="T559" s="337"/>
      <c r="U559" s="497"/>
      <c r="V559" s="497"/>
      <c r="W559" s="497"/>
      <c r="X559" s="497"/>
      <c r="Y559" s="497"/>
      <c r="Z559" s="497"/>
      <c r="AA559" s="497"/>
      <c r="AB559" s="497"/>
      <c r="AC559" s="497"/>
      <c r="AD559" s="497"/>
      <c r="AE559" s="497"/>
      <c r="AF559" s="497"/>
      <c r="AG559" s="497"/>
      <c r="AH559" s="497"/>
      <c r="AI559" s="497"/>
      <c r="AJ559" s="497"/>
      <c r="AK559" s="497"/>
      <c r="AL559" s="497"/>
      <c r="AM559" s="497"/>
      <c r="AN559" s="497"/>
      <c r="AO559" s="497"/>
      <c r="AP559" s="497"/>
      <c r="AQ559" s="497"/>
      <c r="AR559" s="497"/>
      <c r="AS559" s="497"/>
      <c r="AT559" s="497"/>
      <c r="AU559" s="497"/>
      <c r="AV559" s="497"/>
      <c r="AW559" s="497"/>
      <c r="AX559" s="497"/>
      <c r="AY559" s="497"/>
      <c r="AZ559" s="497"/>
      <c r="BA559" s="497"/>
      <c r="BB559" s="497"/>
      <c r="BC559" s="497"/>
      <c r="BD559" s="497"/>
      <c r="BE559" s="497"/>
      <c r="BF559" s="497"/>
      <c r="BG559" s="497"/>
      <c r="BH559" s="497"/>
      <c r="BI559" s="497"/>
      <c r="BJ559" s="497"/>
      <c r="BK559" s="497"/>
      <c r="BL559" s="497"/>
      <c r="BM559" s="497"/>
      <c r="BN559" s="497"/>
      <c r="BO559" s="497"/>
      <c r="BP559" s="497"/>
      <c r="BQ559" s="497"/>
      <c r="BR559" s="497"/>
      <c r="BS559" s="497"/>
      <c r="BT559" s="497"/>
      <c r="BU559" s="497"/>
      <c r="BV559" s="497"/>
      <c r="BW559" s="497"/>
      <c r="BX559" s="497"/>
      <c r="BY559" s="497"/>
      <c r="BZ559" s="497"/>
      <c r="CA559" s="497"/>
      <c r="CB559" s="497"/>
      <c r="CC559" s="497"/>
      <c r="CD559" s="497"/>
      <c r="CE559" s="497"/>
      <c r="CF559" s="497"/>
      <c r="CG559" s="497"/>
      <c r="CH559" s="497"/>
    </row>
    <row r="560" spans="1:86" s="335" customFormat="1">
      <c r="A560" s="517"/>
      <c r="B560" s="517"/>
      <c r="C560" s="517"/>
      <c r="D560" s="517"/>
      <c r="E560" s="517"/>
      <c r="F560" s="517"/>
      <c r="G560" s="517"/>
      <c r="H560" s="639"/>
      <c r="I560" s="639"/>
      <c r="J560" s="336"/>
      <c r="K560" s="2056"/>
      <c r="L560" s="337"/>
      <c r="N560" s="2057"/>
      <c r="O560" s="337"/>
      <c r="P560" s="337"/>
      <c r="Q560" s="337"/>
      <c r="R560" s="337"/>
      <c r="S560" s="337"/>
      <c r="T560" s="337"/>
      <c r="U560" s="497"/>
      <c r="V560" s="497"/>
      <c r="W560" s="497"/>
      <c r="X560" s="497"/>
      <c r="Y560" s="497"/>
      <c r="Z560" s="497"/>
      <c r="AA560" s="497"/>
      <c r="AB560" s="497"/>
      <c r="AC560" s="497"/>
      <c r="AD560" s="497"/>
      <c r="AE560" s="497"/>
      <c r="AF560" s="497"/>
      <c r="AG560" s="497"/>
      <c r="AH560" s="497"/>
      <c r="AI560" s="497"/>
      <c r="AJ560" s="497"/>
      <c r="AK560" s="497"/>
      <c r="AL560" s="497"/>
      <c r="AM560" s="497"/>
      <c r="AN560" s="497"/>
      <c r="AO560" s="497"/>
      <c r="AP560" s="497"/>
      <c r="AQ560" s="497"/>
      <c r="AR560" s="497"/>
      <c r="AS560" s="497"/>
      <c r="AT560" s="497"/>
      <c r="AU560" s="497"/>
      <c r="AV560" s="497"/>
      <c r="AW560" s="497"/>
      <c r="AX560" s="497"/>
      <c r="AY560" s="497"/>
      <c r="AZ560" s="497"/>
      <c r="BA560" s="497"/>
      <c r="BB560" s="497"/>
      <c r="BC560" s="497"/>
      <c r="BD560" s="497"/>
      <c r="BE560" s="497"/>
      <c r="BF560" s="497"/>
      <c r="BG560" s="497"/>
      <c r="BH560" s="497"/>
      <c r="BI560" s="497"/>
      <c r="BJ560" s="497"/>
      <c r="BK560" s="497"/>
      <c r="BL560" s="497"/>
      <c r="BM560" s="497"/>
      <c r="BN560" s="497"/>
      <c r="BO560" s="497"/>
      <c r="BP560" s="497"/>
      <c r="BQ560" s="497"/>
      <c r="BR560" s="497"/>
      <c r="BS560" s="497"/>
      <c r="BT560" s="497"/>
      <c r="BU560" s="497"/>
      <c r="BV560" s="497"/>
      <c r="BW560" s="497"/>
      <c r="BX560" s="497"/>
      <c r="BY560" s="497"/>
      <c r="BZ560" s="497"/>
      <c r="CA560" s="497"/>
      <c r="CB560" s="497"/>
      <c r="CC560" s="497"/>
      <c r="CD560" s="497"/>
      <c r="CE560" s="497"/>
      <c r="CF560" s="497"/>
      <c r="CG560" s="497"/>
      <c r="CH560" s="497"/>
    </row>
    <row r="561" spans="1:86" s="335" customFormat="1">
      <c r="A561" s="517"/>
      <c r="B561" s="517"/>
      <c r="C561" s="517"/>
      <c r="D561" s="517"/>
      <c r="E561" s="517"/>
      <c r="F561" s="517"/>
      <c r="G561" s="517"/>
      <c r="H561" s="639"/>
      <c r="I561" s="639"/>
      <c r="J561" s="336"/>
      <c r="K561" s="2056"/>
      <c r="L561" s="337"/>
      <c r="N561" s="2057"/>
      <c r="O561" s="337"/>
      <c r="P561" s="337"/>
      <c r="Q561" s="337"/>
      <c r="R561" s="337"/>
      <c r="S561" s="337"/>
      <c r="T561" s="337"/>
      <c r="U561" s="497"/>
      <c r="V561" s="497"/>
      <c r="W561" s="497"/>
      <c r="X561" s="497"/>
      <c r="Y561" s="497"/>
      <c r="Z561" s="497"/>
      <c r="AA561" s="497"/>
      <c r="AB561" s="497"/>
      <c r="AC561" s="497"/>
      <c r="AD561" s="497"/>
      <c r="AE561" s="497"/>
      <c r="AF561" s="497"/>
      <c r="AG561" s="497"/>
      <c r="AH561" s="497"/>
      <c r="AI561" s="497"/>
      <c r="AJ561" s="497"/>
      <c r="AK561" s="497"/>
      <c r="AL561" s="497"/>
      <c r="AM561" s="497"/>
      <c r="AN561" s="497"/>
      <c r="AO561" s="497"/>
      <c r="AP561" s="497"/>
      <c r="AQ561" s="497"/>
      <c r="AR561" s="497"/>
      <c r="AS561" s="497"/>
      <c r="AT561" s="497"/>
      <c r="AU561" s="497"/>
      <c r="AV561" s="497"/>
      <c r="AW561" s="497"/>
      <c r="AX561" s="497"/>
      <c r="AY561" s="497"/>
      <c r="AZ561" s="497"/>
      <c r="BA561" s="497"/>
      <c r="BB561" s="497"/>
      <c r="BC561" s="497"/>
      <c r="BD561" s="497"/>
      <c r="BE561" s="497"/>
      <c r="BF561" s="497"/>
      <c r="BG561" s="497"/>
      <c r="BH561" s="497"/>
      <c r="BI561" s="497"/>
      <c r="BJ561" s="497"/>
      <c r="BK561" s="497"/>
      <c r="BL561" s="497"/>
      <c r="BM561" s="497"/>
      <c r="BN561" s="497"/>
      <c r="BO561" s="497"/>
      <c r="BP561" s="497"/>
      <c r="BQ561" s="497"/>
      <c r="BR561" s="497"/>
      <c r="BS561" s="497"/>
      <c r="BT561" s="497"/>
      <c r="BU561" s="497"/>
      <c r="BV561" s="497"/>
      <c r="BW561" s="497"/>
      <c r="BX561" s="497"/>
      <c r="BY561" s="497"/>
      <c r="BZ561" s="497"/>
      <c r="CA561" s="497"/>
      <c r="CB561" s="497"/>
      <c r="CC561" s="497"/>
      <c r="CD561" s="497"/>
      <c r="CE561" s="497"/>
      <c r="CF561" s="497"/>
      <c r="CG561" s="497"/>
      <c r="CH561" s="497"/>
    </row>
    <row r="562" spans="1:86" s="335" customFormat="1">
      <c r="A562" s="517"/>
      <c r="B562" s="517"/>
      <c r="C562" s="517"/>
      <c r="D562" s="517"/>
      <c r="E562" s="517"/>
      <c r="F562" s="517"/>
      <c r="G562" s="517"/>
      <c r="H562" s="639"/>
      <c r="I562" s="639"/>
      <c r="J562" s="336"/>
      <c r="K562" s="2056"/>
      <c r="L562" s="337"/>
      <c r="N562" s="2057"/>
      <c r="O562" s="337"/>
      <c r="P562" s="337"/>
      <c r="Q562" s="337"/>
      <c r="R562" s="337"/>
      <c r="S562" s="337"/>
      <c r="T562" s="337"/>
      <c r="U562" s="497"/>
      <c r="V562" s="497"/>
      <c r="W562" s="497"/>
      <c r="X562" s="497"/>
      <c r="Y562" s="497"/>
      <c r="Z562" s="497"/>
      <c r="AA562" s="497"/>
      <c r="AB562" s="497"/>
      <c r="AC562" s="497"/>
      <c r="AD562" s="497"/>
      <c r="AE562" s="497"/>
      <c r="AF562" s="497"/>
      <c r="AG562" s="497"/>
      <c r="AH562" s="497"/>
      <c r="AI562" s="497"/>
      <c r="AJ562" s="497"/>
      <c r="AK562" s="497"/>
      <c r="AL562" s="497"/>
      <c r="AM562" s="497"/>
      <c r="AN562" s="497"/>
      <c r="AO562" s="497"/>
      <c r="AP562" s="497"/>
      <c r="AQ562" s="497"/>
      <c r="AR562" s="497"/>
      <c r="AS562" s="497"/>
      <c r="AT562" s="497"/>
      <c r="AU562" s="497"/>
      <c r="AV562" s="497"/>
      <c r="AW562" s="497"/>
      <c r="AX562" s="497"/>
      <c r="AY562" s="497"/>
      <c r="AZ562" s="497"/>
      <c r="BA562" s="497"/>
      <c r="BB562" s="497"/>
      <c r="BC562" s="497"/>
      <c r="BD562" s="497"/>
      <c r="BE562" s="497"/>
      <c r="BF562" s="497"/>
      <c r="BG562" s="497"/>
      <c r="BH562" s="497"/>
      <c r="BI562" s="497"/>
      <c r="BJ562" s="497"/>
      <c r="BK562" s="497"/>
      <c r="BL562" s="497"/>
      <c r="BM562" s="497"/>
      <c r="BN562" s="497"/>
      <c r="BO562" s="497"/>
      <c r="BP562" s="497"/>
      <c r="BQ562" s="497"/>
      <c r="BR562" s="497"/>
      <c r="BS562" s="497"/>
      <c r="BT562" s="497"/>
      <c r="BU562" s="497"/>
      <c r="BV562" s="497"/>
      <c r="BW562" s="497"/>
      <c r="BX562" s="497"/>
      <c r="BY562" s="497"/>
      <c r="BZ562" s="497"/>
      <c r="CA562" s="497"/>
      <c r="CB562" s="497"/>
      <c r="CC562" s="497"/>
      <c r="CD562" s="497"/>
      <c r="CE562" s="497"/>
      <c r="CF562" s="497"/>
      <c r="CG562" s="497"/>
      <c r="CH562" s="497"/>
    </row>
    <row r="563" spans="1:86" s="335" customFormat="1">
      <c r="A563" s="517"/>
      <c r="B563" s="517"/>
      <c r="C563" s="517"/>
      <c r="D563" s="517"/>
      <c r="E563" s="517"/>
      <c r="F563" s="517"/>
      <c r="G563" s="517"/>
      <c r="H563" s="639"/>
      <c r="I563" s="639"/>
      <c r="J563" s="336"/>
      <c r="K563" s="2056"/>
      <c r="L563" s="337"/>
      <c r="N563" s="2057"/>
      <c r="O563" s="337"/>
      <c r="P563" s="337"/>
      <c r="Q563" s="337"/>
      <c r="R563" s="337"/>
      <c r="S563" s="337"/>
      <c r="T563" s="337"/>
      <c r="U563" s="497"/>
      <c r="V563" s="497"/>
      <c r="W563" s="497"/>
      <c r="X563" s="497"/>
      <c r="Y563" s="497"/>
      <c r="Z563" s="497"/>
      <c r="AA563" s="497"/>
      <c r="AB563" s="497"/>
      <c r="AC563" s="497"/>
      <c r="AD563" s="497"/>
      <c r="AE563" s="497"/>
      <c r="AF563" s="497"/>
      <c r="AG563" s="497"/>
      <c r="AH563" s="497"/>
      <c r="AI563" s="497"/>
      <c r="AJ563" s="497"/>
      <c r="AK563" s="497"/>
      <c r="AL563" s="497"/>
      <c r="AM563" s="497"/>
      <c r="AN563" s="497"/>
      <c r="AO563" s="497"/>
      <c r="AP563" s="497"/>
      <c r="AQ563" s="497"/>
      <c r="AR563" s="497"/>
      <c r="AS563" s="497"/>
      <c r="AT563" s="497"/>
      <c r="AU563" s="497"/>
      <c r="AV563" s="497"/>
      <c r="AW563" s="497"/>
      <c r="AX563" s="497"/>
      <c r="AY563" s="497"/>
      <c r="AZ563" s="497"/>
      <c r="BA563" s="497"/>
      <c r="BB563" s="497"/>
      <c r="BC563" s="497"/>
      <c r="BD563" s="497"/>
      <c r="BE563" s="497"/>
      <c r="BF563" s="497"/>
      <c r="BG563" s="497"/>
      <c r="BH563" s="497"/>
      <c r="BI563" s="497"/>
      <c r="BJ563" s="497"/>
      <c r="BK563" s="497"/>
      <c r="BL563" s="497"/>
      <c r="BM563" s="497"/>
      <c r="BN563" s="497"/>
      <c r="BO563" s="497"/>
      <c r="BP563" s="497"/>
      <c r="BQ563" s="497"/>
      <c r="BR563" s="497"/>
      <c r="BS563" s="497"/>
      <c r="BT563" s="497"/>
      <c r="BU563" s="497"/>
      <c r="BV563" s="497"/>
      <c r="BW563" s="497"/>
      <c r="BX563" s="497"/>
      <c r="BY563" s="497"/>
      <c r="BZ563" s="497"/>
      <c r="CA563" s="497"/>
      <c r="CB563" s="497"/>
      <c r="CC563" s="497"/>
      <c r="CD563" s="497"/>
      <c r="CE563" s="497"/>
      <c r="CF563" s="497"/>
      <c r="CG563" s="497"/>
      <c r="CH563" s="497"/>
    </row>
    <row r="564" spans="1:86" s="335" customFormat="1">
      <c r="A564" s="517"/>
      <c r="B564" s="517"/>
      <c r="C564" s="517"/>
      <c r="D564" s="517"/>
      <c r="E564" s="517"/>
      <c r="F564" s="517"/>
      <c r="G564" s="517"/>
      <c r="H564" s="639"/>
      <c r="I564" s="639"/>
      <c r="J564" s="336"/>
      <c r="K564" s="2056"/>
      <c r="L564" s="337"/>
      <c r="N564" s="2057"/>
      <c r="O564" s="337"/>
      <c r="P564" s="337"/>
      <c r="Q564" s="337"/>
      <c r="R564" s="337"/>
      <c r="S564" s="337"/>
      <c r="T564" s="337"/>
      <c r="U564" s="497"/>
      <c r="V564" s="497"/>
      <c r="W564" s="497"/>
      <c r="X564" s="497"/>
      <c r="Y564" s="497"/>
      <c r="Z564" s="497"/>
      <c r="AA564" s="497"/>
      <c r="AB564" s="497"/>
      <c r="AC564" s="497"/>
      <c r="AD564" s="497"/>
      <c r="AE564" s="497"/>
      <c r="AF564" s="497"/>
      <c r="AG564" s="497"/>
      <c r="AH564" s="497"/>
      <c r="AI564" s="497"/>
      <c r="AJ564" s="497"/>
      <c r="AK564" s="497"/>
      <c r="AL564" s="497"/>
      <c r="AM564" s="497"/>
      <c r="AN564" s="497"/>
      <c r="AO564" s="497"/>
      <c r="AP564" s="497"/>
      <c r="AQ564" s="497"/>
      <c r="AR564" s="497"/>
      <c r="AS564" s="497"/>
      <c r="AT564" s="497"/>
      <c r="AU564" s="497"/>
      <c r="AV564" s="497"/>
      <c r="AW564" s="497"/>
      <c r="AX564" s="497"/>
      <c r="AY564" s="497"/>
      <c r="AZ564" s="497"/>
      <c r="BA564" s="497"/>
      <c r="BB564" s="497"/>
      <c r="BC564" s="497"/>
      <c r="BD564" s="497"/>
      <c r="BE564" s="497"/>
      <c r="BF564" s="497"/>
      <c r="BG564" s="497"/>
      <c r="BH564" s="497"/>
      <c r="BI564" s="497"/>
      <c r="BJ564" s="497"/>
      <c r="BK564" s="497"/>
      <c r="BL564" s="497"/>
      <c r="BM564" s="497"/>
      <c r="BN564" s="497"/>
      <c r="BO564" s="497"/>
      <c r="BP564" s="497"/>
      <c r="BQ564" s="497"/>
      <c r="BR564" s="497"/>
      <c r="BS564" s="497"/>
      <c r="BT564" s="497"/>
      <c r="BU564" s="497"/>
      <c r="BV564" s="497"/>
      <c r="BW564" s="497"/>
      <c r="BX564" s="497"/>
      <c r="BY564" s="497"/>
      <c r="BZ564" s="497"/>
      <c r="CA564" s="497"/>
      <c r="CB564" s="497"/>
      <c r="CC564" s="497"/>
      <c r="CD564" s="497"/>
      <c r="CE564" s="497"/>
      <c r="CF564" s="497"/>
      <c r="CG564" s="497"/>
      <c r="CH564" s="497"/>
    </row>
    <row r="565" spans="1:86" s="335" customFormat="1">
      <c r="A565" s="517"/>
      <c r="B565" s="517"/>
      <c r="C565" s="517"/>
      <c r="D565" s="517"/>
      <c r="E565" s="517"/>
      <c r="F565" s="517"/>
      <c r="G565" s="517"/>
      <c r="H565" s="639"/>
      <c r="I565" s="639"/>
      <c r="J565" s="336"/>
      <c r="K565" s="2056"/>
      <c r="L565" s="337"/>
      <c r="N565" s="2057"/>
      <c r="O565" s="337"/>
      <c r="P565" s="337"/>
      <c r="Q565" s="337"/>
      <c r="R565" s="337"/>
      <c r="S565" s="337"/>
      <c r="T565" s="337"/>
      <c r="U565" s="497"/>
      <c r="V565" s="497"/>
      <c r="W565" s="497"/>
      <c r="X565" s="497"/>
      <c r="Y565" s="497"/>
      <c r="Z565" s="497"/>
      <c r="AA565" s="497"/>
      <c r="AB565" s="497"/>
      <c r="AC565" s="497"/>
      <c r="AD565" s="497"/>
      <c r="AE565" s="497"/>
      <c r="AF565" s="497"/>
      <c r="AG565" s="497"/>
      <c r="AH565" s="497"/>
      <c r="AI565" s="497"/>
      <c r="AJ565" s="497"/>
      <c r="AK565" s="497"/>
      <c r="AL565" s="497"/>
      <c r="AM565" s="497"/>
      <c r="AN565" s="497"/>
      <c r="AO565" s="497"/>
      <c r="AP565" s="497"/>
      <c r="AQ565" s="497"/>
      <c r="AR565" s="497"/>
      <c r="AS565" s="497"/>
      <c r="AT565" s="497"/>
      <c r="AU565" s="497"/>
      <c r="AV565" s="497"/>
      <c r="AW565" s="497"/>
      <c r="AX565" s="497"/>
      <c r="AY565" s="497"/>
      <c r="AZ565" s="497"/>
      <c r="BA565" s="497"/>
      <c r="BB565" s="497"/>
      <c r="BC565" s="497"/>
      <c r="BD565" s="497"/>
      <c r="BE565" s="497"/>
      <c r="BF565" s="497"/>
      <c r="BG565" s="497"/>
      <c r="BH565" s="497"/>
      <c r="BI565" s="497"/>
      <c r="BJ565" s="497"/>
      <c r="BK565" s="497"/>
      <c r="BL565" s="497"/>
      <c r="BM565" s="497"/>
      <c r="BN565" s="497"/>
      <c r="BO565" s="497"/>
      <c r="BP565" s="497"/>
      <c r="BQ565" s="497"/>
      <c r="BR565" s="497"/>
      <c r="BS565" s="497"/>
      <c r="BT565" s="497"/>
      <c r="BU565" s="497"/>
      <c r="BV565" s="497"/>
      <c r="BW565" s="497"/>
      <c r="BX565" s="497"/>
      <c r="BY565" s="497"/>
      <c r="BZ565" s="497"/>
      <c r="CA565" s="497"/>
      <c r="CB565" s="497"/>
      <c r="CC565" s="497"/>
      <c r="CD565" s="497"/>
      <c r="CE565" s="497"/>
      <c r="CF565" s="497"/>
      <c r="CG565" s="497"/>
      <c r="CH565" s="497"/>
    </row>
    <row r="566" spans="1:86" s="335" customFormat="1">
      <c r="A566" s="517"/>
      <c r="B566" s="517"/>
      <c r="C566" s="517"/>
      <c r="D566" s="517"/>
      <c r="E566" s="517"/>
      <c r="F566" s="517"/>
      <c r="G566" s="517"/>
      <c r="H566" s="639"/>
      <c r="I566" s="639"/>
      <c r="J566" s="336"/>
      <c r="K566" s="2056"/>
      <c r="L566" s="337"/>
      <c r="N566" s="2057"/>
      <c r="O566" s="337"/>
      <c r="P566" s="337"/>
      <c r="Q566" s="337"/>
      <c r="R566" s="337"/>
      <c r="S566" s="337"/>
      <c r="T566" s="337"/>
      <c r="U566" s="497"/>
      <c r="V566" s="497"/>
      <c r="W566" s="497"/>
      <c r="X566" s="497"/>
      <c r="Y566" s="497"/>
      <c r="Z566" s="497"/>
      <c r="AA566" s="497"/>
      <c r="AB566" s="497"/>
      <c r="AC566" s="497"/>
      <c r="AD566" s="497"/>
      <c r="AE566" s="497"/>
      <c r="AF566" s="497"/>
      <c r="AG566" s="497"/>
      <c r="AH566" s="497"/>
      <c r="AI566" s="497"/>
      <c r="AJ566" s="497"/>
      <c r="AK566" s="497"/>
      <c r="AL566" s="497"/>
      <c r="AM566" s="497"/>
      <c r="AN566" s="497"/>
      <c r="AO566" s="497"/>
      <c r="AP566" s="497"/>
      <c r="AQ566" s="497"/>
      <c r="AR566" s="497"/>
      <c r="AS566" s="497"/>
      <c r="AT566" s="497"/>
      <c r="AU566" s="497"/>
      <c r="AV566" s="497"/>
      <c r="AW566" s="497"/>
      <c r="AX566" s="497"/>
      <c r="AY566" s="497"/>
      <c r="AZ566" s="497"/>
      <c r="BA566" s="497"/>
      <c r="BB566" s="497"/>
      <c r="BC566" s="497"/>
      <c r="BD566" s="497"/>
      <c r="BE566" s="497"/>
      <c r="BF566" s="497"/>
      <c r="BG566" s="497"/>
      <c r="BH566" s="497"/>
      <c r="BI566" s="497"/>
      <c r="BJ566" s="497"/>
      <c r="BK566" s="497"/>
      <c r="BL566" s="497"/>
      <c r="BM566" s="497"/>
      <c r="BN566" s="497"/>
      <c r="BO566" s="497"/>
      <c r="BP566" s="497"/>
      <c r="BQ566" s="497"/>
      <c r="BR566" s="497"/>
      <c r="BS566" s="497"/>
      <c r="BT566" s="497"/>
      <c r="BU566" s="497"/>
      <c r="BV566" s="497"/>
      <c r="BW566" s="497"/>
      <c r="BX566" s="497"/>
      <c r="BY566" s="497"/>
      <c r="BZ566" s="497"/>
      <c r="CA566" s="497"/>
      <c r="CB566" s="497"/>
      <c r="CC566" s="497"/>
      <c r="CD566" s="497"/>
      <c r="CE566" s="497"/>
      <c r="CF566" s="497"/>
      <c r="CG566" s="497"/>
      <c r="CH566" s="497"/>
    </row>
    <row r="567" spans="1:86" s="335" customFormat="1">
      <c r="A567" s="517"/>
      <c r="B567" s="517"/>
      <c r="C567" s="517"/>
      <c r="D567" s="517"/>
      <c r="E567" s="517"/>
      <c r="F567" s="517"/>
      <c r="G567" s="517"/>
      <c r="H567" s="639"/>
      <c r="I567" s="639"/>
      <c r="J567" s="336"/>
      <c r="K567" s="2056"/>
      <c r="L567" s="337"/>
      <c r="N567" s="2057"/>
      <c r="O567" s="337"/>
      <c r="P567" s="337"/>
      <c r="Q567" s="337"/>
      <c r="R567" s="337"/>
      <c r="S567" s="337"/>
      <c r="T567" s="337"/>
      <c r="U567" s="497"/>
      <c r="V567" s="497"/>
      <c r="W567" s="497"/>
      <c r="X567" s="497"/>
      <c r="Y567" s="497"/>
      <c r="Z567" s="497"/>
      <c r="AA567" s="497"/>
      <c r="AB567" s="497"/>
      <c r="AC567" s="497"/>
      <c r="AD567" s="497"/>
      <c r="AE567" s="497"/>
      <c r="AF567" s="497"/>
      <c r="AG567" s="497"/>
      <c r="AH567" s="497"/>
      <c r="AI567" s="497"/>
      <c r="AJ567" s="497"/>
      <c r="AK567" s="497"/>
      <c r="AL567" s="497"/>
      <c r="AM567" s="497"/>
      <c r="AN567" s="497"/>
      <c r="AO567" s="497"/>
      <c r="AP567" s="497"/>
      <c r="AQ567" s="497"/>
      <c r="AR567" s="497"/>
      <c r="AS567" s="497"/>
      <c r="AT567" s="497"/>
      <c r="AU567" s="497"/>
      <c r="AV567" s="497"/>
      <c r="AW567" s="497"/>
      <c r="AX567" s="497"/>
      <c r="AY567" s="497"/>
      <c r="AZ567" s="497"/>
      <c r="BA567" s="497"/>
      <c r="BB567" s="497"/>
      <c r="BC567" s="497"/>
      <c r="BD567" s="497"/>
      <c r="BE567" s="497"/>
      <c r="BF567" s="497"/>
      <c r="BG567" s="497"/>
      <c r="BH567" s="497"/>
      <c r="BI567" s="497"/>
      <c r="BJ567" s="497"/>
      <c r="BK567" s="497"/>
      <c r="BL567" s="497"/>
      <c r="BM567" s="497"/>
      <c r="BN567" s="497"/>
      <c r="BO567" s="497"/>
      <c r="BP567" s="497"/>
      <c r="BQ567" s="497"/>
      <c r="BR567" s="497"/>
      <c r="BS567" s="497"/>
      <c r="BT567" s="497"/>
      <c r="BU567" s="497"/>
      <c r="BV567" s="497"/>
      <c r="BW567" s="497"/>
      <c r="BX567" s="497"/>
      <c r="BY567" s="497"/>
      <c r="BZ567" s="497"/>
      <c r="CA567" s="497"/>
      <c r="CB567" s="497"/>
      <c r="CC567" s="497"/>
      <c r="CD567" s="497"/>
      <c r="CE567" s="497"/>
      <c r="CF567" s="497"/>
      <c r="CG567" s="497"/>
      <c r="CH567" s="497"/>
    </row>
    <row r="568" spans="1:86" s="335" customFormat="1">
      <c r="A568" s="517"/>
      <c r="B568" s="517"/>
      <c r="C568" s="517"/>
      <c r="D568" s="517"/>
      <c r="E568" s="517"/>
      <c r="F568" s="517"/>
      <c r="G568" s="517"/>
      <c r="H568" s="639"/>
      <c r="I568" s="639"/>
      <c r="J568" s="336"/>
      <c r="K568" s="2056"/>
      <c r="L568" s="337"/>
      <c r="N568" s="2057"/>
      <c r="O568" s="337"/>
      <c r="P568" s="337"/>
      <c r="Q568" s="337"/>
      <c r="R568" s="337"/>
      <c r="S568" s="337"/>
      <c r="T568" s="337"/>
      <c r="U568" s="497"/>
      <c r="V568" s="497"/>
      <c r="W568" s="497"/>
      <c r="X568" s="497"/>
      <c r="Y568" s="497"/>
      <c r="Z568" s="497"/>
      <c r="AA568" s="497"/>
      <c r="AB568" s="497"/>
      <c r="AC568" s="497"/>
      <c r="AD568" s="497"/>
      <c r="AE568" s="497"/>
      <c r="AF568" s="497"/>
      <c r="AG568" s="497"/>
      <c r="AH568" s="497"/>
      <c r="AI568" s="497"/>
      <c r="AJ568" s="497"/>
      <c r="AK568" s="497"/>
      <c r="AL568" s="497"/>
      <c r="AM568" s="497"/>
      <c r="AN568" s="497"/>
      <c r="AO568" s="497"/>
      <c r="AP568" s="497"/>
      <c r="AQ568" s="497"/>
      <c r="AR568" s="497"/>
      <c r="AS568" s="497"/>
      <c r="AT568" s="497"/>
      <c r="AU568" s="497"/>
      <c r="AV568" s="497"/>
      <c r="AW568" s="497"/>
      <c r="AX568" s="497"/>
      <c r="AY568" s="497"/>
      <c r="AZ568" s="497"/>
      <c r="BA568" s="497"/>
      <c r="BB568" s="497"/>
      <c r="BC568" s="497"/>
      <c r="BD568" s="497"/>
      <c r="BE568" s="497"/>
      <c r="BF568" s="497"/>
      <c r="BG568" s="497"/>
      <c r="BH568" s="497"/>
      <c r="BI568" s="497"/>
      <c r="BJ568" s="497"/>
      <c r="BK568" s="497"/>
      <c r="BL568" s="497"/>
      <c r="BM568" s="497"/>
      <c r="BN568" s="497"/>
      <c r="BO568" s="497"/>
      <c r="BP568" s="497"/>
      <c r="BQ568" s="497"/>
      <c r="BR568" s="497"/>
      <c r="BS568" s="497"/>
      <c r="BT568" s="497"/>
      <c r="BU568" s="497"/>
      <c r="BV568" s="497"/>
      <c r="BW568" s="497"/>
      <c r="BX568" s="497"/>
      <c r="BY568" s="497"/>
      <c r="BZ568" s="497"/>
      <c r="CA568" s="497"/>
      <c r="CB568" s="497"/>
      <c r="CC568" s="497"/>
      <c r="CD568" s="497"/>
      <c r="CE568" s="497"/>
      <c r="CF568" s="497"/>
      <c r="CG568" s="497"/>
      <c r="CH568" s="497"/>
    </row>
    <row r="569" spans="1:86" s="335" customFormat="1">
      <c r="A569" s="517"/>
      <c r="B569" s="517"/>
      <c r="C569" s="517"/>
      <c r="D569" s="517"/>
      <c r="E569" s="517"/>
      <c r="F569" s="517"/>
      <c r="G569" s="517"/>
      <c r="H569" s="639"/>
      <c r="I569" s="639"/>
      <c r="J569" s="336"/>
      <c r="K569" s="2056"/>
      <c r="L569" s="337"/>
      <c r="N569" s="2057"/>
      <c r="O569" s="337"/>
      <c r="P569" s="337"/>
      <c r="Q569" s="337"/>
      <c r="R569" s="337"/>
      <c r="S569" s="337"/>
      <c r="T569" s="337"/>
      <c r="U569" s="497"/>
      <c r="V569" s="497"/>
      <c r="W569" s="497"/>
      <c r="X569" s="497"/>
      <c r="Y569" s="497"/>
      <c r="Z569" s="497"/>
      <c r="AA569" s="497"/>
      <c r="AB569" s="497"/>
      <c r="AC569" s="497"/>
      <c r="AD569" s="497"/>
      <c r="AE569" s="497"/>
      <c r="AF569" s="497"/>
      <c r="AG569" s="497"/>
      <c r="AH569" s="497"/>
      <c r="AI569" s="497"/>
      <c r="AJ569" s="497"/>
      <c r="AK569" s="497"/>
      <c r="AL569" s="497"/>
      <c r="AM569" s="497"/>
      <c r="AN569" s="497"/>
      <c r="AO569" s="497"/>
      <c r="AP569" s="497"/>
      <c r="AQ569" s="497"/>
      <c r="AR569" s="497"/>
      <c r="AS569" s="497"/>
      <c r="AT569" s="497"/>
      <c r="AU569" s="497"/>
      <c r="AV569" s="497"/>
      <c r="AW569" s="497"/>
      <c r="AX569" s="497"/>
      <c r="AY569" s="497"/>
      <c r="AZ569" s="497"/>
      <c r="BA569" s="497"/>
      <c r="BB569" s="497"/>
      <c r="BC569" s="497"/>
      <c r="BD569" s="497"/>
      <c r="BE569" s="497"/>
      <c r="BF569" s="497"/>
      <c r="BG569" s="497"/>
      <c r="BH569" s="497"/>
      <c r="BI569" s="497"/>
      <c r="BJ569" s="497"/>
      <c r="BK569" s="497"/>
      <c r="BL569" s="497"/>
      <c r="BM569" s="497"/>
      <c r="BN569" s="497"/>
      <c r="BO569" s="497"/>
      <c r="BP569" s="497"/>
      <c r="BQ569" s="497"/>
      <c r="BR569" s="497"/>
      <c r="BS569" s="497"/>
      <c r="BT569" s="497"/>
      <c r="BU569" s="497"/>
      <c r="BV569" s="497"/>
      <c r="BW569" s="497"/>
      <c r="BX569" s="497"/>
      <c r="BY569" s="497"/>
      <c r="BZ569" s="497"/>
      <c r="CA569" s="497"/>
      <c r="CB569" s="497"/>
      <c r="CC569" s="497"/>
      <c r="CD569" s="497"/>
      <c r="CE569" s="497"/>
      <c r="CF569" s="497"/>
      <c r="CG569" s="497"/>
      <c r="CH569" s="497"/>
    </row>
    <row r="570" spans="1:86" s="335" customFormat="1">
      <c r="A570" s="517"/>
      <c r="B570" s="517"/>
      <c r="C570" s="517"/>
      <c r="D570" s="517"/>
      <c r="E570" s="517"/>
      <c r="F570" s="517"/>
      <c r="G570" s="517"/>
      <c r="H570" s="639"/>
      <c r="I570" s="639"/>
      <c r="J570" s="336"/>
      <c r="K570" s="2056"/>
      <c r="L570" s="337"/>
      <c r="N570" s="2057"/>
      <c r="O570" s="337"/>
      <c r="P570" s="337"/>
      <c r="Q570" s="337"/>
      <c r="R570" s="337"/>
      <c r="S570" s="337"/>
      <c r="T570" s="337"/>
      <c r="U570" s="497"/>
      <c r="V570" s="497"/>
      <c r="W570" s="497"/>
      <c r="X570" s="497"/>
      <c r="Y570" s="497"/>
      <c r="Z570" s="497"/>
      <c r="AA570" s="497"/>
      <c r="AB570" s="497"/>
      <c r="AC570" s="497"/>
      <c r="AD570" s="497"/>
      <c r="AE570" s="497"/>
      <c r="AF570" s="497"/>
      <c r="AG570" s="497"/>
      <c r="AH570" s="497"/>
      <c r="AI570" s="497"/>
      <c r="AJ570" s="497"/>
      <c r="AK570" s="497"/>
      <c r="AL570" s="497"/>
      <c r="AM570" s="497"/>
      <c r="AN570" s="497"/>
      <c r="AO570" s="497"/>
      <c r="AP570" s="497"/>
      <c r="AQ570" s="497"/>
      <c r="AR570" s="497"/>
      <c r="AS570" s="497"/>
      <c r="AT570" s="497"/>
      <c r="AU570" s="497"/>
      <c r="AV570" s="497"/>
      <c r="AW570" s="497"/>
      <c r="AX570" s="497"/>
      <c r="AY570" s="497"/>
      <c r="AZ570" s="497"/>
      <c r="BA570" s="497"/>
      <c r="BB570" s="497"/>
      <c r="BC570" s="497"/>
      <c r="BD570" s="497"/>
      <c r="BE570" s="497"/>
      <c r="BF570" s="497"/>
      <c r="BG570" s="497"/>
      <c r="BH570" s="497"/>
      <c r="BI570" s="497"/>
      <c r="BJ570" s="497"/>
      <c r="BK570" s="497"/>
      <c r="BL570" s="497"/>
      <c r="BM570" s="497"/>
      <c r="BN570" s="497"/>
      <c r="BO570" s="497"/>
      <c r="BP570" s="497"/>
      <c r="BQ570" s="497"/>
      <c r="BR570" s="497"/>
      <c r="BS570" s="497"/>
      <c r="BT570" s="497"/>
      <c r="BU570" s="497"/>
      <c r="BV570" s="497"/>
      <c r="BW570" s="497"/>
      <c r="BX570" s="497"/>
      <c r="BY570" s="497"/>
      <c r="BZ570" s="497"/>
      <c r="CA570" s="497"/>
      <c r="CB570" s="497"/>
      <c r="CC570" s="497"/>
      <c r="CD570" s="497"/>
      <c r="CE570" s="497"/>
      <c r="CF570" s="497"/>
      <c r="CG570" s="497"/>
      <c r="CH570" s="497"/>
    </row>
    <row r="571" spans="1:86" s="335" customFormat="1">
      <c r="A571" s="517"/>
      <c r="B571" s="517"/>
      <c r="C571" s="517"/>
      <c r="D571" s="517"/>
      <c r="E571" s="517"/>
      <c r="F571" s="517"/>
      <c r="G571" s="517"/>
      <c r="H571" s="639"/>
      <c r="I571" s="639"/>
      <c r="J571" s="336"/>
      <c r="K571" s="2056"/>
      <c r="L571" s="337"/>
      <c r="N571" s="2057"/>
      <c r="O571" s="337"/>
      <c r="P571" s="337"/>
      <c r="Q571" s="337"/>
      <c r="R571" s="337"/>
      <c r="S571" s="337"/>
      <c r="T571" s="337"/>
      <c r="U571" s="497"/>
      <c r="V571" s="497"/>
      <c r="W571" s="497"/>
      <c r="X571" s="497"/>
      <c r="Y571" s="497"/>
      <c r="Z571" s="497"/>
      <c r="AA571" s="497"/>
      <c r="AB571" s="497"/>
      <c r="AC571" s="497"/>
      <c r="AD571" s="497"/>
      <c r="AE571" s="497"/>
      <c r="AF571" s="497"/>
      <c r="AG571" s="497"/>
      <c r="AH571" s="497"/>
      <c r="AI571" s="497"/>
      <c r="AJ571" s="497"/>
      <c r="AK571" s="497"/>
      <c r="AL571" s="497"/>
      <c r="AM571" s="497"/>
      <c r="AN571" s="497"/>
      <c r="AO571" s="497"/>
      <c r="AP571" s="497"/>
      <c r="AQ571" s="497"/>
      <c r="AR571" s="497"/>
      <c r="AS571" s="497"/>
      <c r="AT571" s="497"/>
      <c r="AU571" s="497"/>
      <c r="AV571" s="497"/>
      <c r="AW571" s="497"/>
      <c r="AX571" s="497"/>
      <c r="AY571" s="497"/>
      <c r="AZ571" s="497"/>
      <c r="BA571" s="497"/>
      <c r="BB571" s="497"/>
      <c r="BC571" s="497"/>
      <c r="BD571" s="497"/>
      <c r="BE571" s="497"/>
      <c r="BF571" s="497"/>
      <c r="BG571" s="497"/>
      <c r="BH571" s="497"/>
      <c r="BI571" s="497"/>
      <c r="BJ571" s="497"/>
      <c r="BK571" s="497"/>
      <c r="BL571" s="497"/>
      <c r="BM571" s="497"/>
      <c r="BN571" s="497"/>
      <c r="BO571" s="497"/>
      <c r="BP571" s="497"/>
      <c r="BQ571" s="497"/>
      <c r="BR571" s="497"/>
      <c r="BS571" s="497"/>
      <c r="BT571" s="497"/>
      <c r="BU571" s="497"/>
      <c r="BV571" s="497"/>
      <c r="BW571" s="497"/>
      <c r="BX571" s="497"/>
      <c r="BY571" s="497"/>
      <c r="BZ571" s="497"/>
      <c r="CA571" s="497"/>
      <c r="CB571" s="497"/>
      <c r="CC571" s="497"/>
      <c r="CD571" s="497"/>
      <c r="CE571" s="497"/>
      <c r="CF571" s="497"/>
      <c r="CG571" s="497"/>
      <c r="CH571" s="497"/>
    </row>
    <row r="572" spans="1:86" s="335" customFormat="1">
      <c r="A572" s="517"/>
      <c r="B572" s="517"/>
      <c r="C572" s="517"/>
      <c r="D572" s="517"/>
      <c r="E572" s="517"/>
      <c r="F572" s="517"/>
      <c r="G572" s="517"/>
      <c r="H572" s="639"/>
      <c r="I572" s="639"/>
      <c r="J572" s="336"/>
      <c r="K572" s="2056"/>
      <c r="L572" s="337"/>
      <c r="N572" s="2057"/>
      <c r="O572" s="337"/>
      <c r="P572" s="337"/>
      <c r="Q572" s="337"/>
      <c r="R572" s="337"/>
      <c r="S572" s="337"/>
      <c r="T572" s="337"/>
      <c r="U572" s="497"/>
      <c r="V572" s="497"/>
      <c r="W572" s="497"/>
      <c r="X572" s="497"/>
      <c r="Y572" s="497"/>
      <c r="Z572" s="497"/>
      <c r="AA572" s="497"/>
      <c r="AB572" s="497"/>
      <c r="AC572" s="497"/>
      <c r="AD572" s="497"/>
      <c r="AE572" s="497"/>
      <c r="AF572" s="497"/>
      <c r="AG572" s="497"/>
      <c r="AH572" s="497"/>
      <c r="AI572" s="497"/>
      <c r="AJ572" s="497"/>
      <c r="AK572" s="497"/>
      <c r="AL572" s="497"/>
      <c r="AM572" s="497"/>
      <c r="AN572" s="497"/>
      <c r="AO572" s="497"/>
      <c r="AP572" s="497"/>
      <c r="AQ572" s="497"/>
      <c r="AR572" s="497"/>
      <c r="AS572" s="497"/>
      <c r="AT572" s="497"/>
      <c r="AU572" s="497"/>
      <c r="AV572" s="497"/>
      <c r="AW572" s="497"/>
      <c r="AX572" s="497"/>
      <c r="AY572" s="497"/>
      <c r="AZ572" s="497"/>
      <c r="BA572" s="497"/>
      <c r="BB572" s="497"/>
      <c r="BC572" s="497"/>
      <c r="BD572" s="497"/>
      <c r="BE572" s="497"/>
      <c r="BF572" s="497"/>
      <c r="BG572" s="497"/>
      <c r="BH572" s="497"/>
      <c r="BI572" s="497"/>
      <c r="BJ572" s="497"/>
      <c r="BK572" s="497"/>
      <c r="BL572" s="497"/>
      <c r="BM572" s="497"/>
      <c r="BN572" s="497"/>
      <c r="BO572" s="497"/>
      <c r="BP572" s="497"/>
      <c r="BQ572" s="497"/>
      <c r="BR572" s="497"/>
      <c r="BS572" s="497"/>
      <c r="BT572" s="497"/>
      <c r="BU572" s="497"/>
      <c r="BV572" s="497"/>
      <c r="BW572" s="497"/>
      <c r="BX572" s="497"/>
      <c r="BY572" s="497"/>
      <c r="BZ572" s="497"/>
      <c r="CA572" s="497"/>
      <c r="CB572" s="497"/>
      <c r="CC572" s="497"/>
      <c r="CD572" s="497"/>
      <c r="CE572" s="497"/>
      <c r="CF572" s="497"/>
      <c r="CG572" s="497"/>
      <c r="CH572" s="497"/>
    </row>
    <row r="573" spans="1:86" s="335" customFormat="1">
      <c r="A573" s="517"/>
      <c r="B573" s="517"/>
      <c r="C573" s="517"/>
      <c r="D573" s="517"/>
      <c r="E573" s="517"/>
      <c r="F573" s="517"/>
      <c r="G573" s="517"/>
      <c r="H573" s="639"/>
      <c r="I573" s="639"/>
      <c r="J573" s="336"/>
      <c r="K573" s="2056"/>
      <c r="L573" s="337"/>
      <c r="N573" s="2057"/>
      <c r="O573" s="337"/>
      <c r="P573" s="337"/>
      <c r="Q573" s="337"/>
      <c r="R573" s="337"/>
      <c r="S573" s="337"/>
      <c r="T573" s="337"/>
      <c r="U573" s="497"/>
      <c r="V573" s="497"/>
      <c r="W573" s="497"/>
      <c r="X573" s="497"/>
      <c r="Y573" s="497"/>
      <c r="Z573" s="497"/>
      <c r="AA573" s="497"/>
      <c r="AB573" s="497"/>
      <c r="AC573" s="497"/>
      <c r="AD573" s="497"/>
      <c r="AE573" s="497"/>
      <c r="AF573" s="497"/>
      <c r="AG573" s="497"/>
      <c r="AH573" s="497"/>
      <c r="AI573" s="497"/>
      <c r="AJ573" s="497"/>
      <c r="AK573" s="497"/>
      <c r="AL573" s="497"/>
      <c r="AM573" s="497"/>
      <c r="AN573" s="497"/>
      <c r="AO573" s="497"/>
      <c r="AP573" s="497"/>
      <c r="AQ573" s="497"/>
      <c r="AR573" s="497"/>
      <c r="AS573" s="497"/>
      <c r="AT573" s="497"/>
      <c r="AU573" s="497"/>
      <c r="AV573" s="497"/>
      <c r="AW573" s="497"/>
      <c r="AX573" s="497"/>
      <c r="AY573" s="497"/>
      <c r="AZ573" s="497"/>
      <c r="BA573" s="497"/>
      <c r="BB573" s="497"/>
      <c r="BC573" s="497"/>
      <c r="BD573" s="497"/>
      <c r="BE573" s="497"/>
      <c r="BF573" s="497"/>
      <c r="BG573" s="497"/>
      <c r="BH573" s="497"/>
      <c r="BI573" s="497"/>
      <c r="BJ573" s="497"/>
      <c r="BK573" s="497"/>
      <c r="BL573" s="497"/>
      <c r="BM573" s="497"/>
      <c r="BN573" s="497"/>
      <c r="BO573" s="497"/>
      <c r="BP573" s="497"/>
      <c r="BQ573" s="497"/>
      <c r="BR573" s="497"/>
      <c r="BS573" s="497"/>
      <c r="BT573" s="497"/>
      <c r="BU573" s="497"/>
      <c r="BV573" s="497"/>
      <c r="BW573" s="497"/>
      <c r="BX573" s="497"/>
      <c r="BY573" s="497"/>
      <c r="BZ573" s="497"/>
      <c r="CA573" s="497"/>
      <c r="CB573" s="497"/>
      <c r="CC573" s="497"/>
      <c r="CD573" s="497"/>
      <c r="CE573" s="497"/>
      <c r="CF573" s="497"/>
      <c r="CG573" s="497"/>
      <c r="CH573" s="497"/>
    </row>
    <row r="574" spans="1:86" s="335" customFormat="1">
      <c r="A574" s="517"/>
      <c r="B574" s="517"/>
      <c r="C574" s="517"/>
      <c r="D574" s="517"/>
      <c r="E574" s="517"/>
      <c r="F574" s="517"/>
      <c r="G574" s="517"/>
      <c r="H574" s="639"/>
      <c r="I574" s="639"/>
      <c r="J574" s="336"/>
      <c r="K574" s="2056"/>
      <c r="L574" s="337"/>
      <c r="N574" s="2057"/>
      <c r="O574" s="337"/>
      <c r="P574" s="337"/>
      <c r="Q574" s="337"/>
      <c r="R574" s="337"/>
      <c r="S574" s="337"/>
      <c r="T574" s="337"/>
      <c r="U574" s="497"/>
      <c r="V574" s="497"/>
      <c r="W574" s="497"/>
      <c r="X574" s="497"/>
      <c r="Y574" s="497"/>
      <c r="Z574" s="497"/>
      <c r="AA574" s="497"/>
      <c r="AB574" s="497"/>
      <c r="AC574" s="497"/>
      <c r="AD574" s="497"/>
      <c r="AE574" s="497"/>
      <c r="AF574" s="497"/>
      <c r="AG574" s="497"/>
      <c r="AH574" s="497"/>
      <c r="AI574" s="497"/>
      <c r="AJ574" s="497"/>
      <c r="AK574" s="497"/>
      <c r="AL574" s="497"/>
      <c r="AM574" s="497"/>
      <c r="AN574" s="497"/>
      <c r="AO574" s="497"/>
      <c r="AP574" s="497"/>
      <c r="AQ574" s="497"/>
      <c r="AR574" s="497"/>
      <c r="AS574" s="497"/>
      <c r="AT574" s="497"/>
      <c r="AU574" s="497"/>
      <c r="AV574" s="497"/>
      <c r="AW574" s="497"/>
      <c r="AX574" s="497"/>
      <c r="AY574" s="497"/>
      <c r="AZ574" s="497"/>
      <c r="BA574" s="497"/>
      <c r="BB574" s="497"/>
      <c r="BC574" s="497"/>
      <c r="BD574" s="497"/>
      <c r="BE574" s="497"/>
      <c r="BF574" s="497"/>
      <c r="BG574" s="497"/>
      <c r="BH574" s="497"/>
      <c r="BI574" s="497"/>
      <c r="BJ574" s="497"/>
      <c r="BK574" s="497"/>
      <c r="BL574" s="497"/>
      <c r="BM574" s="497"/>
      <c r="BN574" s="497"/>
      <c r="BO574" s="497"/>
      <c r="BP574" s="497"/>
      <c r="BQ574" s="497"/>
      <c r="BR574" s="497"/>
      <c r="BS574" s="497"/>
      <c r="BT574" s="497"/>
      <c r="BU574" s="497"/>
      <c r="BV574" s="497"/>
      <c r="BW574" s="497"/>
      <c r="BX574" s="497"/>
      <c r="BY574" s="497"/>
      <c r="BZ574" s="497"/>
      <c r="CA574" s="497"/>
      <c r="CB574" s="497"/>
      <c r="CC574" s="497"/>
      <c r="CD574" s="497"/>
      <c r="CE574" s="497"/>
      <c r="CF574" s="497"/>
      <c r="CG574" s="497"/>
      <c r="CH574" s="497"/>
    </row>
    <row r="575" spans="1:86" s="335" customFormat="1">
      <c r="A575" s="517"/>
      <c r="B575" s="517"/>
      <c r="C575" s="517"/>
      <c r="D575" s="517"/>
      <c r="E575" s="517"/>
      <c r="F575" s="517"/>
      <c r="G575" s="517"/>
      <c r="H575" s="639"/>
      <c r="I575" s="639"/>
      <c r="J575" s="336"/>
      <c r="K575" s="2056"/>
      <c r="L575" s="337"/>
      <c r="N575" s="2057"/>
      <c r="O575" s="337"/>
      <c r="P575" s="337"/>
      <c r="Q575" s="337"/>
      <c r="R575" s="337"/>
      <c r="S575" s="337"/>
      <c r="T575" s="337"/>
      <c r="U575" s="497"/>
      <c r="V575" s="497"/>
      <c r="W575" s="497"/>
      <c r="X575" s="497"/>
      <c r="Y575" s="497"/>
      <c r="Z575" s="497"/>
      <c r="AA575" s="497"/>
      <c r="AB575" s="497"/>
      <c r="AC575" s="497"/>
      <c r="AD575" s="497"/>
      <c r="AE575" s="497"/>
      <c r="AF575" s="497"/>
      <c r="AG575" s="497"/>
      <c r="AH575" s="497"/>
      <c r="AI575" s="497"/>
      <c r="AJ575" s="497"/>
      <c r="AK575" s="497"/>
      <c r="AL575" s="497"/>
      <c r="AM575" s="497"/>
      <c r="AN575" s="497"/>
      <c r="AO575" s="497"/>
      <c r="AP575" s="497"/>
      <c r="AQ575" s="497"/>
      <c r="AR575" s="497"/>
      <c r="AS575" s="497"/>
      <c r="AT575" s="497"/>
      <c r="AU575" s="497"/>
      <c r="AV575" s="497"/>
      <c r="AW575" s="497"/>
      <c r="AX575" s="497"/>
      <c r="AY575" s="497"/>
      <c r="AZ575" s="497"/>
      <c r="BA575" s="497"/>
      <c r="BB575" s="497"/>
      <c r="BC575" s="497"/>
      <c r="BD575" s="497"/>
      <c r="BE575" s="497"/>
      <c r="BF575" s="497"/>
      <c r="BG575" s="497"/>
      <c r="BH575" s="497"/>
      <c r="BI575" s="497"/>
      <c r="BJ575" s="497"/>
      <c r="BK575" s="497"/>
      <c r="BL575" s="497"/>
      <c r="BM575" s="497"/>
      <c r="BN575" s="497"/>
      <c r="BO575" s="497"/>
      <c r="BP575" s="497"/>
      <c r="BQ575" s="497"/>
      <c r="BR575" s="497"/>
      <c r="BS575" s="497"/>
      <c r="BT575" s="497"/>
      <c r="BU575" s="497"/>
      <c r="BV575" s="497"/>
      <c r="BW575" s="497"/>
      <c r="BX575" s="497"/>
      <c r="BY575" s="497"/>
      <c r="BZ575" s="497"/>
      <c r="CA575" s="497"/>
      <c r="CB575" s="497"/>
      <c r="CC575" s="497"/>
      <c r="CD575" s="497"/>
      <c r="CE575" s="497"/>
      <c r="CF575" s="497"/>
      <c r="CG575" s="497"/>
      <c r="CH575" s="497"/>
    </row>
    <row r="576" spans="1:86" s="335" customFormat="1">
      <c r="A576" s="517"/>
      <c r="B576" s="517"/>
      <c r="C576" s="517"/>
      <c r="D576" s="517"/>
      <c r="E576" s="517"/>
      <c r="F576" s="517"/>
      <c r="G576" s="517"/>
      <c r="H576" s="639"/>
      <c r="I576" s="639"/>
      <c r="J576" s="336"/>
      <c r="K576" s="2056"/>
      <c r="L576" s="337"/>
      <c r="N576" s="2057"/>
      <c r="O576" s="337"/>
      <c r="P576" s="337"/>
      <c r="Q576" s="337"/>
      <c r="R576" s="337"/>
      <c r="S576" s="337"/>
      <c r="T576" s="337"/>
      <c r="U576" s="497"/>
      <c r="V576" s="497"/>
      <c r="W576" s="497"/>
      <c r="X576" s="497"/>
      <c r="Y576" s="497"/>
      <c r="Z576" s="497"/>
      <c r="AA576" s="497"/>
      <c r="AB576" s="497"/>
      <c r="AC576" s="497"/>
      <c r="AD576" s="497"/>
      <c r="AE576" s="497"/>
      <c r="AF576" s="497"/>
      <c r="AG576" s="497"/>
      <c r="AH576" s="497"/>
      <c r="AI576" s="497"/>
      <c r="AJ576" s="497"/>
      <c r="AK576" s="497"/>
      <c r="AL576" s="497"/>
      <c r="AM576" s="497"/>
      <c r="AN576" s="497"/>
      <c r="AO576" s="497"/>
      <c r="AP576" s="497"/>
      <c r="AQ576" s="497"/>
      <c r="AR576" s="497"/>
      <c r="AS576" s="497"/>
      <c r="AT576" s="497"/>
      <c r="AU576" s="497"/>
      <c r="AV576" s="497"/>
      <c r="AW576" s="497"/>
      <c r="AX576" s="497"/>
      <c r="AY576" s="497"/>
      <c r="AZ576" s="497"/>
      <c r="BA576" s="497"/>
      <c r="BB576" s="497"/>
      <c r="BC576" s="497"/>
      <c r="BD576" s="497"/>
      <c r="BE576" s="497"/>
      <c r="BF576" s="497"/>
      <c r="BG576" s="497"/>
      <c r="BH576" s="497"/>
      <c r="BI576" s="497"/>
      <c r="BJ576" s="497"/>
      <c r="BK576" s="497"/>
      <c r="BL576" s="497"/>
      <c r="BM576" s="497"/>
      <c r="BN576" s="497"/>
      <c r="BO576" s="497"/>
      <c r="BP576" s="497"/>
      <c r="BQ576" s="497"/>
      <c r="BR576" s="497"/>
      <c r="BS576" s="497"/>
      <c r="BT576" s="497"/>
      <c r="BU576" s="497"/>
      <c r="BV576" s="497"/>
      <c r="BW576" s="497"/>
      <c r="BX576" s="497"/>
      <c r="BY576" s="497"/>
      <c r="BZ576" s="497"/>
      <c r="CA576" s="497"/>
      <c r="CB576" s="497"/>
      <c r="CC576" s="497"/>
      <c r="CD576" s="497"/>
      <c r="CE576" s="497"/>
      <c r="CF576" s="497"/>
      <c r="CG576" s="497"/>
      <c r="CH576" s="497"/>
    </row>
    <row r="577" spans="1:86" s="335" customFormat="1">
      <c r="A577" s="517"/>
      <c r="B577" s="517"/>
      <c r="C577" s="517"/>
      <c r="D577" s="517"/>
      <c r="E577" s="517"/>
      <c r="F577" s="517"/>
      <c r="G577" s="517"/>
      <c r="H577" s="639"/>
      <c r="I577" s="639"/>
      <c r="J577" s="336"/>
      <c r="K577" s="2056"/>
      <c r="L577" s="337"/>
      <c r="N577" s="2057"/>
      <c r="O577" s="337"/>
      <c r="P577" s="337"/>
      <c r="Q577" s="337"/>
      <c r="R577" s="337"/>
      <c r="S577" s="337"/>
      <c r="T577" s="337"/>
      <c r="U577" s="497"/>
      <c r="V577" s="497"/>
      <c r="W577" s="497"/>
      <c r="X577" s="497"/>
      <c r="Y577" s="497"/>
      <c r="Z577" s="497"/>
      <c r="AA577" s="497"/>
      <c r="AB577" s="497"/>
      <c r="AC577" s="497"/>
      <c r="AD577" s="497"/>
      <c r="AE577" s="497"/>
      <c r="AF577" s="497"/>
      <c r="AG577" s="497"/>
      <c r="AH577" s="497"/>
      <c r="AI577" s="497"/>
      <c r="AJ577" s="497"/>
      <c r="AK577" s="497"/>
      <c r="AL577" s="497"/>
      <c r="AM577" s="497"/>
      <c r="AN577" s="497"/>
      <c r="AO577" s="497"/>
      <c r="AP577" s="497"/>
      <c r="AQ577" s="497"/>
      <c r="AR577" s="497"/>
      <c r="AS577" s="497"/>
      <c r="AT577" s="497"/>
      <c r="AU577" s="497"/>
      <c r="AV577" s="497"/>
      <c r="AW577" s="497"/>
      <c r="AX577" s="497"/>
      <c r="AY577" s="497"/>
      <c r="AZ577" s="497"/>
      <c r="BA577" s="497"/>
      <c r="BB577" s="497"/>
      <c r="BC577" s="497"/>
      <c r="BD577" s="497"/>
      <c r="BE577" s="497"/>
      <c r="BF577" s="497"/>
      <c r="BG577" s="497"/>
      <c r="BH577" s="497"/>
      <c r="BI577" s="497"/>
      <c r="BJ577" s="497"/>
      <c r="BK577" s="497"/>
      <c r="BL577" s="497"/>
      <c r="BM577" s="497"/>
      <c r="BN577" s="497"/>
      <c r="BO577" s="497"/>
      <c r="BP577" s="497"/>
      <c r="BQ577" s="497"/>
      <c r="BR577" s="497"/>
      <c r="BS577" s="497"/>
      <c r="BT577" s="497"/>
      <c r="BU577" s="497"/>
      <c r="BV577" s="497"/>
      <c r="BW577" s="497"/>
      <c r="BX577" s="497"/>
      <c r="BY577" s="497"/>
      <c r="BZ577" s="497"/>
      <c r="CA577" s="497"/>
      <c r="CB577" s="497"/>
      <c r="CC577" s="497"/>
      <c r="CD577" s="497"/>
      <c r="CE577" s="497"/>
      <c r="CF577" s="497"/>
      <c r="CG577" s="497"/>
      <c r="CH577" s="497"/>
    </row>
    <row r="578" spans="1:86" s="335" customFormat="1">
      <c r="A578" s="517"/>
      <c r="B578" s="517"/>
      <c r="C578" s="517"/>
      <c r="D578" s="517"/>
      <c r="E578" s="517"/>
      <c r="F578" s="517"/>
      <c r="G578" s="517"/>
      <c r="H578" s="639"/>
      <c r="I578" s="639"/>
      <c r="J578" s="336"/>
      <c r="K578" s="2056"/>
      <c r="L578" s="337"/>
      <c r="N578" s="2057"/>
      <c r="O578" s="337"/>
      <c r="P578" s="337"/>
      <c r="Q578" s="337"/>
      <c r="R578" s="337"/>
      <c r="S578" s="337"/>
      <c r="T578" s="337"/>
      <c r="U578" s="497"/>
      <c r="V578" s="497"/>
      <c r="W578" s="497"/>
      <c r="X578" s="497"/>
      <c r="Y578" s="497"/>
      <c r="Z578" s="497"/>
      <c r="AA578" s="497"/>
      <c r="AB578" s="497"/>
      <c r="AC578" s="497"/>
      <c r="AD578" s="497"/>
      <c r="AE578" s="497"/>
      <c r="AF578" s="497"/>
      <c r="AG578" s="497"/>
      <c r="AH578" s="497"/>
      <c r="AI578" s="497"/>
      <c r="AJ578" s="497"/>
      <c r="AK578" s="497"/>
      <c r="AL578" s="497"/>
      <c r="AM578" s="497"/>
      <c r="AN578" s="497"/>
      <c r="AO578" s="497"/>
      <c r="AP578" s="497"/>
      <c r="AQ578" s="497"/>
      <c r="AR578" s="497"/>
      <c r="AS578" s="497"/>
      <c r="AT578" s="497"/>
      <c r="AU578" s="497"/>
      <c r="AV578" s="497"/>
      <c r="AW578" s="497"/>
      <c r="AX578" s="497"/>
      <c r="AY578" s="497"/>
      <c r="AZ578" s="497"/>
      <c r="BA578" s="497"/>
      <c r="BB578" s="497"/>
      <c r="BC578" s="497"/>
      <c r="BD578" s="497"/>
      <c r="BE578" s="497"/>
      <c r="BF578" s="497"/>
      <c r="BG578" s="497"/>
      <c r="BH578" s="497"/>
      <c r="BI578" s="497"/>
      <c r="BJ578" s="497"/>
      <c r="BK578" s="497"/>
      <c r="BL578" s="497"/>
      <c r="BM578" s="497"/>
      <c r="BN578" s="497"/>
      <c r="BO578" s="497"/>
      <c r="BP578" s="497"/>
      <c r="BQ578" s="497"/>
      <c r="BR578" s="497"/>
      <c r="BS578" s="497"/>
      <c r="BT578" s="497"/>
      <c r="BU578" s="497"/>
      <c r="BV578" s="497"/>
      <c r="BW578" s="497"/>
      <c r="BX578" s="497"/>
      <c r="BY578" s="497"/>
      <c r="BZ578" s="497"/>
      <c r="CA578" s="497"/>
      <c r="CB578" s="497"/>
      <c r="CC578" s="497"/>
      <c r="CD578" s="497"/>
      <c r="CE578" s="497"/>
      <c r="CF578" s="497"/>
      <c r="CG578" s="497"/>
      <c r="CH578" s="497"/>
    </row>
    <row r="579" spans="1:86" s="335" customFormat="1">
      <c r="A579" s="517"/>
      <c r="B579" s="517"/>
      <c r="C579" s="517"/>
      <c r="D579" s="517"/>
      <c r="E579" s="517"/>
      <c r="F579" s="517"/>
      <c r="G579" s="517"/>
      <c r="H579" s="639"/>
      <c r="I579" s="639"/>
      <c r="J579" s="336"/>
      <c r="K579" s="2056"/>
      <c r="L579" s="337"/>
      <c r="N579" s="2057"/>
      <c r="O579" s="337"/>
      <c r="P579" s="337"/>
      <c r="Q579" s="337"/>
      <c r="R579" s="337"/>
      <c r="S579" s="337"/>
      <c r="T579" s="337"/>
      <c r="U579" s="497"/>
      <c r="V579" s="497"/>
      <c r="W579" s="497"/>
      <c r="X579" s="497"/>
      <c r="Y579" s="497"/>
      <c r="Z579" s="497"/>
      <c r="AA579" s="497"/>
      <c r="AB579" s="497"/>
      <c r="AC579" s="497"/>
      <c r="AD579" s="497"/>
      <c r="AE579" s="497"/>
      <c r="AF579" s="497"/>
      <c r="AG579" s="497"/>
      <c r="AH579" s="497"/>
      <c r="AI579" s="497"/>
      <c r="AJ579" s="497"/>
      <c r="AK579" s="497"/>
      <c r="AL579" s="497"/>
      <c r="AM579" s="497"/>
      <c r="AN579" s="497"/>
      <c r="AO579" s="497"/>
      <c r="AP579" s="497"/>
      <c r="AQ579" s="497"/>
      <c r="AR579" s="497"/>
      <c r="AS579" s="497"/>
      <c r="AT579" s="497"/>
      <c r="AU579" s="497"/>
      <c r="AV579" s="497"/>
      <c r="AW579" s="497"/>
      <c r="AX579" s="497"/>
      <c r="AY579" s="497"/>
      <c r="AZ579" s="497"/>
      <c r="BA579" s="497"/>
      <c r="BB579" s="497"/>
      <c r="BC579" s="497"/>
      <c r="BD579" s="497"/>
      <c r="BE579" s="497"/>
      <c r="BF579" s="497"/>
      <c r="BG579" s="497"/>
      <c r="BH579" s="497"/>
      <c r="BI579" s="497"/>
      <c r="BJ579" s="497"/>
      <c r="BK579" s="497"/>
      <c r="BL579" s="497"/>
      <c r="BM579" s="497"/>
      <c r="BN579" s="497"/>
      <c r="BO579" s="497"/>
      <c r="BP579" s="497"/>
      <c r="BQ579" s="497"/>
      <c r="BR579" s="497"/>
      <c r="BS579" s="497"/>
      <c r="BT579" s="497"/>
      <c r="BU579" s="497"/>
      <c r="BV579" s="497"/>
      <c r="BW579" s="497"/>
      <c r="BX579" s="497"/>
      <c r="BY579" s="497"/>
      <c r="BZ579" s="497"/>
      <c r="CA579" s="497"/>
      <c r="CB579" s="497"/>
      <c r="CC579" s="497"/>
      <c r="CD579" s="497"/>
      <c r="CE579" s="497"/>
      <c r="CF579" s="497"/>
      <c r="CG579" s="497"/>
      <c r="CH579" s="497"/>
    </row>
    <row r="580" spans="1:86" s="335" customFormat="1">
      <c r="A580" s="517"/>
      <c r="B580" s="517"/>
      <c r="C580" s="517"/>
      <c r="D580" s="517"/>
      <c r="E580" s="517"/>
      <c r="F580" s="517"/>
      <c r="G580" s="517"/>
      <c r="H580" s="639"/>
      <c r="I580" s="639"/>
      <c r="J580" s="336"/>
      <c r="K580" s="2056"/>
      <c r="L580" s="337"/>
      <c r="N580" s="2057"/>
      <c r="O580" s="337"/>
      <c r="P580" s="337"/>
      <c r="Q580" s="337"/>
      <c r="R580" s="337"/>
      <c r="S580" s="337"/>
      <c r="T580" s="337"/>
      <c r="U580" s="497"/>
      <c r="V580" s="497"/>
      <c r="W580" s="497"/>
      <c r="X580" s="497"/>
      <c r="Y580" s="497"/>
      <c r="Z580" s="497"/>
      <c r="AA580" s="497"/>
      <c r="AB580" s="497"/>
      <c r="AC580" s="497"/>
      <c r="AD580" s="497"/>
      <c r="AE580" s="497"/>
      <c r="AF580" s="497"/>
      <c r="AG580" s="497"/>
      <c r="AH580" s="497"/>
      <c r="AI580" s="497"/>
      <c r="AJ580" s="497"/>
      <c r="AK580" s="497"/>
      <c r="AL580" s="497"/>
      <c r="AM580" s="497"/>
      <c r="AN580" s="497"/>
      <c r="AO580" s="497"/>
      <c r="AP580" s="497"/>
      <c r="AQ580" s="497"/>
      <c r="AR580" s="497"/>
      <c r="AS580" s="497"/>
      <c r="AT580" s="497"/>
      <c r="AU580" s="497"/>
      <c r="AV580" s="497"/>
      <c r="AW580" s="497"/>
      <c r="AX580" s="497"/>
      <c r="AY580" s="497"/>
      <c r="AZ580" s="497"/>
      <c r="BA580" s="497"/>
      <c r="BB580" s="497"/>
      <c r="BC580" s="497"/>
      <c r="BD580" s="497"/>
      <c r="BE580" s="497"/>
      <c r="BF580" s="497"/>
      <c r="BG580" s="497"/>
      <c r="BH580" s="497"/>
      <c r="BI580" s="497"/>
      <c r="BJ580" s="497"/>
      <c r="BK580" s="497"/>
      <c r="BL580" s="497"/>
      <c r="BM580" s="497"/>
      <c r="BN580" s="497"/>
      <c r="BO580" s="497"/>
      <c r="BP580" s="497"/>
      <c r="BQ580" s="497"/>
      <c r="BR580" s="497"/>
      <c r="BS580" s="497"/>
      <c r="BT580" s="497"/>
      <c r="BU580" s="497"/>
      <c r="BV580" s="497"/>
      <c r="BW580" s="497"/>
      <c r="BX580" s="497"/>
      <c r="BY580" s="497"/>
      <c r="BZ580" s="497"/>
      <c r="CA580" s="497"/>
      <c r="CB580" s="497"/>
      <c r="CC580" s="497"/>
      <c r="CD580" s="497"/>
      <c r="CE580" s="497"/>
      <c r="CF580" s="497"/>
      <c r="CG580" s="497"/>
      <c r="CH580" s="497"/>
    </row>
    <row r="581" spans="1:86" s="335" customFormat="1">
      <c r="A581" s="517"/>
      <c r="B581" s="517"/>
      <c r="C581" s="517"/>
      <c r="D581" s="517"/>
      <c r="E581" s="517"/>
      <c r="F581" s="517"/>
      <c r="G581" s="517"/>
      <c r="H581" s="639"/>
      <c r="I581" s="639"/>
      <c r="J581" s="336"/>
      <c r="K581" s="2056"/>
      <c r="L581" s="337"/>
      <c r="N581" s="2057"/>
      <c r="O581" s="337"/>
      <c r="P581" s="337"/>
      <c r="Q581" s="337"/>
      <c r="R581" s="337"/>
      <c r="S581" s="337"/>
      <c r="T581" s="337"/>
      <c r="U581" s="497"/>
      <c r="V581" s="497"/>
      <c r="W581" s="497"/>
      <c r="X581" s="497"/>
      <c r="Y581" s="497"/>
      <c r="Z581" s="497"/>
      <c r="AA581" s="497"/>
      <c r="AB581" s="497"/>
      <c r="AC581" s="497"/>
      <c r="AD581" s="497"/>
      <c r="AE581" s="497"/>
      <c r="AF581" s="497"/>
      <c r="AG581" s="497"/>
      <c r="AH581" s="497"/>
      <c r="AI581" s="497"/>
      <c r="AJ581" s="497"/>
      <c r="AK581" s="497"/>
      <c r="AL581" s="497"/>
      <c r="AM581" s="497"/>
      <c r="AN581" s="497"/>
      <c r="AO581" s="497"/>
      <c r="AP581" s="497"/>
      <c r="AQ581" s="497"/>
      <c r="AR581" s="497"/>
      <c r="AS581" s="497"/>
      <c r="AT581" s="497"/>
      <c r="AU581" s="497"/>
      <c r="AV581" s="497"/>
      <c r="AW581" s="497"/>
      <c r="AX581" s="497"/>
      <c r="AY581" s="497"/>
      <c r="AZ581" s="497"/>
      <c r="BA581" s="497"/>
      <c r="BB581" s="497"/>
      <c r="BC581" s="497"/>
      <c r="BD581" s="497"/>
      <c r="BE581" s="497"/>
      <c r="BF581" s="497"/>
      <c r="BG581" s="497"/>
      <c r="BH581" s="497"/>
      <c r="BI581" s="497"/>
      <c r="BJ581" s="497"/>
      <c r="BK581" s="497"/>
      <c r="BL581" s="497"/>
      <c r="BM581" s="497"/>
      <c r="BN581" s="497"/>
      <c r="BO581" s="497"/>
      <c r="BP581" s="497"/>
      <c r="BQ581" s="497"/>
      <c r="BR581" s="497"/>
      <c r="BS581" s="497"/>
      <c r="BT581" s="497"/>
      <c r="BU581" s="497"/>
      <c r="BV581" s="497"/>
      <c r="BW581" s="497"/>
      <c r="BX581" s="497"/>
      <c r="BY581" s="497"/>
      <c r="BZ581" s="497"/>
      <c r="CA581" s="497"/>
      <c r="CB581" s="497"/>
      <c r="CC581" s="497"/>
      <c r="CD581" s="497"/>
      <c r="CE581" s="497"/>
      <c r="CF581" s="497"/>
      <c r="CG581" s="497"/>
      <c r="CH581" s="497"/>
    </row>
    <row r="582" spans="1:86" s="335" customFormat="1">
      <c r="A582" s="517"/>
      <c r="B582" s="517"/>
      <c r="C582" s="517"/>
      <c r="D582" s="517"/>
      <c r="E582" s="517"/>
      <c r="F582" s="517"/>
      <c r="G582" s="517"/>
      <c r="H582" s="639"/>
      <c r="I582" s="639"/>
      <c r="J582" s="336"/>
      <c r="K582" s="2056"/>
      <c r="L582" s="337"/>
      <c r="N582" s="2057"/>
      <c r="O582" s="337"/>
      <c r="P582" s="337"/>
      <c r="Q582" s="337"/>
      <c r="R582" s="337"/>
      <c r="S582" s="337"/>
      <c r="T582" s="337"/>
      <c r="U582" s="497"/>
      <c r="V582" s="497"/>
      <c r="W582" s="497"/>
      <c r="X582" s="497"/>
      <c r="Y582" s="497"/>
      <c r="Z582" s="497"/>
      <c r="AA582" s="497"/>
      <c r="AB582" s="497"/>
      <c r="AC582" s="497"/>
      <c r="AD582" s="497"/>
      <c r="AE582" s="497"/>
      <c r="AF582" s="497"/>
      <c r="AG582" s="497"/>
      <c r="AH582" s="497"/>
      <c r="AI582" s="497"/>
      <c r="AJ582" s="497"/>
      <c r="AK582" s="497"/>
      <c r="AL582" s="497"/>
      <c r="AM582" s="497"/>
      <c r="AN582" s="497"/>
      <c r="AO582" s="497"/>
      <c r="AP582" s="497"/>
      <c r="AQ582" s="497"/>
      <c r="AR582" s="497"/>
      <c r="AS582" s="497"/>
      <c r="AT582" s="497"/>
      <c r="AU582" s="497"/>
      <c r="AV582" s="497"/>
      <c r="AW582" s="497"/>
      <c r="AX582" s="497"/>
      <c r="AY582" s="497"/>
      <c r="AZ582" s="497"/>
      <c r="BA582" s="497"/>
      <c r="BB582" s="497"/>
      <c r="BC582" s="497"/>
      <c r="BD582" s="497"/>
      <c r="BE582" s="497"/>
      <c r="BF582" s="497"/>
      <c r="BG582" s="497"/>
      <c r="BH582" s="497"/>
      <c r="BI582" s="497"/>
      <c r="BJ582" s="497"/>
      <c r="BK582" s="497"/>
      <c r="BL582" s="497"/>
      <c r="BM582" s="497"/>
      <c r="BN582" s="497"/>
      <c r="BO582" s="497"/>
      <c r="BP582" s="497"/>
      <c r="BQ582" s="497"/>
      <c r="BR582" s="497"/>
      <c r="BS582" s="497"/>
      <c r="BT582" s="497"/>
      <c r="BU582" s="497"/>
      <c r="BV582" s="497"/>
      <c r="BW582" s="497"/>
      <c r="BX582" s="497"/>
      <c r="BY582" s="497"/>
      <c r="BZ582" s="497"/>
      <c r="CA582" s="497"/>
      <c r="CB582" s="497"/>
      <c r="CC582" s="497"/>
      <c r="CD582" s="497"/>
      <c r="CE582" s="497"/>
      <c r="CF582" s="497"/>
      <c r="CG582" s="497"/>
      <c r="CH582" s="497"/>
    </row>
    <row r="583" spans="1:86" s="335" customFormat="1">
      <c r="A583" s="517"/>
      <c r="B583" s="517"/>
      <c r="C583" s="517"/>
      <c r="D583" s="517"/>
      <c r="E583" s="517"/>
      <c r="F583" s="517"/>
      <c r="G583" s="517"/>
      <c r="H583" s="639"/>
      <c r="I583" s="639"/>
      <c r="J583" s="336"/>
      <c r="K583" s="2056"/>
      <c r="L583" s="337"/>
      <c r="N583" s="2057"/>
      <c r="O583" s="337"/>
      <c r="P583" s="337"/>
      <c r="Q583" s="337"/>
      <c r="R583" s="337"/>
      <c r="S583" s="337"/>
      <c r="T583" s="337"/>
      <c r="U583" s="497"/>
      <c r="V583" s="497"/>
      <c r="W583" s="497"/>
      <c r="X583" s="497"/>
      <c r="Y583" s="497"/>
      <c r="Z583" s="497"/>
      <c r="AA583" s="497"/>
      <c r="AB583" s="497"/>
      <c r="AC583" s="497"/>
      <c r="AD583" s="497"/>
      <c r="AE583" s="497"/>
      <c r="AF583" s="497"/>
      <c r="AG583" s="497"/>
      <c r="AH583" s="497"/>
      <c r="AI583" s="497"/>
      <c r="AJ583" s="497"/>
      <c r="AK583" s="497"/>
      <c r="AL583" s="497"/>
      <c r="AM583" s="497"/>
      <c r="AN583" s="497"/>
      <c r="AO583" s="497"/>
      <c r="AP583" s="497"/>
      <c r="AQ583" s="497"/>
      <c r="AR583" s="497"/>
      <c r="AS583" s="497"/>
      <c r="AT583" s="497"/>
      <c r="AU583" s="497"/>
      <c r="AV583" s="497"/>
      <c r="AW583" s="497"/>
      <c r="AX583" s="497"/>
      <c r="AY583" s="497"/>
      <c r="AZ583" s="497"/>
      <c r="BA583" s="497"/>
      <c r="BB583" s="497"/>
      <c r="BC583" s="497"/>
      <c r="BD583" s="497"/>
      <c r="BE583" s="497"/>
      <c r="BF583" s="497"/>
      <c r="BG583" s="497"/>
      <c r="BH583" s="497"/>
      <c r="BI583" s="497"/>
      <c r="BJ583" s="497"/>
      <c r="BK583" s="497"/>
      <c r="BL583" s="497"/>
      <c r="BM583" s="497"/>
      <c r="BN583" s="497"/>
      <c r="BO583" s="497"/>
      <c r="BP583" s="497"/>
      <c r="BQ583" s="497"/>
      <c r="BR583" s="497"/>
      <c r="BS583" s="497"/>
      <c r="BT583" s="497"/>
      <c r="BU583" s="497"/>
      <c r="BV583" s="497"/>
      <c r="BW583" s="497"/>
      <c r="BX583" s="497"/>
      <c r="BY583" s="497"/>
      <c r="BZ583" s="497"/>
      <c r="CA583" s="497"/>
      <c r="CB583" s="497"/>
      <c r="CC583" s="497"/>
      <c r="CD583" s="497"/>
      <c r="CE583" s="497"/>
      <c r="CF583" s="497"/>
      <c r="CG583" s="497"/>
      <c r="CH583" s="497"/>
    </row>
    <row r="584" spans="1:86" s="335" customFormat="1">
      <c r="A584" s="517"/>
      <c r="B584" s="517"/>
      <c r="C584" s="517"/>
      <c r="D584" s="517"/>
      <c r="E584" s="517"/>
      <c r="F584" s="517"/>
      <c r="G584" s="517"/>
      <c r="H584" s="639"/>
      <c r="I584" s="639"/>
      <c r="J584" s="336"/>
      <c r="K584" s="2056"/>
      <c r="L584" s="337"/>
      <c r="N584" s="2057"/>
      <c r="O584" s="337"/>
      <c r="P584" s="337"/>
      <c r="Q584" s="337"/>
      <c r="R584" s="337"/>
      <c r="S584" s="337"/>
      <c r="T584" s="337"/>
      <c r="U584" s="497"/>
      <c r="V584" s="497"/>
      <c r="W584" s="497"/>
      <c r="X584" s="497"/>
      <c r="Y584" s="497"/>
      <c r="Z584" s="497"/>
      <c r="AA584" s="497"/>
      <c r="AB584" s="497"/>
      <c r="AC584" s="497"/>
      <c r="AD584" s="497"/>
      <c r="AE584" s="497"/>
      <c r="AF584" s="497"/>
      <c r="AG584" s="497"/>
      <c r="AH584" s="497"/>
      <c r="AI584" s="497"/>
      <c r="AJ584" s="497"/>
      <c r="AK584" s="497"/>
      <c r="AL584" s="497"/>
      <c r="AM584" s="497"/>
      <c r="AN584" s="497"/>
      <c r="AO584" s="497"/>
      <c r="AP584" s="497"/>
      <c r="AQ584" s="497"/>
      <c r="AR584" s="497"/>
      <c r="AS584" s="497"/>
      <c r="AT584" s="497"/>
      <c r="AU584" s="497"/>
      <c r="AV584" s="497"/>
      <c r="AW584" s="497"/>
      <c r="AX584" s="497"/>
      <c r="AY584" s="497"/>
      <c r="AZ584" s="497"/>
      <c r="BA584" s="497"/>
      <c r="BB584" s="497"/>
      <c r="BC584" s="497"/>
      <c r="BD584" s="497"/>
      <c r="BE584" s="497"/>
      <c r="BF584" s="497"/>
      <c r="BG584" s="497"/>
      <c r="BH584" s="497"/>
      <c r="BI584" s="497"/>
      <c r="BJ584" s="497"/>
      <c r="BK584" s="497"/>
      <c r="BL584" s="497"/>
      <c r="BM584" s="497"/>
      <c r="BN584" s="497"/>
      <c r="BO584" s="497"/>
      <c r="BP584" s="497"/>
      <c r="BQ584" s="497"/>
      <c r="BR584" s="497"/>
      <c r="BS584" s="497"/>
      <c r="BT584" s="497"/>
      <c r="BU584" s="497"/>
      <c r="BV584" s="497"/>
      <c r="BW584" s="497"/>
      <c r="BX584" s="497"/>
      <c r="BY584" s="497"/>
      <c r="BZ584" s="497"/>
      <c r="CA584" s="497"/>
      <c r="CB584" s="497"/>
      <c r="CC584" s="497"/>
      <c r="CD584" s="497"/>
      <c r="CE584" s="497"/>
      <c r="CF584" s="497"/>
      <c r="CG584" s="497"/>
      <c r="CH584" s="497"/>
    </row>
    <row r="585" spans="1:86" s="335" customFormat="1">
      <c r="A585" s="517"/>
      <c r="B585" s="517"/>
      <c r="C585" s="517"/>
      <c r="D585" s="517"/>
      <c r="E585" s="517"/>
      <c r="F585" s="517"/>
      <c r="G585" s="517"/>
      <c r="H585" s="639"/>
      <c r="I585" s="639"/>
      <c r="J585" s="336"/>
      <c r="K585" s="2056"/>
      <c r="L585" s="337"/>
      <c r="N585" s="2057"/>
      <c r="O585" s="337"/>
      <c r="P585" s="337"/>
      <c r="Q585" s="337"/>
      <c r="R585" s="337"/>
      <c r="S585" s="337"/>
      <c r="T585" s="337"/>
      <c r="U585" s="497"/>
      <c r="V585" s="497"/>
      <c r="W585" s="497"/>
      <c r="X585" s="497"/>
      <c r="Y585" s="497"/>
      <c r="Z585" s="497"/>
      <c r="AA585" s="497"/>
      <c r="AB585" s="497"/>
      <c r="AC585" s="497"/>
      <c r="AD585" s="497"/>
      <c r="AE585" s="497"/>
      <c r="AF585" s="497"/>
      <c r="AG585" s="497"/>
      <c r="AH585" s="497"/>
      <c r="AI585" s="497"/>
      <c r="AJ585" s="497"/>
      <c r="AK585" s="497"/>
      <c r="AL585" s="497"/>
      <c r="AM585" s="497"/>
      <c r="AN585" s="497"/>
      <c r="AO585" s="497"/>
      <c r="AP585" s="497"/>
      <c r="AQ585" s="497"/>
      <c r="AR585" s="497"/>
      <c r="AS585" s="497"/>
      <c r="AT585" s="497"/>
      <c r="AU585" s="497"/>
      <c r="AV585" s="497"/>
      <c r="AW585" s="497"/>
      <c r="AX585" s="497"/>
      <c r="AY585" s="497"/>
      <c r="AZ585" s="497"/>
      <c r="BA585" s="497"/>
      <c r="BB585" s="497"/>
      <c r="BC585" s="497"/>
      <c r="BD585" s="497"/>
      <c r="BE585" s="497"/>
      <c r="BF585" s="497"/>
      <c r="BG585" s="497"/>
      <c r="BH585" s="497"/>
      <c r="BI585" s="497"/>
      <c r="BJ585" s="497"/>
      <c r="BK585" s="497"/>
      <c r="BL585" s="497"/>
      <c r="BM585" s="497"/>
      <c r="BN585" s="497"/>
      <c r="BO585" s="497"/>
      <c r="BP585" s="497"/>
      <c r="BQ585" s="497"/>
      <c r="BR585" s="497"/>
      <c r="BS585" s="497"/>
      <c r="BT585" s="497"/>
      <c r="BU585" s="497"/>
      <c r="BV585" s="497"/>
      <c r="BW585" s="497"/>
      <c r="BX585" s="497"/>
      <c r="BY585" s="497"/>
      <c r="BZ585" s="497"/>
      <c r="CA585" s="497"/>
      <c r="CB585" s="497"/>
      <c r="CC585" s="497"/>
      <c r="CD585" s="497"/>
      <c r="CE585" s="497"/>
      <c r="CF585" s="497"/>
      <c r="CG585" s="497"/>
      <c r="CH585" s="497"/>
    </row>
    <row r="586" spans="1:86" s="335" customFormat="1">
      <c r="A586" s="517"/>
      <c r="B586" s="517"/>
      <c r="C586" s="517"/>
      <c r="D586" s="517"/>
      <c r="E586" s="517"/>
      <c r="F586" s="517"/>
      <c r="G586" s="517"/>
      <c r="H586" s="639"/>
      <c r="I586" s="639"/>
      <c r="J586" s="336"/>
      <c r="K586" s="2056"/>
      <c r="L586" s="337"/>
      <c r="N586" s="2057"/>
      <c r="O586" s="337"/>
      <c r="P586" s="337"/>
      <c r="Q586" s="337"/>
      <c r="R586" s="337"/>
      <c r="S586" s="337"/>
      <c r="T586" s="337"/>
      <c r="U586" s="497"/>
      <c r="V586" s="497"/>
      <c r="W586" s="497"/>
      <c r="X586" s="497"/>
      <c r="Y586" s="497"/>
      <c r="Z586" s="497"/>
      <c r="AA586" s="497"/>
      <c r="AB586" s="497"/>
      <c r="AC586" s="497"/>
      <c r="AD586" s="497"/>
      <c r="AE586" s="497"/>
      <c r="AF586" s="497"/>
      <c r="AG586" s="497"/>
      <c r="AH586" s="497"/>
      <c r="AI586" s="497"/>
      <c r="AJ586" s="497"/>
      <c r="AK586" s="497"/>
      <c r="AL586" s="497"/>
      <c r="AM586" s="497"/>
      <c r="AN586" s="497"/>
      <c r="AO586" s="497"/>
      <c r="AP586" s="497"/>
      <c r="AQ586" s="497"/>
      <c r="AR586" s="497"/>
      <c r="AS586" s="497"/>
      <c r="AT586" s="497"/>
      <c r="AU586" s="497"/>
      <c r="AV586" s="497"/>
      <c r="AW586" s="497"/>
      <c r="AX586" s="497"/>
      <c r="AY586" s="497"/>
      <c r="AZ586" s="497"/>
      <c r="BA586" s="497"/>
      <c r="BB586" s="497"/>
      <c r="BC586" s="497"/>
      <c r="BD586" s="497"/>
      <c r="BE586" s="497"/>
      <c r="BF586" s="497"/>
      <c r="BG586" s="497"/>
      <c r="BH586" s="497"/>
      <c r="BI586" s="497"/>
      <c r="BJ586" s="497"/>
      <c r="BK586" s="497"/>
      <c r="BL586" s="497"/>
      <c r="BM586" s="497"/>
      <c r="BN586" s="497"/>
      <c r="BO586" s="497"/>
      <c r="BP586" s="497"/>
      <c r="BQ586" s="497"/>
      <c r="BR586" s="497"/>
      <c r="BS586" s="497"/>
      <c r="BT586" s="497"/>
      <c r="BU586" s="497"/>
      <c r="BV586" s="497"/>
      <c r="BW586" s="497"/>
      <c r="BX586" s="497"/>
      <c r="BY586" s="497"/>
      <c r="BZ586" s="497"/>
      <c r="CA586" s="497"/>
      <c r="CB586" s="497"/>
      <c r="CC586" s="497"/>
      <c r="CD586" s="497"/>
      <c r="CE586" s="497"/>
      <c r="CF586" s="497"/>
      <c r="CG586" s="497"/>
      <c r="CH586" s="497"/>
    </row>
    <row r="587" spans="1:86" s="335" customFormat="1">
      <c r="A587" s="517"/>
      <c r="B587" s="517"/>
      <c r="C587" s="517"/>
      <c r="D587" s="517"/>
      <c r="E587" s="517"/>
      <c r="F587" s="517"/>
      <c r="G587" s="517"/>
      <c r="H587" s="639"/>
      <c r="I587" s="639"/>
      <c r="J587" s="336"/>
      <c r="K587" s="2056"/>
      <c r="L587" s="337"/>
      <c r="N587" s="2057"/>
      <c r="O587" s="337"/>
      <c r="P587" s="337"/>
      <c r="Q587" s="337"/>
      <c r="R587" s="337"/>
      <c r="S587" s="337"/>
      <c r="T587" s="337"/>
      <c r="U587" s="497"/>
      <c r="V587" s="497"/>
      <c r="W587" s="497"/>
      <c r="X587" s="497"/>
      <c r="Y587" s="497"/>
      <c r="Z587" s="497"/>
      <c r="AA587" s="497"/>
      <c r="AB587" s="497"/>
      <c r="AC587" s="497"/>
      <c r="AD587" s="497"/>
      <c r="AE587" s="497"/>
      <c r="AF587" s="497"/>
      <c r="AG587" s="497"/>
      <c r="AH587" s="497"/>
      <c r="AI587" s="497"/>
      <c r="AJ587" s="497"/>
      <c r="AK587" s="497"/>
      <c r="AL587" s="497"/>
      <c r="AM587" s="497"/>
      <c r="AN587" s="497"/>
      <c r="AO587" s="497"/>
      <c r="AP587" s="497"/>
      <c r="AQ587" s="497"/>
      <c r="AR587" s="497"/>
      <c r="AS587" s="497"/>
      <c r="AT587" s="497"/>
      <c r="AU587" s="497"/>
      <c r="AV587" s="497"/>
      <c r="AW587" s="497"/>
      <c r="AX587" s="497"/>
      <c r="AY587" s="497"/>
      <c r="AZ587" s="497"/>
      <c r="BA587" s="497"/>
      <c r="BB587" s="497"/>
      <c r="BC587" s="497"/>
      <c r="BD587" s="497"/>
      <c r="BE587" s="497"/>
      <c r="BF587" s="497"/>
      <c r="BG587" s="497"/>
      <c r="BH587" s="497"/>
      <c r="BI587" s="497"/>
      <c r="BJ587" s="497"/>
      <c r="BK587" s="497"/>
      <c r="BL587" s="497"/>
      <c r="BM587" s="497"/>
      <c r="BN587" s="497"/>
      <c r="BO587" s="497"/>
      <c r="BP587" s="497"/>
      <c r="BQ587" s="497"/>
      <c r="BR587" s="497"/>
      <c r="BS587" s="497"/>
      <c r="BT587" s="497"/>
      <c r="BU587" s="497"/>
      <c r="BV587" s="497"/>
      <c r="BW587" s="497"/>
      <c r="BX587" s="497"/>
      <c r="BY587" s="497"/>
      <c r="BZ587" s="497"/>
      <c r="CA587" s="497"/>
      <c r="CB587" s="497"/>
      <c r="CC587" s="497"/>
      <c r="CD587" s="497"/>
      <c r="CE587" s="497"/>
      <c r="CF587" s="497"/>
      <c r="CG587" s="497"/>
      <c r="CH587" s="497"/>
    </row>
    <row r="588" spans="1:86" s="335" customFormat="1">
      <c r="A588" s="517"/>
      <c r="B588" s="517"/>
      <c r="C588" s="517"/>
      <c r="D588" s="517"/>
      <c r="E588" s="517"/>
      <c r="F588" s="517"/>
      <c r="G588" s="517"/>
      <c r="H588" s="639"/>
      <c r="I588" s="639"/>
      <c r="J588" s="336"/>
      <c r="K588" s="2056"/>
      <c r="L588" s="337"/>
      <c r="N588" s="2057"/>
      <c r="O588" s="337"/>
      <c r="P588" s="337"/>
      <c r="Q588" s="337"/>
      <c r="R588" s="337"/>
      <c r="S588" s="337"/>
      <c r="T588" s="337"/>
      <c r="U588" s="497"/>
      <c r="V588" s="497"/>
      <c r="W588" s="497"/>
      <c r="X588" s="497"/>
      <c r="Y588" s="497"/>
      <c r="Z588" s="497"/>
      <c r="AA588" s="497"/>
      <c r="AB588" s="497"/>
      <c r="AC588" s="497"/>
      <c r="AD588" s="497"/>
      <c r="AE588" s="497"/>
      <c r="AF588" s="497"/>
      <c r="AG588" s="497"/>
      <c r="AH588" s="497"/>
      <c r="AI588" s="497"/>
      <c r="AJ588" s="497"/>
      <c r="AK588" s="497"/>
      <c r="AL588" s="497"/>
      <c r="AM588" s="497"/>
      <c r="AN588" s="497"/>
      <c r="AO588" s="497"/>
      <c r="AP588" s="497"/>
      <c r="AQ588" s="497"/>
      <c r="AR588" s="497"/>
      <c r="AS588" s="497"/>
      <c r="AT588" s="497"/>
      <c r="AU588" s="497"/>
      <c r="AV588" s="497"/>
      <c r="AW588" s="497"/>
      <c r="AX588" s="497"/>
      <c r="AY588" s="497"/>
      <c r="AZ588" s="497"/>
      <c r="BA588" s="497"/>
      <c r="BB588" s="497"/>
      <c r="BC588" s="497"/>
      <c r="BD588" s="497"/>
      <c r="BE588" s="497"/>
      <c r="BF588" s="497"/>
      <c r="BG588" s="497"/>
      <c r="BH588" s="497"/>
      <c r="BI588" s="497"/>
      <c r="BJ588" s="497"/>
      <c r="BK588" s="497"/>
      <c r="BL588" s="497"/>
      <c r="BM588" s="497"/>
      <c r="BN588" s="497"/>
      <c r="BO588" s="497"/>
      <c r="BP588" s="497"/>
      <c r="BQ588" s="497"/>
      <c r="BR588" s="497"/>
      <c r="BS588" s="497"/>
      <c r="BT588" s="497"/>
      <c r="BU588" s="497"/>
      <c r="BV588" s="497"/>
      <c r="BW588" s="497"/>
      <c r="BX588" s="497"/>
      <c r="BY588" s="497"/>
      <c r="BZ588" s="497"/>
      <c r="CA588" s="497"/>
      <c r="CB588" s="497"/>
      <c r="CC588" s="497"/>
      <c r="CD588" s="497"/>
      <c r="CE588" s="497"/>
      <c r="CF588" s="497"/>
      <c r="CG588" s="497"/>
      <c r="CH588" s="497"/>
    </row>
    <row r="589" spans="1:86" s="335" customFormat="1">
      <c r="A589" s="517"/>
      <c r="B589" s="517"/>
      <c r="C589" s="517"/>
      <c r="D589" s="517"/>
      <c r="E589" s="517"/>
      <c r="F589" s="517"/>
      <c r="G589" s="517"/>
      <c r="H589" s="639"/>
      <c r="I589" s="639"/>
      <c r="J589" s="336"/>
      <c r="K589" s="2056"/>
      <c r="L589" s="337"/>
      <c r="N589" s="2057"/>
      <c r="O589" s="337"/>
      <c r="P589" s="337"/>
      <c r="Q589" s="337"/>
      <c r="R589" s="337"/>
      <c r="S589" s="337"/>
      <c r="T589" s="337"/>
      <c r="U589" s="497"/>
      <c r="V589" s="497"/>
      <c r="W589" s="497"/>
      <c r="X589" s="497"/>
      <c r="Y589" s="497"/>
      <c r="Z589" s="497"/>
      <c r="AA589" s="497"/>
      <c r="AB589" s="497"/>
      <c r="AC589" s="497"/>
      <c r="AD589" s="497"/>
      <c r="AE589" s="497"/>
      <c r="AF589" s="497"/>
      <c r="AG589" s="497"/>
      <c r="AH589" s="497"/>
      <c r="AI589" s="497"/>
      <c r="AJ589" s="497"/>
      <c r="AK589" s="497"/>
      <c r="AL589" s="497"/>
      <c r="AM589" s="497"/>
      <c r="AN589" s="497"/>
      <c r="AO589" s="497"/>
      <c r="AP589" s="497"/>
      <c r="AQ589" s="497"/>
      <c r="AR589" s="497"/>
      <c r="AS589" s="497"/>
      <c r="AT589" s="497"/>
      <c r="AU589" s="497"/>
      <c r="AV589" s="497"/>
      <c r="AW589" s="497"/>
      <c r="AX589" s="497"/>
      <c r="AY589" s="497"/>
      <c r="AZ589" s="497"/>
      <c r="BA589" s="497"/>
      <c r="BB589" s="497"/>
      <c r="BC589" s="497"/>
      <c r="BD589" s="497"/>
      <c r="BE589" s="497"/>
      <c r="BF589" s="497"/>
      <c r="BG589" s="497"/>
      <c r="BH589" s="497"/>
      <c r="BI589" s="497"/>
      <c r="BJ589" s="497"/>
      <c r="BK589" s="497"/>
      <c r="BL589" s="497"/>
      <c r="BM589" s="497"/>
      <c r="BN589" s="497"/>
      <c r="BO589" s="497"/>
      <c r="BP589" s="497"/>
      <c r="BQ589" s="497"/>
      <c r="BR589" s="497"/>
      <c r="BS589" s="497"/>
      <c r="BT589" s="497"/>
      <c r="BU589" s="497"/>
      <c r="BV589" s="497"/>
      <c r="BW589" s="497"/>
      <c r="BX589" s="497"/>
      <c r="BY589" s="497"/>
      <c r="BZ589" s="497"/>
      <c r="CA589" s="497"/>
      <c r="CB589" s="497"/>
      <c r="CC589" s="497"/>
      <c r="CD589" s="497"/>
      <c r="CE589" s="497"/>
      <c r="CF589" s="497"/>
      <c r="CG589" s="497"/>
      <c r="CH589" s="497"/>
    </row>
    <row r="590" spans="1:86" s="335" customFormat="1">
      <c r="A590" s="517"/>
      <c r="B590" s="517"/>
      <c r="C590" s="517"/>
      <c r="D590" s="517"/>
      <c r="E590" s="517"/>
      <c r="F590" s="517"/>
      <c r="G590" s="517"/>
      <c r="H590" s="639"/>
      <c r="I590" s="639"/>
      <c r="J590" s="336"/>
      <c r="K590" s="2056"/>
      <c r="L590" s="337"/>
      <c r="N590" s="2057"/>
      <c r="O590" s="337"/>
      <c r="P590" s="337"/>
      <c r="Q590" s="337"/>
      <c r="R590" s="337"/>
      <c r="S590" s="337"/>
      <c r="T590" s="337"/>
      <c r="U590" s="497"/>
      <c r="V590" s="497"/>
      <c r="W590" s="497"/>
      <c r="X590" s="497"/>
      <c r="Y590" s="497"/>
      <c r="Z590" s="497"/>
      <c r="AA590" s="497"/>
      <c r="AB590" s="497"/>
      <c r="AC590" s="497"/>
      <c r="AD590" s="497"/>
      <c r="AE590" s="497"/>
      <c r="AF590" s="497"/>
      <c r="AG590" s="497"/>
      <c r="AH590" s="497"/>
      <c r="AI590" s="497"/>
      <c r="AJ590" s="497"/>
      <c r="AK590" s="497"/>
      <c r="AL590" s="497"/>
      <c r="AM590" s="497"/>
      <c r="AN590" s="497"/>
      <c r="AO590" s="497"/>
      <c r="AP590" s="497"/>
      <c r="AQ590" s="497"/>
      <c r="AR590" s="497"/>
      <c r="AS590" s="497"/>
      <c r="AT590" s="497"/>
      <c r="AU590" s="497"/>
      <c r="AV590" s="497"/>
      <c r="AW590" s="497"/>
      <c r="AX590" s="497"/>
      <c r="AY590" s="497"/>
      <c r="AZ590" s="497"/>
      <c r="BA590" s="497"/>
      <c r="BB590" s="497"/>
      <c r="BC590" s="497"/>
      <c r="BD590" s="497"/>
      <c r="BE590" s="497"/>
      <c r="BF590" s="497"/>
      <c r="BG590" s="497"/>
      <c r="BH590" s="497"/>
      <c r="BI590" s="497"/>
      <c r="BJ590" s="497"/>
      <c r="BK590" s="497"/>
      <c r="BL590" s="497"/>
      <c r="BM590" s="497"/>
      <c r="BN590" s="497"/>
      <c r="BO590" s="497"/>
      <c r="BP590" s="497"/>
      <c r="BQ590" s="497"/>
      <c r="BR590" s="497"/>
      <c r="BS590" s="497"/>
      <c r="BT590" s="497"/>
      <c r="BU590" s="497"/>
      <c r="BV590" s="497"/>
      <c r="BW590" s="497"/>
      <c r="BX590" s="497"/>
      <c r="BY590" s="497"/>
      <c r="BZ590" s="497"/>
      <c r="CA590" s="497"/>
      <c r="CB590" s="497"/>
      <c r="CC590" s="497"/>
      <c r="CD590" s="497"/>
      <c r="CE590" s="497"/>
      <c r="CF590" s="497"/>
      <c r="CG590" s="497"/>
      <c r="CH590" s="497"/>
    </row>
    <row r="591" spans="1:86" s="335" customFormat="1">
      <c r="A591" s="517"/>
      <c r="B591" s="517"/>
      <c r="C591" s="517"/>
      <c r="D591" s="517"/>
      <c r="E591" s="517"/>
      <c r="F591" s="517"/>
      <c r="G591" s="517"/>
      <c r="H591" s="639"/>
      <c r="I591" s="639"/>
      <c r="J591" s="336"/>
      <c r="K591" s="2056"/>
      <c r="L591" s="337"/>
      <c r="N591" s="2057"/>
      <c r="O591" s="337"/>
      <c r="P591" s="337"/>
      <c r="Q591" s="337"/>
      <c r="R591" s="337"/>
      <c r="S591" s="337"/>
      <c r="T591" s="337"/>
      <c r="U591" s="497"/>
      <c r="V591" s="497"/>
      <c r="W591" s="497"/>
      <c r="X591" s="497"/>
      <c r="Y591" s="497"/>
      <c r="Z591" s="497"/>
      <c r="AA591" s="497"/>
      <c r="AB591" s="497"/>
      <c r="AC591" s="497"/>
      <c r="AD591" s="497"/>
      <c r="AE591" s="497"/>
      <c r="AF591" s="497"/>
      <c r="AG591" s="497"/>
      <c r="AH591" s="497"/>
      <c r="AI591" s="497"/>
      <c r="AJ591" s="497"/>
      <c r="AK591" s="497"/>
      <c r="AL591" s="497"/>
      <c r="AM591" s="497"/>
      <c r="AN591" s="497"/>
      <c r="AO591" s="497"/>
      <c r="AP591" s="497"/>
      <c r="AQ591" s="497"/>
      <c r="AR591" s="497"/>
      <c r="AS591" s="497"/>
      <c r="AT591" s="497"/>
      <c r="AU591" s="497"/>
      <c r="AV591" s="497"/>
      <c r="AW591" s="497"/>
      <c r="AX591" s="497"/>
      <c r="AY591" s="497"/>
      <c r="AZ591" s="497"/>
      <c r="BA591" s="497"/>
      <c r="BB591" s="497"/>
      <c r="BC591" s="497"/>
      <c r="BD591" s="497"/>
      <c r="BE591" s="497"/>
      <c r="BF591" s="497"/>
      <c r="BG591" s="497"/>
      <c r="BH591" s="497"/>
      <c r="BI591" s="497"/>
      <c r="BJ591" s="497"/>
      <c r="BK591" s="497"/>
      <c r="BL591" s="497"/>
      <c r="BM591" s="497"/>
      <c r="BN591" s="497"/>
      <c r="BO591" s="497"/>
      <c r="BP591" s="497"/>
      <c r="BQ591" s="497"/>
      <c r="BR591" s="497"/>
      <c r="BS591" s="497"/>
      <c r="BT591" s="497"/>
      <c r="BU591" s="497"/>
      <c r="BV591" s="497"/>
      <c r="BW591" s="497"/>
      <c r="BX591" s="497"/>
      <c r="BY591" s="497"/>
      <c r="BZ591" s="497"/>
      <c r="CA591" s="497"/>
      <c r="CB591" s="497"/>
      <c r="CC591" s="497"/>
      <c r="CD591" s="497"/>
      <c r="CE591" s="497"/>
      <c r="CF591" s="497"/>
      <c r="CG591" s="497"/>
      <c r="CH591" s="497"/>
    </row>
    <row r="592" spans="1:86" s="335" customFormat="1">
      <c r="A592" s="517"/>
      <c r="B592" s="517"/>
      <c r="C592" s="517"/>
      <c r="D592" s="517"/>
      <c r="E592" s="517"/>
      <c r="F592" s="517"/>
      <c r="G592" s="517"/>
      <c r="H592" s="639"/>
      <c r="I592" s="639"/>
      <c r="J592" s="336"/>
      <c r="K592" s="2056"/>
      <c r="L592" s="337"/>
      <c r="N592" s="2057"/>
      <c r="O592" s="337"/>
      <c r="P592" s="337"/>
      <c r="Q592" s="337"/>
      <c r="R592" s="337"/>
      <c r="S592" s="337"/>
      <c r="T592" s="337"/>
      <c r="U592" s="497"/>
      <c r="V592" s="497"/>
      <c r="W592" s="497"/>
      <c r="X592" s="497"/>
      <c r="Y592" s="497"/>
      <c r="Z592" s="497"/>
      <c r="AA592" s="497"/>
      <c r="AB592" s="497"/>
      <c r="AC592" s="497"/>
      <c r="AD592" s="497"/>
      <c r="AE592" s="497"/>
      <c r="AF592" s="497"/>
      <c r="AG592" s="497"/>
      <c r="AH592" s="497"/>
      <c r="AI592" s="497"/>
      <c r="AJ592" s="497"/>
      <c r="AK592" s="497"/>
      <c r="AL592" s="497"/>
      <c r="AM592" s="497"/>
      <c r="AN592" s="497"/>
      <c r="AO592" s="497"/>
      <c r="AP592" s="497"/>
      <c r="AQ592" s="497"/>
      <c r="AR592" s="497"/>
      <c r="AS592" s="497"/>
      <c r="AT592" s="497"/>
      <c r="AU592" s="497"/>
      <c r="AV592" s="497"/>
      <c r="AW592" s="497"/>
      <c r="AX592" s="497"/>
      <c r="AY592" s="497"/>
      <c r="AZ592" s="497"/>
      <c r="BA592" s="497"/>
      <c r="BB592" s="497"/>
      <c r="BC592" s="497"/>
      <c r="BD592" s="497"/>
      <c r="BE592" s="497"/>
      <c r="BF592" s="497"/>
      <c r="BG592" s="497"/>
      <c r="BH592" s="497"/>
      <c r="BI592" s="497"/>
      <c r="BJ592" s="497"/>
      <c r="BK592" s="497"/>
      <c r="BL592" s="497"/>
      <c r="BM592" s="497"/>
      <c r="BN592" s="497"/>
      <c r="BO592" s="497"/>
      <c r="BP592" s="497"/>
      <c r="BQ592" s="497"/>
      <c r="BR592" s="497"/>
      <c r="BS592" s="497"/>
      <c r="BT592" s="497"/>
      <c r="BU592" s="497"/>
      <c r="BV592" s="497"/>
      <c r="BW592" s="497"/>
      <c r="BX592" s="497"/>
      <c r="BY592" s="497"/>
      <c r="BZ592" s="497"/>
      <c r="CA592" s="497"/>
      <c r="CB592" s="497"/>
      <c r="CC592" s="497"/>
      <c r="CD592" s="497"/>
      <c r="CE592" s="497"/>
      <c r="CF592" s="497"/>
      <c r="CG592" s="497"/>
      <c r="CH592" s="497"/>
    </row>
    <row r="593" spans="1:86" s="335" customFormat="1">
      <c r="A593" s="517"/>
      <c r="B593" s="517"/>
      <c r="C593" s="517"/>
      <c r="D593" s="517"/>
      <c r="E593" s="517"/>
      <c r="F593" s="517"/>
      <c r="G593" s="517"/>
      <c r="H593" s="639"/>
      <c r="I593" s="639"/>
      <c r="J593" s="336"/>
      <c r="K593" s="2056"/>
      <c r="L593" s="337"/>
      <c r="N593" s="2057"/>
      <c r="O593" s="337"/>
      <c r="P593" s="337"/>
      <c r="Q593" s="337"/>
      <c r="R593" s="337"/>
      <c r="S593" s="337"/>
      <c r="T593" s="337"/>
      <c r="U593" s="497"/>
      <c r="V593" s="497"/>
      <c r="W593" s="497"/>
      <c r="X593" s="497"/>
      <c r="Y593" s="497"/>
      <c r="Z593" s="497"/>
      <c r="AA593" s="497"/>
      <c r="AB593" s="497"/>
      <c r="AC593" s="497"/>
      <c r="AD593" s="497"/>
      <c r="AE593" s="497"/>
      <c r="AF593" s="497"/>
      <c r="AG593" s="497"/>
      <c r="AH593" s="497"/>
      <c r="AI593" s="497"/>
      <c r="AJ593" s="497"/>
      <c r="AK593" s="497"/>
      <c r="AL593" s="497"/>
      <c r="AM593" s="497"/>
      <c r="AN593" s="497"/>
      <c r="AO593" s="497"/>
      <c r="AP593" s="497"/>
      <c r="AQ593" s="497"/>
      <c r="AR593" s="497"/>
      <c r="AS593" s="497"/>
      <c r="AT593" s="497"/>
      <c r="AU593" s="497"/>
      <c r="AV593" s="497"/>
      <c r="AW593" s="497"/>
      <c r="AX593" s="497"/>
      <c r="AY593" s="497"/>
      <c r="AZ593" s="497"/>
      <c r="BA593" s="497"/>
      <c r="BB593" s="497"/>
      <c r="BC593" s="497"/>
      <c r="BD593" s="497"/>
      <c r="BE593" s="497"/>
      <c r="BF593" s="497"/>
      <c r="BG593" s="497"/>
      <c r="BH593" s="497"/>
      <c r="BI593" s="497"/>
      <c r="BJ593" s="497"/>
      <c r="BK593" s="497"/>
      <c r="BL593" s="497"/>
      <c r="BM593" s="497"/>
      <c r="BN593" s="497"/>
      <c r="BO593" s="497"/>
      <c r="BP593" s="497"/>
      <c r="BQ593" s="497"/>
      <c r="BR593" s="497"/>
      <c r="BS593" s="497"/>
      <c r="BT593" s="497"/>
      <c r="BU593" s="497"/>
      <c r="BV593" s="497"/>
      <c r="BW593" s="497"/>
      <c r="BX593" s="497"/>
      <c r="BY593" s="497"/>
      <c r="BZ593" s="497"/>
      <c r="CA593" s="497"/>
      <c r="CB593" s="497"/>
      <c r="CC593" s="497"/>
      <c r="CD593" s="497"/>
      <c r="CE593" s="497"/>
      <c r="CF593" s="497"/>
      <c r="CG593" s="497"/>
      <c r="CH593" s="497"/>
    </row>
    <row r="594" spans="1:86" s="335" customFormat="1">
      <c r="A594" s="517"/>
      <c r="B594" s="517"/>
      <c r="C594" s="517"/>
      <c r="D594" s="517"/>
      <c r="E594" s="517"/>
      <c r="F594" s="517"/>
      <c r="G594" s="517"/>
      <c r="H594" s="639"/>
      <c r="I594" s="639"/>
      <c r="J594" s="336"/>
      <c r="K594" s="2056"/>
      <c r="L594" s="337"/>
      <c r="N594" s="2057"/>
      <c r="O594" s="337"/>
      <c r="P594" s="337"/>
      <c r="Q594" s="337"/>
      <c r="R594" s="337"/>
      <c r="S594" s="337"/>
      <c r="T594" s="337"/>
      <c r="U594" s="497"/>
      <c r="V594" s="497"/>
      <c r="W594" s="497"/>
      <c r="X594" s="497"/>
      <c r="Y594" s="497"/>
      <c r="Z594" s="497"/>
      <c r="AA594" s="497"/>
      <c r="AB594" s="497"/>
      <c r="AC594" s="497"/>
      <c r="AD594" s="497"/>
      <c r="AE594" s="497"/>
      <c r="AF594" s="497"/>
      <c r="AG594" s="497"/>
      <c r="AH594" s="497"/>
      <c r="AI594" s="497"/>
      <c r="AJ594" s="497"/>
      <c r="AK594" s="497"/>
      <c r="AL594" s="497"/>
      <c r="AM594" s="497"/>
      <c r="AN594" s="497"/>
      <c r="AO594" s="497"/>
      <c r="AP594" s="497"/>
      <c r="AQ594" s="497"/>
      <c r="AR594" s="497"/>
      <c r="AS594" s="497"/>
      <c r="AT594" s="497"/>
      <c r="AU594" s="497"/>
      <c r="AV594" s="497"/>
      <c r="AW594" s="497"/>
      <c r="AX594" s="497"/>
      <c r="AY594" s="497"/>
      <c r="AZ594" s="497"/>
      <c r="BA594" s="497"/>
      <c r="BB594" s="497"/>
      <c r="BC594" s="497"/>
      <c r="BD594" s="497"/>
      <c r="BE594" s="497"/>
      <c r="BF594" s="497"/>
      <c r="BG594" s="497"/>
      <c r="BH594" s="497"/>
      <c r="BI594" s="497"/>
      <c r="BJ594" s="497"/>
      <c r="BK594" s="497"/>
      <c r="BL594" s="497"/>
      <c r="BM594" s="497"/>
      <c r="BN594" s="497"/>
      <c r="BO594" s="497"/>
      <c r="BP594" s="497"/>
      <c r="BQ594" s="497"/>
      <c r="BR594" s="497"/>
      <c r="BS594" s="497"/>
      <c r="BT594" s="497"/>
      <c r="BU594" s="497"/>
      <c r="BV594" s="497"/>
      <c r="BW594" s="497"/>
      <c r="BX594" s="497"/>
      <c r="BY594" s="497"/>
      <c r="BZ594" s="497"/>
      <c r="CA594" s="497"/>
      <c r="CB594" s="497"/>
      <c r="CC594" s="497"/>
      <c r="CD594" s="497"/>
      <c r="CE594" s="497"/>
      <c r="CF594" s="497"/>
      <c r="CG594" s="497"/>
      <c r="CH594" s="497"/>
    </row>
    <row r="595" spans="1:86" s="335" customFormat="1">
      <c r="A595" s="517"/>
      <c r="B595" s="517"/>
      <c r="C595" s="517"/>
      <c r="D595" s="517"/>
      <c r="E595" s="517"/>
      <c r="F595" s="517"/>
      <c r="G595" s="517"/>
      <c r="H595" s="639"/>
      <c r="I595" s="639"/>
      <c r="J595" s="336"/>
      <c r="K595" s="2056"/>
      <c r="L595" s="337"/>
      <c r="N595" s="2057"/>
      <c r="O595" s="337"/>
      <c r="P595" s="337"/>
      <c r="Q595" s="337"/>
      <c r="R595" s="337"/>
      <c r="S595" s="337"/>
      <c r="T595" s="337"/>
      <c r="U595" s="497"/>
      <c r="V595" s="497"/>
      <c r="W595" s="497"/>
      <c r="X595" s="497"/>
      <c r="Y595" s="497"/>
      <c r="Z595" s="497"/>
      <c r="AA595" s="497"/>
      <c r="AB595" s="497"/>
      <c r="AC595" s="497"/>
      <c r="AD595" s="497"/>
      <c r="AE595" s="497"/>
      <c r="AF595" s="497"/>
      <c r="AG595" s="497"/>
      <c r="AH595" s="497"/>
      <c r="AI595" s="497"/>
      <c r="AJ595" s="497"/>
      <c r="AK595" s="497"/>
      <c r="AL595" s="497"/>
      <c r="AM595" s="497"/>
      <c r="AN595" s="497"/>
      <c r="AO595" s="497"/>
      <c r="AP595" s="497"/>
      <c r="AQ595" s="497"/>
      <c r="AR595" s="497"/>
      <c r="AS595" s="497"/>
      <c r="AT595" s="497"/>
      <c r="AU595" s="497"/>
      <c r="AV595" s="497"/>
      <c r="AW595" s="497"/>
      <c r="AX595" s="497"/>
      <c r="AY595" s="497"/>
      <c r="AZ595" s="497"/>
      <c r="BA595" s="497"/>
      <c r="BB595" s="497"/>
      <c r="BC595" s="497"/>
      <c r="BD595" s="497"/>
      <c r="BE595" s="497"/>
      <c r="BF595" s="497"/>
      <c r="BG595" s="497"/>
      <c r="BH595" s="497"/>
      <c r="BI595" s="497"/>
      <c r="BJ595" s="497"/>
      <c r="BK595" s="497"/>
      <c r="BL595" s="497"/>
      <c r="BM595" s="497"/>
      <c r="BN595" s="497"/>
      <c r="BO595" s="497"/>
      <c r="BP595" s="497"/>
      <c r="BQ595" s="497"/>
      <c r="BR595" s="497"/>
      <c r="BS595" s="497"/>
      <c r="BT595" s="497"/>
      <c r="BU595" s="497"/>
      <c r="BV595" s="497"/>
      <c r="BW595" s="497"/>
      <c r="BX595" s="497"/>
      <c r="BY595" s="497"/>
      <c r="BZ595" s="497"/>
      <c r="CA595" s="497"/>
      <c r="CB595" s="497"/>
      <c r="CC595" s="497"/>
      <c r="CD595" s="497"/>
      <c r="CE595" s="497"/>
      <c r="CF595" s="497"/>
      <c r="CG595" s="497"/>
      <c r="CH595" s="497"/>
    </row>
    <row r="596" spans="1:86" s="335" customFormat="1">
      <c r="A596" s="517"/>
      <c r="B596" s="517"/>
      <c r="C596" s="517"/>
      <c r="D596" s="517"/>
      <c r="E596" s="517"/>
      <c r="F596" s="517"/>
      <c r="G596" s="517"/>
      <c r="H596" s="639"/>
      <c r="I596" s="639"/>
      <c r="J596" s="336"/>
      <c r="K596" s="2056"/>
      <c r="L596" s="337"/>
      <c r="N596" s="2057"/>
      <c r="O596" s="337"/>
      <c r="P596" s="337"/>
      <c r="Q596" s="337"/>
      <c r="R596" s="337"/>
      <c r="S596" s="337"/>
      <c r="T596" s="337"/>
      <c r="U596" s="497"/>
      <c r="V596" s="497"/>
      <c r="W596" s="497"/>
      <c r="X596" s="497"/>
      <c r="Y596" s="497"/>
      <c r="Z596" s="497"/>
      <c r="AA596" s="497"/>
      <c r="AB596" s="497"/>
      <c r="AC596" s="497"/>
      <c r="AD596" s="497"/>
      <c r="AE596" s="497"/>
      <c r="AF596" s="497"/>
      <c r="AG596" s="497"/>
      <c r="AH596" s="497"/>
      <c r="AI596" s="497"/>
      <c r="AJ596" s="497"/>
      <c r="AK596" s="497"/>
      <c r="AL596" s="497"/>
      <c r="AM596" s="497"/>
      <c r="AN596" s="497"/>
      <c r="AO596" s="497"/>
      <c r="AP596" s="497"/>
      <c r="AQ596" s="497"/>
      <c r="AR596" s="497"/>
      <c r="AS596" s="497"/>
      <c r="AT596" s="497"/>
      <c r="AU596" s="497"/>
      <c r="AV596" s="497"/>
      <c r="AW596" s="497"/>
      <c r="AX596" s="497"/>
      <c r="AY596" s="497"/>
      <c r="AZ596" s="497"/>
      <c r="BA596" s="497"/>
      <c r="BB596" s="497"/>
      <c r="BC596" s="497"/>
      <c r="BD596" s="497"/>
      <c r="BE596" s="497"/>
      <c r="BF596" s="497"/>
      <c r="BG596" s="497"/>
      <c r="BH596" s="497"/>
      <c r="BI596" s="497"/>
      <c r="BJ596" s="497"/>
      <c r="BK596" s="497"/>
      <c r="BL596" s="497"/>
      <c r="BM596" s="497"/>
      <c r="BN596" s="497"/>
      <c r="BO596" s="497"/>
      <c r="BP596" s="497"/>
      <c r="BQ596" s="497"/>
      <c r="BR596" s="497"/>
      <c r="BS596" s="497"/>
      <c r="BT596" s="497"/>
      <c r="BU596" s="497"/>
      <c r="BV596" s="497"/>
      <c r="BW596" s="497"/>
      <c r="BX596" s="497"/>
      <c r="BY596" s="497"/>
      <c r="BZ596" s="497"/>
      <c r="CA596" s="497"/>
      <c r="CB596" s="497"/>
      <c r="CC596" s="497"/>
      <c r="CD596" s="497"/>
      <c r="CE596" s="497"/>
      <c r="CF596" s="497"/>
      <c r="CG596" s="497"/>
      <c r="CH596" s="497"/>
    </row>
    <row r="597" spans="1:86" s="335" customFormat="1">
      <c r="A597" s="517"/>
      <c r="B597" s="517"/>
      <c r="C597" s="517"/>
      <c r="D597" s="517"/>
      <c r="E597" s="517"/>
      <c r="F597" s="517"/>
      <c r="G597" s="517"/>
      <c r="H597" s="639"/>
      <c r="I597" s="639"/>
      <c r="J597" s="336"/>
      <c r="K597" s="2056"/>
      <c r="L597" s="337"/>
      <c r="N597" s="2057"/>
      <c r="O597" s="337"/>
      <c r="P597" s="337"/>
      <c r="Q597" s="337"/>
      <c r="R597" s="337"/>
      <c r="S597" s="337"/>
      <c r="T597" s="337"/>
      <c r="U597" s="497"/>
      <c r="V597" s="497"/>
      <c r="W597" s="497"/>
      <c r="X597" s="497"/>
      <c r="Y597" s="497"/>
      <c r="Z597" s="497"/>
      <c r="AA597" s="497"/>
      <c r="AB597" s="497"/>
      <c r="AC597" s="497"/>
      <c r="AD597" s="497"/>
      <c r="AE597" s="497"/>
      <c r="AF597" s="497"/>
      <c r="AG597" s="497"/>
      <c r="AH597" s="497"/>
      <c r="AI597" s="497"/>
      <c r="AJ597" s="497"/>
      <c r="AK597" s="497"/>
      <c r="AL597" s="497"/>
      <c r="AM597" s="497"/>
      <c r="AN597" s="497"/>
      <c r="AO597" s="497"/>
      <c r="AP597" s="497"/>
      <c r="AQ597" s="497"/>
      <c r="AR597" s="497"/>
      <c r="AS597" s="497"/>
      <c r="AT597" s="497"/>
      <c r="AU597" s="497"/>
      <c r="AV597" s="497"/>
      <c r="AW597" s="497"/>
      <c r="AX597" s="497"/>
      <c r="AY597" s="497"/>
      <c r="AZ597" s="497"/>
      <c r="BA597" s="497"/>
      <c r="BB597" s="497"/>
      <c r="BC597" s="497"/>
      <c r="BD597" s="497"/>
      <c r="BE597" s="497"/>
      <c r="BF597" s="497"/>
      <c r="BG597" s="497"/>
      <c r="BH597" s="497"/>
      <c r="BI597" s="497"/>
      <c r="BJ597" s="497"/>
      <c r="BK597" s="497"/>
      <c r="BL597" s="497"/>
      <c r="BM597" s="497"/>
      <c r="BN597" s="497"/>
      <c r="BO597" s="497"/>
      <c r="BP597" s="497"/>
      <c r="BQ597" s="497"/>
      <c r="BR597" s="497"/>
      <c r="BS597" s="497"/>
      <c r="BT597" s="497"/>
      <c r="BU597" s="497"/>
      <c r="BV597" s="497"/>
      <c r="BW597" s="497"/>
      <c r="BX597" s="497"/>
      <c r="BY597" s="497"/>
      <c r="BZ597" s="497"/>
      <c r="CA597" s="497"/>
      <c r="CB597" s="497"/>
      <c r="CC597" s="497"/>
      <c r="CD597" s="497"/>
      <c r="CE597" s="497"/>
      <c r="CF597" s="497"/>
      <c r="CG597" s="497"/>
      <c r="CH597" s="497"/>
    </row>
    <row r="598" spans="1:86" s="335" customFormat="1">
      <c r="A598" s="517"/>
      <c r="B598" s="517"/>
      <c r="C598" s="517"/>
      <c r="D598" s="517"/>
      <c r="E598" s="517"/>
      <c r="F598" s="517"/>
      <c r="G598" s="517"/>
      <c r="H598" s="639"/>
      <c r="I598" s="639"/>
      <c r="J598" s="336"/>
      <c r="K598" s="2056"/>
      <c r="L598" s="337"/>
      <c r="N598" s="2057"/>
      <c r="O598" s="337"/>
      <c r="P598" s="337"/>
      <c r="Q598" s="337"/>
      <c r="R598" s="337"/>
      <c r="S598" s="337"/>
      <c r="T598" s="337"/>
      <c r="U598" s="497"/>
      <c r="V598" s="497"/>
      <c r="W598" s="497"/>
      <c r="X598" s="497"/>
      <c r="Y598" s="497"/>
      <c r="Z598" s="497"/>
      <c r="AA598" s="497"/>
      <c r="AB598" s="497"/>
      <c r="AC598" s="497"/>
      <c r="AD598" s="497"/>
      <c r="AE598" s="497"/>
      <c r="AF598" s="497"/>
      <c r="AG598" s="497"/>
      <c r="AH598" s="497"/>
      <c r="AI598" s="497"/>
      <c r="AJ598" s="497"/>
      <c r="AK598" s="497"/>
      <c r="AL598" s="497"/>
      <c r="AM598" s="497"/>
      <c r="AN598" s="497"/>
      <c r="AO598" s="497"/>
      <c r="AP598" s="497"/>
      <c r="AQ598" s="497"/>
      <c r="AR598" s="497"/>
      <c r="AS598" s="497"/>
      <c r="AT598" s="497"/>
      <c r="AU598" s="497"/>
      <c r="AV598" s="497"/>
      <c r="AW598" s="497"/>
      <c r="AX598" s="497"/>
      <c r="AY598" s="497"/>
      <c r="AZ598" s="497"/>
      <c r="BA598" s="497"/>
      <c r="BB598" s="497"/>
      <c r="BC598" s="497"/>
      <c r="BD598" s="497"/>
      <c r="BE598" s="497"/>
      <c r="BF598" s="497"/>
      <c r="BG598" s="497"/>
      <c r="BH598" s="497"/>
      <c r="BI598" s="497"/>
      <c r="BJ598" s="497"/>
      <c r="BK598" s="497"/>
      <c r="BL598" s="497"/>
      <c r="BM598" s="497"/>
      <c r="BN598" s="497"/>
      <c r="BO598" s="497"/>
      <c r="BP598" s="497"/>
      <c r="BQ598" s="497"/>
      <c r="BR598" s="497"/>
      <c r="BS598" s="497"/>
      <c r="BT598" s="497"/>
      <c r="BU598" s="497"/>
      <c r="BV598" s="497"/>
      <c r="BW598" s="497"/>
      <c r="BX598" s="497"/>
      <c r="BY598" s="497"/>
      <c r="BZ598" s="497"/>
      <c r="CA598" s="497"/>
      <c r="CB598" s="497"/>
      <c r="CC598" s="497"/>
      <c r="CD598" s="497"/>
      <c r="CE598" s="497"/>
      <c r="CF598" s="497"/>
      <c r="CG598" s="497"/>
      <c r="CH598" s="497"/>
    </row>
    <row r="599" spans="1:86" s="335" customFormat="1">
      <c r="A599" s="517"/>
      <c r="B599" s="517"/>
      <c r="C599" s="517"/>
      <c r="D599" s="517"/>
      <c r="E599" s="517"/>
      <c r="F599" s="517"/>
      <c r="G599" s="517"/>
      <c r="H599" s="639"/>
      <c r="I599" s="639"/>
      <c r="J599" s="336"/>
      <c r="K599" s="2056"/>
      <c r="L599" s="337"/>
      <c r="N599" s="2057"/>
      <c r="O599" s="337"/>
      <c r="P599" s="337"/>
      <c r="Q599" s="337"/>
      <c r="R599" s="337"/>
      <c r="S599" s="337"/>
      <c r="T599" s="337"/>
      <c r="U599" s="497"/>
      <c r="V599" s="497"/>
      <c r="W599" s="497"/>
      <c r="X599" s="497"/>
      <c r="Y599" s="497"/>
      <c r="Z599" s="497"/>
      <c r="AA599" s="497"/>
      <c r="AB599" s="497"/>
      <c r="AC599" s="497"/>
      <c r="AD599" s="497"/>
      <c r="AE599" s="497"/>
      <c r="AF599" s="497"/>
      <c r="AG599" s="497"/>
      <c r="AH599" s="497"/>
      <c r="AI599" s="497"/>
      <c r="AJ599" s="497"/>
      <c r="AK599" s="497"/>
      <c r="AL599" s="497"/>
      <c r="AM599" s="497"/>
      <c r="AN599" s="497"/>
      <c r="AO599" s="497"/>
      <c r="AP599" s="497"/>
      <c r="AQ599" s="497"/>
      <c r="AR599" s="497"/>
      <c r="AS599" s="497"/>
      <c r="AT599" s="497"/>
      <c r="AU599" s="497"/>
      <c r="AV599" s="497"/>
      <c r="AW599" s="497"/>
      <c r="AX599" s="497"/>
      <c r="AY599" s="497"/>
      <c r="AZ599" s="497"/>
      <c r="BA599" s="497"/>
      <c r="BB599" s="497"/>
      <c r="BC599" s="497"/>
      <c r="BD599" s="497"/>
      <c r="BE599" s="497"/>
      <c r="BF599" s="497"/>
      <c r="BG599" s="497"/>
      <c r="BH599" s="497"/>
      <c r="BI599" s="497"/>
      <c r="BJ599" s="497"/>
      <c r="BK599" s="497"/>
      <c r="BL599" s="497"/>
      <c r="BM599" s="497"/>
      <c r="BN599" s="497"/>
      <c r="BO599" s="497"/>
      <c r="BP599" s="497"/>
      <c r="BQ599" s="497"/>
      <c r="BR599" s="497"/>
      <c r="BS599" s="497"/>
      <c r="BT599" s="497"/>
      <c r="BU599" s="497"/>
      <c r="BV599" s="497"/>
      <c r="BW599" s="497"/>
      <c r="BX599" s="497"/>
      <c r="BY599" s="497"/>
      <c r="BZ599" s="497"/>
      <c r="CA599" s="497"/>
      <c r="CB599" s="497"/>
      <c r="CC599" s="497"/>
      <c r="CD599" s="497"/>
      <c r="CE599" s="497"/>
      <c r="CF599" s="497"/>
      <c r="CG599" s="497"/>
      <c r="CH599" s="497"/>
    </row>
    <row r="600" spans="1:86" s="335" customFormat="1">
      <c r="A600" s="517"/>
      <c r="B600" s="517"/>
      <c r="C600" s="517"/>
      <c r="D600" s="517"/>
      <c r="E600" s="517"/>
      <c r="F600" s="517"/>
      <c r="G600" s="517"/>
      <c r="H600" s="639"/>
      <c r="I600" s="639"/>
      <c r="J600" s="336"/>
      <c r="K600" s="2056"/>
      <c r="L600" s="337"/>
      <c r="N600" s="2057"/>
      <c r="O600" s="337"/>
      <c r="P600" s="337"/>
      <c r="Q600" s="337"/>
      <c r="R600" s="337"/>
      <c r="S600" s="337"/>
      <c r="T600" s="337"/>
      <c r="U600" s="497"/>
      <c r="V600" s="497"/>
      <c r="W600" s="497"/>
      <c r="X600" s="497"/>
      <c r="Y600" s="497"/>
      <c r="Z600" s="497"/>
      <c r="AA600" s="497"/>
      <c r="AB600" s="497"/>
      <c r="AC600" s="497"/>
      <c r="AD600" s="497"/>
      <c r="AE600" s="497"/>
      <c r="AF600" s="497"/>
      <c r="AG600" s="497"/>
      <c r="AH600" s="497"/>
      <c r="AI600" s="497"/>
      <c r="AJ600" s="497"/>
      <c r="AK600" s="497"/>
      <c r="AL600" s="497"/>
      <c r="AM600" s="497"/>
      <c r="AN600" s="497"/>
      <c r="AO600" s="497"/>
      <c r="AP600" s="497"/>
      <c r="AQ600" s="497"/>
      <c r="AR600" s="497"/>
      <c r="AS600" s="497"/>
      <c r="AT600" s="497"/>
      <c r="AU600" s="497"/>
      <c r="AV600" s="497"/>
      <c r="AW600" s="497"/>
      <c r="AX600" s="497"/>
      <c r="AY600" s="497"/>
      <c r="AZ600" s="497"/>
      <c r="BA600" s="497"/>
      <c r="BB600" s="497"/>
      <c r="BC600" s="497"/>
      <c r="BD600" s="497"/>
      <c r="BE600" s="497"/>
      <c r="BF600" s="497"/>
      <c r="BG600" s="497"/>
      <c r="BH600" s="497"/>
      <c r="BI600" s="497"/>
      <c r="BJ600" s="497"/>
      <c r="BK600" s="497"/>
      <c r="BL600" s="497"/>
      <c r="BM600" s="497"/>
      <c r="BN600" s="497"/>
      <c r="BO600" s="497"/>
      <c r="BP600" s="497"/>
      <c r="BQ600" s="497"/>
      <c r="BR600" s="497"/>
      <c r="BS600" s="497"/>
      <c r="BT600" s="497"/>
      <c r="BU600" s="497"/>
      <c r="BV600" s="497"/>
      <c r="BW600" s="497"/>
      <c r="BX600" s="497"/>
      <c r="BY600" s="497"/>
      <c r="BZ600" s="497"/>
      <c r="CA600" s="497"/>
      <c r="CB600" s="497"/>
      <c r="CC600" s="497"/>
      <c r="CD600" s="497"/>
      <c r="CE600" s="497"/>
      <c r="CF600" s="497"/>
      <c r="CG600" s="497"/>
      <c r="CH600" s="497"/>
    </row>
    <row r="601" spans="1:86" s="335" customFormat="1">
      <c r="A601" s="517"/>
      <c r="B601" s="517"/>
      <c r="C601" s="517"/>
      <c r="D601" s="517"/>
      <c r="E601" s="517"/>
      <c r="F601" s="517"/>
      <c r="G601" s="517"/>
      <c r="H601" s="639"/>
      <c r="I601" s="639"/>
      <c r="J601" s="336"/>
      <c r="K601" s="2056"/>
      <c r="L601" s="337"/>
      <c r="N601" s="2057"/>
      <c r="O601" s="337"/>
      <c r="P601" s="337"/>
      <c r="Q601" s="337"/>
      <c r="R601" s="337"/>
      <c r="S601" s="337"/>
      <c r="T601" s="337"/>
      <c r="U601" s="497"/>
      <c r="V601" s="497"/>
      <c r="W601" s="497"/>
      <c r="X601" s="497"/>
      <c r="Y601" s="497"/>
      <c r="Z601" s="497"/>
      <c r="AA601" s="497"/>
      <c r="AB601" s="497"/>
      <c r="AC601" s="497"/>
      <c r="AD601" s="497"/>
      <c r="AE601" s="497"/>
      <c r="AF601" s="497"/>
      <c r="AG601" s="497"/>
      <c r="AH601" s="497"/>
      <c r="AI601" s="497"/>
      <c r="AJ601" s="497"/>
      <c r="AK601" s="497"/>
      <c r="AL601" s="497"/>
      <c r="AM601" s="497"/>
      <c r="AN601" s="497"/>
      <c r="AO601" s="497"/>
      <c r="AP601" s="497"/>
      <c r="AQ601" s="497"/>
      <c r="AR601" s="497"/>
      <c r="AS601" s="497"/>
      <c r="AT601" s="497"/>
      <c r="AU601" s="497"/>
      <c r="AV601" s="497"/>
      <c r="AW601" s="497"/>
      <c r="AX601" s="497"/>
      <c r="AY601" s="497"/>
      <c r="AZ601" s="497"/>
      <c r="BA601" s="497"/>
      <c r="BB601" s="497"/>
      <c r="BC601" s="497"/>
      <c r="BD601" s="497"/>
      <c r="BE601" s="497"/>
      <c r="BF601" s="497"/>
      <c r="BG601" s="497"/>
      <c r="BH601" s="497"/>
      <c r="BI601" s="497"/>
      <c r="BJ601" s="497"/>
      <c r="BK601" s="497"/>
      <c r="BL601" s="497"/>
      <c r="BM601" s="497"/>
      <c r="BN601" s="497"/>
      <c r="BO601" s="497"/>
      <c r="BP601" s="497"/>
      <c r="BQ601" s="497"/>
      <c r="BR601" s="497"/>
      <c r="BS601" s="497"/>
      <c r="BT601" s="497"/>
      <c r="BU601" s="497"/>
      <c r="BV601" s="497"/>
      <c r="BW601" s="497"/>
      <c r="BX601" s="497"/>
      <c r="BY601" s="497"/>
      <c r="BZ601" s="497"/>
      <c r="CA601" s="497"/>
      <c r="CB601" s="497"/>
      <c r="CC601" s="497"/>
      <c r="CD601" s="497"/>
      <c r="CE601" s="497"/>
      <c r="CF601" s="497"/>
      <c r="CG601" s="497"/>
      <c r="CH601" s="497"/>
    </row>
    <row r="602" spans="1:86" s="335" customFormat="1">
      <c r="A602" s="517"/>
      <c r="B602" s="517"/>
      <c r="C602" s="517"/>
      <c r="D602" s="517"/>
      <c r="E602" s="517"/>
      <c r="F602" s="517"/>
      <c r="G602" s="517"/>
      <c r="H602" s="639"/>
      <c r="I602" s="639"/>
      <c r="J602" s="336"/>
      <c r="K602" s="2056"/>
      <c r="L602" s="337"/>
      <c r="N602" s="2057"/>
      <c r="O602" s="337"/>
      <c r="P602" s="337"/>
      <c r="Q602" s="337"/>
      <c r="R602" s="337"/>
      <c r="S602" s="337"/>
      <c r="T602" s="337"/>
      <c r="U602" s="497"/>
      <c r="V602" s="497"/>
      <c r="W602" s="497"/>
      <c r="X602" s="497"/>
      <c r="Y602" s="497"/>
      <c r="Z602" s="497"/>
      <c r="AA602" s="497"/>
      <c r="AB602" s="497"/>
      <c r="AC602" s="497"/>
      <c r="AD602" s="497"/>
      <c r="AE602" s="497"/>
      <c r="AF602" s="497"/>
      <c r="AG602" s="497"/>
      <c r="AH602" s="497"/>
      <c r="AI602" s="497"/>
      <c r="AJ602" s="497"/>
      <c r="AK602" s="497"/>
      <c r="AL602" s="497"/>
      <c r="AM602" s="497"/>
      <c r="AN602" s="497"/>
      <c r="AO602" s="497"/>
      <c r="AP602" s="497"/>
      <c r="AQ602" s="497"/>
      <c r="AR602" s="497"/>
      <c r="AS602" s="497"/>
      <c r="AT602" s="497"/>
      <c r="AU602" s="497"/>
      <c r="AV602" s="497"/>
      <c r="AW602" s="497"/>
      <c r="AX602" s="497"/>
      <c r="AY602" s="497"/>
      <c r="AZ602" s="497"/>
      <c r="BA602" s="497"/>
      <c r="BB602" s="497"/>
      <c r="BC602" s="497"/>
      <c r="BD602" s="497"/>
      <c r="BE602" s="497"/>
      <c r="BF602" s="497"/>
      <c r="BG602" s="497"/>
      <c r="BH602" s="497"/>
      <c r="BI602" s="497"/>
      <c r="BJ602" s="497"/>
      <c r="BK602" s="497"/>
      <c r="BL602" s="497"/>
      <c r="BM602" s="497"/>
      <c r="BN602" s="497"/>
      <c r="BO602" s="497"/>
      <c r="BP602" s="497"/>
      <c r="BQ602" s="497"/>
      <c r="BR602" s="497"/>
      <c r="BS602" s="497"/>
      <c r="BT602" s="497"/>
      <c r="BU602" s="497"/>
      <c r="BV602" s="497"/>
      <c r="BW602" s="497"/>
      <c r="BX602" s="497"/>
      <c r="BY602" s="497"/>
      <c r="BZ602" s="497"/>
      <c r="CA602" s="497"/>
      <c r="CB602" s="497"/>
      <c r="CC602" s="497"/>
      <c r="CD602" s="497"/>
      <c r="CE602" s="497"/>
      <c r="CF602" s="497"/>
      <c r="CG602" s="497"/>
      <c r="CH602" s="497"/>
    </row>
    <row r="603" spans="1:86" s="335" customFormat="1">
      <c r="A603" s="517"/>
      <c r="B603" s="517"/>
      <c r="C603" s="517"/>
      <c r="D603" s="517"/>
      <c r="E603" s="517"/>
      <c r="F603" s="517"/>
      <c r="G603" s="517"/>
      <c r="H603" s="639"/>
      <c r="I603" s="639"/>
      <c r="J603" s="336"/>
      <c r="K603" s="2056"/>
      <c r="L603" s="337"/>
      <c r="N603" s="2057"/>
      <c r="O603" s="337"/>
      <c r="P603" s="337"/>
      <c r="Q603" s="337"/>
      <c r="R603" s="337"/>
      <c r="S603" s="337"/>
      <c r="T603" s="337"/>
      <c r="U603" s="497"/>
      <c r="V603" s="497"/>
      <c r="W603" s="497"/>
      <c r="X603" s="497"/>
      <c r="Y603" s="497"/>
      <c r="Z603" s="497"/>
      <c r="AA603" s="497"/>
      <c r="AB603" s="497"/>
      <c r="AC603" s="497"/>
      <c r="AD603" s="497"/>
      <c r="AE603" s="497"/>
      <c r="AF603" s="497"/>
      <c r="AG603" s="497"/>
      <c r="AH603" s="497"/>
      <c r="AI603" s="497"/>
      <c r="AJ603" s="497"/>
      <c r="AK603" s="497"/>
      <c r="AL603" s="497"/>
      <c r="AM603" s="497"/>
      <c r="AN603" s="497"/>
      <c r="AO603" s="497"/>
      <c r="AP603" s="497"/>
      <c r="AQ603" s="497"/>
      <c r="AR603" s="497"/>
      <c r="AS603" s="497"/>
      <c r="AT603" s="497"/>
      <c r="AU603" s="497"/>
      <c r="AV603" s="497"/>
      <c r="AW603" s="497"/>
      <c r="AX603" s="497"/>
      <c r="AY603" s="497"/>
      <c r="AZ603" s="497"/>
      <c r="BA603" s="497"/>
      <c r="BB603" s="497"/>
      <c r="BC603" s="497"/>
      <c r="BD603" s="497"/>
      <c r="BE603" s="497"/>
      <c r="BF603" s="497"/>
      <c r="BG603" s="497"/>
      <c r="BH603" s="497"/>
      <c r="BI603" s="497"/>
      <c r="BJ603" s="497"/>
      <c r="BK603" s="497"/>
      <c r="BL603" s="497"/>
      <c r="BM603" s="497"/>
      <c r="BN603" s="497"/>
      <c r="BO603" s="497"/>
      <c r="BP603" s="497"/>
      <c r="BQ603" s="497"/>
      <c r="BR603" s="497"/>
      <c r="BS603" s="497"/>
      <c r="BT603" s="497"/>
      <c r="BU603" s="497"/>
      <c r="BV603" s="497"/>
      <c r="BW603" s="497"/>
      <c r="BX603" s="497"/>
      <c r="BY603" s="497"/>
      <c r="BZ603" s="497"/>
      <c r="CA603" s="497"/>
      <c r="CB603" s="497"/>
      <c r="CC603" s="497"/>
      <c r="CD603" s="497"/>
      <c r="CE603" s="497"/>
      <c r="CF603" s="497"/>
      <c r="CG603" s="497"/>
      <c r="CH603" s="497"/>
    </row>
    <row r="604" spans="1:86" s="335" customFormat="1">
      <c r="A604" s="517"/>
      <c r="B604" s="517"/>
      <c r="C604" s="517"/>
      <c r="D604" s="517"/>
      <c r="E604" s="517"/>
      <c r="F604" s="517"/>
      <c r="G604" s="517"/>
      <c r="H604" s="639"/>
      <c r="I604" s="639"/>
      <c r="J604" s="336"/>
      <c r="K604" s="2056"/>
      <c r="L604" s="337"/>
      <c r="N604" s="2057"/>
      <c r="O604" s="337"/>
      <c r="P604" s="337"/>
      <c r="Q604" s="337"/>
      <c r="R604" s="337"/>
      <c r="S604" s="337"/>
      <c r="T604" s="337"/>
      <c r="U604" s="497"/>
      <c r="V604" s="497"/>
      <c r="W604" s="497"/>
      <c r="X604" s="497"/>
      <c r="Y604" s="497"/>
      <c r="Z604" s="497"/>
      <c r="AA604" s="497"/>
      <c r="AB604" s="497"/>
      <c r="AC604" s="497"/>
      <c r="AD604" s="497"/>
      <c r="AE604" s="497"/>
      <c r="AF604" s="497"/>
      <c r="AG604" s="497"/>
      <c r="AH604" s="497"/>
      <c r="AI604" s="497"/>
      <c r="AJ604" s="497"/>
      <c r="AK604" s="497"/>
      <c r="AL604" s="497"/>
      <c r="AM604" s="497"/>
      <c r="AN604" s="497"/>
      <c r="AO604" s="497"/>
      <c r="AP604" s="497"/>
      <c r="AQ604" s="497"/>
      <c r="AR604" s="497"/>
      <c r="AS604" s="497"/>
      <c r="AT604" s="497"/>
      <c r="AU604" s="497"/>
      <c r="AV604" s="497"/>
      <c r="AW604" s="497"/>
      <c r="AX604" s="497"/>
      <c r="AY604" s="497"/>
      <c r="AZ604" s="497"/>
      <c r="BA604" s="497"/>
      <c r="BB604" s="497"/>
      <c r="BC604" s="497"/>
      <c r="BD604" s="497"/>
      <c r="BE604" s="497"/>
      <c r="BF604" s="497"/>
      <c r="BG604" s="497"/>
      <c r="BH604" s="497"/>
      <c r="BI604" s="497"/>
      <c r="BJ604" s="497"/>
      <c r="BK604" s="497"/>
      <c r="BL604" s="497"/>
      <c r="BM604" s="497"/>
      <c r="BN604" s="497"/>
      <c r="BO604" s="497"/>
      <c r="BP604" s="497"/>
      <c r="BQ604" s="497"/>
      <c r="BR604" s="497"/>
      <c r="BS604" s="497"/>
      <c r="BT604" s="497"/>
      <c r="BU604" s="497"/>
      <c r="BV604" s="497"/>
      <c r="BW604" s="497"/>
      <c r="BX604" s="497"/>
      <c r="BY604" s="497"/>
      <c r="BZ604" s="497"/>
      <c r="CA604" s="497"/>
      <c r="CB604" s="497"/>
      <c r="CC604" s="497"/>
      <c r="CD604" s="497"/>
      <c r="CE604" s="497"/>
      <c r="CF604" s="497"/>
      <c r="CG604" s="497"/>
      <c r="CH604" s="497"/>
    </row>
    <row r="605" spans="1:86" s="335" customFormat="1">
      <c r="A605" s="517"/>
      <c r="B605" s="517"/>
      <c r="C605" s="517"/>
      <c r="D605" s="517"/>
      <c r="E605" s="517"/>
      <c r="F605" s="517"/>
      <c r="G605" s="517"/>
      <c r="H605" s="639"/>
      <c r="I605" s="639"/>
      <c r="J605" s="336"/>
      <c r="K605" s="2056"/>
      <c r="L605" s="337"/>
      <c r="N605" s="2057"/>
      <c r="O605" s="337"/>
      <c r="P605" s="337"/>
      <c r="Q605" s="337"/>
      <c r="R605" s="337"/>
      <c r="S605" s="337"/>
      <c r="T605" s="337"/>
      <c r="U605" s="497"/>
      <c r="V605" s="497"/>
      <c r="W605" s="497"/>
      <c r="X605" s="497"/>
      <c r="Y605" s="497"/>
      <c r="Z605" s="497"/>
      <c r="AA605" s="497"/>
      <c r="AB605" s="497"/>
      <c r="AC605" s="497"/>
      <c r="AD605" s="497"/>
      <c r="AE605" s="497"/>
      <c r="AF605" s="497"/>
      <c r="AG605" s="497"/>
      <c r="AH605" s="497"/>
      <c r="AI605" s="497"/>
      <c r="AJ605" s="497"/>
      <c r="AK605" s="497"/>
      <c r="AL605" s="497"/>
      <c r="AM605" s="497"/>
      <c r="AN605" s="497"/>
      <c r="AO605" s="497"/>
      <c r="AP605" s="497"/>
      <c r="AQ605" s="497"/>
      <c r="AR605" s="497"/>
      <c r="AS605" s="497"/>
      <c r="AT605" s="497"/>
      <c r="AU605" s="497"/>
      <c r="AV605" s="497"/>
      <c r="AW605" s="497"/>
      <c r="AX605" s="497"/>
      <c r="AY605" s="497"/>
      <c r="AZ605" s="497"/>
      <c r="BA605" s="497"/>
      <c r="BB605" s="497"/>
      <c r="BC605" s="497"/>
      <c r="BD605" s="497"/>
      <c r="BE605" s="497"/>
      <c r="BF605" s="497"/>
      <c r="BG605" s="497"/>
      <c r="BH605" s="497"/>
      <c r="BI605" s="497"/>
      <c r="BJ605" s="497"/>
      <c r="BK605" s="497"/>
      <c r="BL605" s="497"/>
      <c r="BM605" s="497"/>
      <c r="BN605" s="497"/>
      <c r="BO605" s="497"/>
      <c r="BP605" s="497"/>
      <c r="BQ605" s="497"/>
      <c r="BR605" s="497"/>
      <c r="BS605" s="497"/>
      <c r="BT605" s="497"/>
      <c r="BU605" s="497"/>
      <c r="BV605" s="497"/>
      <c r="BW605" s="497"/>
      <c r="BX605" s="497"/>
      <c r="BY605" s="497"/>
      <c r="BZ605" s="497"/>
      <c r="CA605" s="497"/>
      <c r="CB605" s="497"/>
      <c r="CC605" s="497"/>
      <c r="CD605" s="497"/>
      <c r="CE605" s="497"/>
      <c r="CF605" s="497"/>
      <c r="CG605" s="497"/>
      <c r="CH605" s="497"/>
    </row>
    <row r="606" spans="1:86" s="335" customFormat="1">
      <c r="A606" s="517"/>
      <c r="B606" s="517"/>
      <c r="C606" s="517"/>
      <c r="D606" s="517"/>
      <c r="E606" s="517"/>
      <c r="F606" s="517"/>
      <c r="G606" s="517"/>
      <c r="H606" s="639"/>
      <c r="I606" s="639"/>
      <c r="J606" s="336"/>
      <c r="K606" s="2056"/>
      <c r="L606" s="337"/>
      <c r="N606" s="2057"/>
      <c r="O606" s="337"/>
      <c r="P606" s="337"/>
      <c r="Q606" s="337"/>
      <c r="R606" s="337"/>
      <c r="S606" s="337"/>
      <c r="T606" s="337"/>
      <c r="U606" s="497"/>
      <c r="V606" s="497"/>
      <c r="W606" s="497"/>
      <c r="X606" s="497"/>
      <c r="Y606" s="497"/>
      <c r="Z606" s="497"/>
      <c r="AA606" s="497"/>
      <c r="AB606" s="497"/>
      <c r="AC606" s="497"/>
      <c r="AD606" s="497"/>
      <c r="AE606" s="497"/>
      <c r="AF606" s="497"/>
      <c r="AG606" s="497"/>
      <c r="AH606" s="497"/>
      <c r="AI606" s="497"/>
      <c r="AJ606" s="497"/>
      <c r="AK606" s="497"/>
      <c r="AL606" s="497"/>
      <c r="AM606" s="497"/>
      <c r="AN606" s="497"/>
      <c r="AO606" s="497"/>
      <c r="AP606" s="497"/>
      <c r="AQ606" s="497"/>
      <c r="AR606" s="497"/>
      <c r="AS606" s="497"/>
      <c r="AT606" s="497"/>
      <c r="AU606" s="497"/>
      <c r="AV606" s="497"/>
      <c r="AW606" s="497"/>
      <c r="AX606" s="497"/>
      <c r="AY606" s="497"/>
      <c r="AZ606" s="497"/>
      <c r="BA606" s="497"/>
      <c r="BB606" s="497"/>
      <c r="BC606" s="497"/>
      <c r="BD606" s="497"/>
      <c r="BE606" s="497"/>
      <c r="BF606" s="497"/>
      <c r="BG606" s="497"/>
      <c r="BH606" s="497"/>
      <c r="BI606" s="497"/>
      <c r="BJ606" s="497"/>
      <c r="BK606" s="497"/>
      <c r="BL606" s="497"/>
      <c r="BM606" s="497"/>
      <c r="BN606" s="497"/>
      <c r="BO606" s="497"/>
      <c r="BP606" s="497"/>
      <c r="BQ606" s="497"/>
      <c r="BR606" s="497"/>
      <c r="BS606" s="497"/>
      <c r="BT606" s="497"/>
      <c r="BU606" s="497"/>
      <c r="BV606" s="497"/>
      <c r="BW606" s="497"/>
      <c r="BX606" s="497"/>
      <c r="BY606" s="497"/>
      <c r="BZ606" s="497"/>
      <c r="CA606" s="497"/>
      <c r="CB606" s="497"/>
      <c r="CC606" s="497"/>
      <c r="CD606" s="497"/>
      <c r="CE606" s="497"/>
      <c r="CF606" s="497"/>
      <c r="CG606" s="497"/>
      <c r="CH606" s="497"/>
    </row>
    <row r="607" spans="1:86" s="335" customFormat="1">
      <c r="A607" s="517"/>
      <c r="B607" s="517"/>
      <c r="C607" s="517"/>
      <c r="D607" s="517"/>
      <c r="E607" s="517"/>
      <c r="F607" s="517"/>
      <c r="G607" s="517"/>
      <c r="H607" s="639"/>
      <c r="I607" s="639"/>
      <c r="J607" s="336"/>
      <c r="K607" s="2056"/>
      <c r="L607" s="337"/>
      <c r="N607" s="2057"/>
      <c r="O607" s="337"/>
      <c r="P607" s="337"/>
      <c r="Q607" s="337"/>
      <c r="R607" s="337"/>
      <c r="S607" s="337"/>
      <c r="T607" s="337"/>
      <c r="U607" s="497"/>
      <c r="V607" s="497"/>
      <c r="W607" s="497"/>
      <c r="X607" s="497"/>
      <c r="Y607" s="497"/>
      <c r="Z607" s="497"/>
      <c r="AA607" s="497"/>
      <c r="AB607" s="497"/>
      <c r="AC607" s="497"/>
      <c r="AD607" s="497"/>
      <c r="AE607" s="497"/>
      <c r="AF607" s="497"/>
      <c r="AG607" s="497"/>
      <c r="AH607" s="497"/>
      <c r="AI607" s="497"/>
      <c r="AJ607" s="497"/>
      <c r="AK607" s="497"/>
      <c r="AL607" s="497"/>
      <c r="AM607" s="497"/>
      <c r="AN607" s="497"/>
      <c r="AO607" s="497"/>
      <c r="AP607" s="497"/>
      <c r="AQ607" s="497"/>
      <c r="AR607" s="497"/>
      <c r="AS607" s="497"/>
      <c r="AT607" s="497"/>
      <c r="AU607" s="497"/>
      <c r="AV607" s="497"/>
      <c r="AW607" s="497"/>
      <c r="AX607" s="497"/>
      <c r="AY607" s="497"/>
      <c r="AZ607" s="497"/>
      <c r="BA607" s="497"/>
      <c r="BB607" s="497"/>
      <c r="BC607" s="497"/>
      <c r="BD607" s="497"/>
      <c r="BE607" s="497"/>
      <c r="BF607" s="497"/>
      <c r="BG607" s="497"/>
      <c r="BH607" s="497"/>
      <c r="BI607" s="497"/>
      <c r="BJ607" s="497"/>
      <c r="BK607" s="497"/>
      <c r="BL607" s="497"/>
      <c r="BM607" s="497"/>
      <c r="BN607" s="497"/>
      <c r="BO607" s="497"/>
      <c r="BP607" s="497"/>
      <c r="BQ607" s="497"/>
      <c r="BR607" s="497"/>
      <c r="BS607" s="497"/>
      <c r="BT607" s="497"/>
      <c r="BU607" s="497"/>
      <c r="BV607" s="497"/>
      <c r="BW607" s="497"/>
      <c r="BX607" s="497"/>
      <c r="BY607" s="497"/>
      <c r="BZ607" s="497"/>
      <c r="CA607" s="497"/>
      <c r="CB607" s="497"/>
      <c r="CC607" s="497"/>
      <c r="CD607" s="497"/>
      <c r="CE607" s="497"/>
      <c r="CF607" s="497"/>
      <c r="CG607" s="497"/>
      <c r="CH607" s="497"/>
    </row>
    <row r="608" spans="1:86" s="335" customFormat="1">
      <c r="A608" s="517"/>
      <c r="B608" s="517"/>
      <c r="C608" s="517"/>
      <c r="D608" s="517"/>
      <c r="E608" s="517"/>
      <c r="F608" s="517"/>
      <c r="G608" s="517"/>
      <c r="H608" s="639"/>
      <c r="I608" s="639"/>
      <c r="J608" s="336"/>
      <c r="K608" s="2056"/>
      <c r="L608" s="337"/>
      <c r="N608" s="2057"/>
      <c r="O608" s="337"/>
      <c r="P608" s="337"/>
      <c r="Q608" s="337"/>
      <c r="R608" s="337"/>
      <c r="S608" s="337"/>
      <c r="T608" s="337"/>
      <c r="U608" s="497"/>
      <c r="V608" s="497"/>
      <c r="W608" s="497"/>
      <c r="X608" s="497"/>
      <c r="Y608" s="497"/>
      <c r="Z608" s="497"/>
      <c r="AA608" s="497"/>
      <c r="AB608" s="497"/>
      <c r="AC608" s="497"/>
      <c r="AD608" s="497"/>
      <c r="AE608" s="497"/>
      <c r="AF608" s="497"/>
      <c r="AG608" s="497"/>
      <c r="AH608" s="497"/>
      <c r="AI608" s="497"/>
      <c r="AJ608" s="497"/>
      <c r="AK608" s="497"/>
      <c r="AL608" s="497"/>
      <c r="AM608" s="497"/>
      <c r="AN608" s="497"/>
      <c r="AO608" s="497"/>
      <c r="AP608" s="497"/>
      <c r="AQ608" s="497"/>
      <c r="AR608" s="497"/>
      <c r="AS608" s="497"/>
      <c r="AT608" s="497"/>
      <c r="AU608" s="497"/>
      <c r="AV608" s="497"/>
      <c r="AW608" s="497"/>
      <c r="AX608" s="497"/>
      <c r="AY608" s="497"/>
      <c r="AZ608" s="497"/>
      <c r="BA608" s="497"/>
      <c r="BB608" s="497"/>
      <c r="BC608" s="497"/>
      <c r="BD608" s="497"/>
      <c r="BE608" s="497"/>
      <c r="BF608" s="497"/>
      <c r="BG608" s="497"/>
      <c r="BH608" s="497"/>
      <c r="BI608" s="497"/>
      <c r="BJ608" s="497"/>
      <c r="BK608" s="497"/>
      <c r="BL608" s="497"/>
      <c r="BM608" s="497"/>
      <c r="BN608" s="497"/>
      <c r="BO608" s="497"/>
      <c r="BP608" s="497"/>
      <c r="BQ608" s="497"/>
      <c r="BR608" s="497"/>
      <c r="BS608" s="497"/>
      <c r="BT608" s="497"/>
      <c r="BU608" s="497"/>
      <c r="BV608" s="497"/>
      <c r="BW608" s="497"/>
      <c r="BX608" s="497"/>
      <c r="BY608" s="497"/>
      <c r="BZ608" s="497"/>
      <c r="CA608" s="497"/>
      <c r="CB608" s="497"/>
      <c r="CC608" s="497"/>
      <c r="CD608" s="497"/>
      <c r="CE608" s="497"/>
      <c r="CF608" s="497"/>
      <c r="CG608" s="497"/>
      <c r="CH608" s="497"/>
    </row>
    <row r="609" spans="1:86" s="335" customFormat="1">
      <c r="A609" s="517"/>
      <c r="B609" s="517"/>
      <c r="C609" s="517"/>
      <c r="D609" s="517"/>
      <c r="E609" s="517"/>
      <c r="F609" s="517"/>
      <c r="G609" s="517"/>
      <c r="H609" s="639"/>
      <c r="I609" s="639"/>
      <c r="J609" s="336"/>
      <c r="K609" s="2056"/>
      <c r="L609" s="337"/>
      <c r="N609" s="2057"/>
      <c r="O609" s="337"/>
      <c r="P609" s="337"/>
      <c r="Q609" s="337"/>
      <c r="R609" s="337"/>
      <c r="S609" s="337"/>
      <c r="T609" s="337"/>
      <c r="U609" s="497"/>
      <c r="V609" s="497"/>
      <c r="W609" s="497"/>
      <c r="X609" s="497"/>
      <c r="Y609" s="497"/>
      <c r="Z609" s="497"/>
      <c r="AA609" s="497"/>
      <c r="AB609" s="497"/>
      <c r="AC609" s="497"/>
      <c r="AD609" s="497"/>
      <c r="AE609" s="497"/>
      <c r="AF609" s="497"/>
      <c r="AG609" s="497"/>
      <c r="AH609" s="497"/>
      <c r="AI609" s="497"/>
      <c r="AJ609" s="497"/>
      <c r="AK609" s="497"/>
      <c r="AL609" s="497"/>
      <c r="AM609" s="497"/>
      <c r="AN609" s="497"/>
      <c r="AO609" s="497"/>
      <c r="AP609" s="497"/>
      <c r="AQ609" s="497"/>
      <c r="AR609" s="497"/>
      <c r="AS609" s="497"/>
      <c r="AT609" s="497"/>
      <c r="AU609" s="497"/>
      <c r="AV609" s="497"/>
      <c r="AW609" s="497"/>
      <c r="AX609" s="497"/>
      <c r="AY609" s="497"/>
      <c r="AZ609" s="497"/>
      <c r="BA609" s="497"/>
      <c r="BB609" s="497"/>
      <c r="BC609" s="497"/>
      <c r="BD609" s="497"/>
      <c r="BE609" s="497"/>
      <c r="BF609" s="497"/>
      <c r="BG609" s="497"/>
      <c r="BH609" s="497"/>
      <c r="BI609" s="497"/>
      <c r="BJ609" s="497"/>
      <c r="BK609" s="497"/>
      <c r="BL609" s="497"/>
      <c r="BM609" s="497"/>
      <c r="BN609" s="497"/>
      <c r="BO609" s="497"/>
      <c r="BP609" s="497"/>
      <c r="BQ609" s="497"/>
      <c r="BR609" s="497"/>
      <c r="BS609" s="497"/>
      <c r="BT609" s="497"/>
      <c r="BU609" s="497"/>
      <c r="BV609" s="497"/>
      <c r="BW609" s="497"/>
      <c r="BX609" s="497"/>
      <c r="BY609" s="497"/>
      <c r="BZ609" s="497"/>
      <c r="CA609" s="497"/>
      <c r="CB609" s="497"/>
      <c r="CC609" s="497"/>
      <c r="CD609" s="497"/>
      <c r="CE609" s="497"/>
      <c r="CF609" s="497"/>
      <c r="CG609" s="497"/>
      <c r="CH609" s="497"/>
    </row>
    <row r="610" spans="1:86" s="335" customFormat="1">
      <c r="A610" s="517"/>
      <c r="B610" s="517"/>
      <c r="C610" s="517"/>
      <c r="D610" s="517"/>
      <c r="E610" s="517"/>
      <c r="F610" s="517"/>
      <c r="G610" s="517"/>
      <c r="H610" s="639"/>
      <c r="I610" s="639"/>
      <c r="J610" s="336"/>
      <c r="K610" s="2056"/>
      <c r="L610" s="337"/>
      <c r="N610" s="2057"/>
      <c r="O610" s="337"/>
      <c r="P610" s="337"/>
      <c r="Q610" s="337"/>
      <c r="R610" s="337"/>
      <c r="S610" s="337"/>
      <c r="T610" s="337"/>
      <c r="U610" s="497"/>
      <c r="V610" s="497"/>
      <c r="W610" s="497"/>
      <c r="X610" s="497"/>
      <c r="Y610" s="497"/>
      <c r="Z610" s="497"/>
      <c r="AA610" s="497"/>
      <c r="AB610" s="497"/>
      <c r="AC610" s="497"/>
      <c r="AD610" s="497"/>
      <c r="AE610" s="497"/>
      <c r="AF610" s="497"/>
      <c r="AG610" s="497"/>
      <c r="AH610" s="497"/>
      <c r="AI610" s="497"/>
      <c r="AJ610" s="497"/>
      <c r="AK610" s="497"/>
      <c r="AL610" s="497"/>
      <c r="AM610" s="497"/>
      <c r="AN610" s="497"/>
      <c r="AO610" s="497"/>
      <c r="AP610" s="497"/>
      <c r="AQ610" s="497"/>
      <c r="AR610" s="497"/>
      <c r="AS610" s="497"/>
      <c r="AT610" s="497"/>
      <c r="AU610" s="497"/>
      <c r="AV610" s="497"/>
      <c r="AW610" s="497"/>
      <c r="AX610" s="497"/>
      <c r="AY610" s="497"/>
      <c r="AZ610" s="497"/>
      <c r="BA610" s="497"/>
      <c r="BB610" s="497"/>
      <c r="BC610" s="497"/>
      <c r="BD610" s="497"/>
      <c r="BE610" s="497"/>
      <c r="BF610" s="497"/>
      <c r="BG610" s="497"/>
      <c r="BH610" s="497"/>
      <c r="BI610" s="497"/>
      <c r="BJ610" s="497"/>
      <c r="BK610" s="497"/>
      <c r="BL610" s="497"/>
      <c r="BM610" s="497"/>
      <c r="BN610" s="497"/>
      <c r="BO610" s="497"/>
      <c r="BP610" s="497"/>
      <c r="BQ610" s="497"/>
      <c r="BR610" s="497"/>
      <c r="BS610" s="497"/>
      <c r="BT610" s="497"/>
      <c r="BU610" s="497"/>
      <c r="BV610" s="497"/>
      <c r="BW610" s="497"/>
      <c r="BX610" s="497"/>
      <c r="BY610" s="497"/>
      <c r="BZ610" s="497"/>
      <c r="CA610" s="497"/>
      <c r="CB610" s="497"/>
      <c r="CC610" s="497"/>
      <c r="CD610" s="497"/>
      <c r="CE610" s="497"/>
      <c r="CF610" s="497"/>
      <c r="CG610" s="497"/>
      <c r="CH610" s="497"/>
    </row>
    <row r="611" spans="1:86" s="335" customFormat="1">
      <c r="A611" s="517"/>
      <c r="B611" s="517"/>
      <c r="C611" s="517"/>
      <c r="D611" s="517"/>
      <c r="E611" s="517"/>
      <c r="F611" s="517"/>
      <c r="G611" s="517"/>
      <c r="H611" s="639"/>
      <c r="I611" s="639"/>
      <c r="J611" s="336"/>
      <c r="K611" s="2056"/>
      <c r="L611" s="337"/>
      <c r="N611" s="2057"/>
      <c r="O611" s="337"/>
      <c r="P611" s="337"/>
      <c r="Q611" s="337"/>
      <c r="R611" s="337"/>
      <c r="S611" s="337"/>
      <c r="T611" s="337"/>
      <c r="U611" s="497"/>
      <c r="V611" s="497"/>
      <c r="W611" s="497"/>
      <c r="X611" s="497"/>
      <c r="Y611" s="497"/>
      <c r="Z611" s="497"/>
      <c r="AA611" s="497"/>
      <c r="AB611" s="497"/>
      <c r="AC611" s="497"/>
      <c r="AD611" s="497"/>
      <c r="AE611" s="497"/>
      <c r="AF611" s="497"/>
      <c r="AG611" s="497"/>
      <c r="AH611" s="497"/>
      <c r="AI611" s="497"/>
      <c r="AJ611" s="497"/>
      <c r="AK611" s="497"/>
      <c r="AL611" s="497"/>
      <c r="AM611" s="497"/>
      <c r="AN611" s="497"/>
      <c r="AO611" s="497"/>
      <c r="AP611" s="497"/>
      <c r="AQ611" s="497"/>
      <c r="AR611" s="497"/>
      <c r="AS611" s="497"/>
      <c r="AT611" s="497"/>
      <c r="AU611" s="497"/>
      <c r="AV611" s="497"/>
      <c r="AW611" s="497"/>
      <c r="AX611" s="497"/>
      <c r="AY611" s="497"/>
      <c r="AZ611" s="497"/>
      <c r="BA611" s="497"/>
      <c r="BB611" s="497"/>
      <c r="BC611" s="497"/>
      <c r="BD611" s="497"/>
      <c r="BE611" s="497"/>
      <c r="BF611" s="497"/>
      <c r="BG611" s="497"/>
      <c r="BH611" s="497"/>
      <c r="BI611" s="497"/>
      <c r="BJ611" s="497"/>
      <c r="BK611" s="497"/>
      <c r="BL611" s="497"/>
      <c r="BM611" s="497"/>
      <c r="BN611" s="497"/>
      <c r="BO611" s="497"/>
      <c r="BP611" s="497"/>
      <c r="BQ611" s="497"/>
      <c r="BR611" s="497"/>
      <c r="BS611" s="497"/>
      <c r="BT611" s="497"/>
      <c r="BU611" s="497"/>
      <c r="BV611" s="497"/>
      <c r="BW611" s="497"/>
      <c r="BX611" s="497"/>
      <c r="BY611" s="497"/>
      <c r="BZ611" s="497"/>
      <c r="CA611" s="497"/>
      <c r="CB611" s="497"/>
      <c r="CC611" s="497"/>
      <c r="CD611" s="497"/>
      <c r="CE611" s="497"/>
      <c r="CF611" s="497"/>
      <c r="CG611" s="497"/>
      <c r="CH611" s="497"/>
    </row>
    <row r="612" spans="1:86" s="335" customFormat="1">
      <c r="A612" s="517"/>
      <c r="B612" s="517"/>
      <c r="C612" s="517"/>
      <c r="D612" s="517"/>
      <c r="E612" s="517"/>
      <c r="F612" s="517"/>
      <c r="G612" s="517"/>
      <c r="H612" s="639"/>
      <c r="I612" s="639"/>
      <c r="J612" s="336"/>
      <c r="K612" s="2056"/>
      <c r="L612" s="337"/>
      <c r="N612" s="2057"/>
      <c r="O612" s="337"/>
      <c r="P612" s="337"/>
      <c r="Q612" s="337"/>
      <c r="R612" s="337"/>
      <c r="S612" s="337"/>
      <c r="T612" s="337"/>
      <c r="U612" s="497"/>
      <c r="V612" s="497"/>
      <c r="W612" s="497"/>
      <c r="X612" s="497"/>
      <c r="Y612" s="497"/>
      <c r="Z612" s="497"/>
      <c r="AA612" s="497"/>
      <c r="AB612" s="497"/>
      <c r="AC612" s="497"/>
      <c r="AD612" s="497"/>
      <c r="AE612" s="497"/>
      <c r="AF612" s="497"/>
      <c r="AG612" s="497"/>
      <c r="AH612" s="497"/>
      <c r="AI612" s="497"/>
      <c r="AJ612" s="497"/>
      <c r="AK612" s="497"/>
      <c r="AL612" s="497"/>
      <c r="AM612" s="497"/>
      <c r="AN612" s="497"/>
      <c r="AO612" s="497"/>
      <c r="AP612" s="497"/>
      <c r="AQ612" s="497"/>
      <c r="AR612" s="497"/>
      <c r="AS612" s="497"/>
      <c r="AT612" s="497"/>
      <c r="AU612" s="497"/>
      <c r="AV612" s="497"/>
      <c r="AW612" s="497"/>
      <c r="AX612" s="497"/>
      <c r="AY612" s="497"/>
      <c r="AZ612" s="497"/>
      <c r="BA612" s="497"/>
      <c r="BB612" s="497"/>
      <c r="BC612" s="497"/>
      <c r="BD612" s="497"/>
      <c r="BE612" s="497"/>
      <c r="BF612" s="497"/>
      <c r="BG612" s="497"/>
      <c r="BH612" s="497"/>
      <c r="BI612" s="497"/>
      <c r="BJ612" s="497"/>
      <c r="BK612" s="497"/>
      <c r="BL612" s="497"/>
      <c r="BM612" s="497"/>
      <c r="BN612" s="497"/>
      <c r="BO612" s="497"/>
      <c r="BP612" s="497"/>
      <c r="BQ612" s="497"/>
      <c r="BR612" s="497"/>
      <c r="BS612" s="497"/>
      <c r="BT612" s="497"/>
      <c r="BU612" s="497"/>
      <c r="BV612" s="497"/>
      <c r="BW612" s="497"/>
      <c r="BX612" s="497"/>
      <c r="BY612" s="497"/>
      <c r="BZ612" s="497"/>
      <c r="CA612" s="497"/>
      <c r="CB612" s="497"/>
      <c r="CC612" s="497"/>
      <c r="CD612" s="497"/>
      <c r="CE612" s="497"/>
      <c r="CF612" s="497"/>
      <c r="CG612" s="497"/>
      <c r="CH612" s="497"/>
    </row>
    <row r="613" spans="1:86" s="335" customFormat="1">
      <c r="A613" s="517"/>
      <c r="B613" s="517"/>
      <c r="C613" s="517"/>
      <c r="D613" s="517"/>
      <c r="E613" s="517"/>
      <c r="F613" s="517"/>
      <c r="G613" s="517"/>
      <c r="H613" s="639"/>
      <c r="I613" s="639"/>
      <c r="J613" s="336"/>
      <c r="K613" s="2056"/>
      <c r="L613" s="337"/>
      <c r="N613" s="2057"/>
      <c r="O613" s="337"/>
      <c r="P613" s="337"/>
      <c r="Q613" s="337"/>
      <c r="R613" s="337"/>
      <c r="S613" s="337"/>
      <c r="T613" s="337"/>
      <c r="U613" s="497"/>
      <c r="V613" s="497"/>
      <c r="W613" s="497"/>
      <c r="X613" s="497"/>
      <c r="Y613" s="497"/>
      <c r="Z613" s="497"/>
      <c r="AA613" s="497"/>
      <c r="AB613" s="497"/>
      <c r="AC613" s="497"/>
      <c r="AD613" s="497"/>
      <c r="AE613" s="497"/>
      <c r="AF613" s="497"/>
      <c r="AG613" s="497"/>
      <c r="AH613" s="497"/>
      <c r="AI613" s="497"/>
      <c r="AJ613" s="497"/>
      <c r="AK613" s="497"/>
      <c r="AL613" s="497"/>
      <c r="AM613" s="497"/>
      <c r="AN613" s="497"/>
      <c r="AO613" s="497"/>
      <c r="AP613" s="497"/>
      <c r="AQ613" s="497"/>
      <c r="AR613" s="497"/>
      <c r="AS613" s="497"/>
      <c r="AT613" s="497"/>
      <c r="AU613" s="497"/>
      <c r="AV613" s="497"/>
      <c r="AW613" s="497"/>
      <c r="AX613" s="497"/>
      <c r="AY613" s="497"/>
      <c r="AZ613" s="497"/>
      <c r="BA613" s="497"/>
      <c r="BB613" s="497"/>
      <c r="BC613" s="497"/>
      <c r="BD613" s="497"/>
      <c r="BE613" s="497"/>
      <c r="BF613" s="497"/>
      <c r="BG613" s="497"/>
      <c r="BH613" s="497"/>
      <c r="BI613" s="497"/>
      <c r="BJ613" s="497"/>
      <c r="BK613" s="497"/>
      <c r="BL613" s="497"/>
      <c r="BM613" s="497"/>
      <c r="BN613" s="497"/>
      <c r="BO613" s="497"/>
      <c r="BP613" s="497"/>
      <c r="BQ613" s="497"/>
      <c r="BR613" s="497"/>
      <c r="BS613" s="497"/>
      <c r="BT613" s="497"/>
      <c r="BU613" s="497"/>
      <c r="BV613" s="497"/>
      <c r="BW613" s="497"/>
      <c r="BX613" s="497"/>
      <c r="BY613" s="497"/>
      <c r="BZ613" s="497"/>
      <c r="CA613" s="497"/>
      <c r="CB613" s="497"/>
      <c r="CC613" s="497"/>
      <c r="CD613" s="497"/>
      <c r="CE613" s="497"/>
      <c r="CF613" s="497"/>
      <c r="CG613" s="497"/>
      <c r="CH613" s="497"/>
    </row>
    <row r="614" spans="1:86" s="335" customFormat="1">
      <c r="A614" s="517"/>
      <c r="B614" s="517"/>
      <c r="C614" s="517"/>
      <c r="D614" s="517"/>
      <c r="E614" s="517"/>
      <c r="F614" s="517"/>
      <c r="G614" s="517"/>
      <c r="H614" s="639"/>
      <c r="I614" s="639"/>
      <c r="J614" s="336"/>
      <c r="K614" s="2056"/>
      <c r="L614" s="337"/>
      <c r="N614" s="2057"/>
      <c r="O614" s="337"/>
      <c r="P614" s="337"/>
      <c r="Q614" s="337"/>
      <c r="R614" s="337"/>
      <c r="S614" s="337"/>
      <c r="T614" s="337"/>
      <c r="U614" s="497"/>
      <c r="V614" s="497"/>
      <c r="W614" s="497"/>
      <c r="X614" s="497"/>
      <c r="Y614" s="497"/>
      <c r="Z614" s="497"/>
      <c r="AA614" s="497"/>
      <c r="AB614" s="497"/>
      <c r="AC614" s="497"/>
      <c r="AD614" s="497"/>
      <c r="AE614" s="497"/>
      <c r="AF614" s="497"/>
      <c r="AG614" s="497"/>
      <c r="AH614" s="497"/>
      <c r="AI614" s="497"/>
      <c r="AJ614" s="497"/>
      <c r="AK614" s="497"/>
      <c r="AL614" s="497"/>
      <c r="AM614" s="497"/>
      <c r="AN614" s="497"/>
      <c r="AO614" s="497"/>
      <c r="AP614" s="497"/>
      <c r="AQ614" s="497"/>
      <c r="AR614" s="497"/>
      <c r="AS614" s="497"/>
      <c r="AT614" s="497"/>
      <c r="AU614" s="497"/>
      <c r="AV614" s="497"/>
      <c r="AW614" s="497"/>
      <c r="AX614" s="497"/>
      <c r="AY614" s="497"/>
      <c r="AZ614" s="497"/>
      <c r="BA614" s="497"/>
      <c r="BB614" s="497"/>
      <c r="BC614" s="497"/>
      <c r="BD614" s="497"/>
      <c r="BE614" s="497"/>
      <c r="BF614" s="497"/>
      <c r="BG614" s="497"/>
      <c r="BH614" s="497"/>
      <c r="BI614" s="497"/>
      <c r="BJ614" s="497"/>
      <c r="BK614" s="497"/>
      <c r="BL614" s="497"/>
      <c r="BM614" s="497"/>
      <c r="BN614" s="497"/>
      <c r="BO614" s="497"/>
      <c r="BP614" s="497"/>
      <c r="BQ614" s="497"/>
      <c r="BR614" s="497"/>
      <c r="BS614" s="497"/>
      <c r="BT614" s="497"/>
      <c r="BU614" s="497"/>
      <c r="BV614" s="497"/>
      <c r="BW614" s="497"/>
      <c r="BX614" s="497"/>
      <c r="BY614" s="497"/>
      <c r="BZ614" s="497"/>
      <c r="CA614" s="497"/>
      <c r="CB614" s="497"/>
      <c r="CC614" s="497"/>
      <c r="CD614" s="497"/>
      <c r="CE614" s="497"/>
      <c r="CF614" s="497"/>
      <c r="CG614" s="497"/>
      <c r="CH614" s="497"/>
    </row>
    <row r="615" spans="1:86" s="335" customFormat="1">
      <c r="A615" s="517"/>
      <c r="B615" s="517"/>
      <c r="C615" s="517"/>
      <c r="D615" s="517"/>
      <c r="E615" s="517"/>
      <c r="F615" s="517"/>
      <c r="G615" s="517"/>
      <c r="H615" s="639"/>
      <c r="I615" s="639"/>
      <c r="J615" s="336"/>
      <c r="K615" s="2056"/>
      <c r="L615" s="337"/>
      <c r="N615" s="2057"/>
      <c r="O615" s="337"/>
      <c r="P615" s="337"/>
      <c r="Q615" s="337"/>
      <c r="R615" s="337"/>
      <c r="S615" s="337"/>
      <c r="T615" s="337"/>
      <c r="U615" s="497"/>
      <c r="V615" s="497"/>
      <c r="W615" s="497"/>
      <c r="X615" s="497"/>
      <c r="Y615" s="497"/>
      <c r="Z615" s="497"/>
      <c r="AA615" s="497"/>
      <c r="AB615" s="497"/>
      <c r="AC615" s="497"/>
      <c r="AD615" s="497"/>
      <c r="AE615" s="497"/>
      <c r="AF615" s="497"/>
      <c r="AG615" s="497"/>
      <c r="AH615" s="497"/>
      <c r="AI615" s="497"/>
      <c r="AJ615" s="497"/>
      <c r="AK615" s="497"/>
      <c r="AL615" s="497"/>
      <c r="AM615" s="497"/>
      <c r="AN615" s="497"/>
      <c r="AO615" s="497"/>
      <c r="AP615" s="497"/>
      <c r="AQ615" s="497"/>
      <c r="AR615" s="497"/>
      <c r="AS615" s="497"/>
      <c r="AT615" s="497"/>
      <c r="AU615" s="497"/>
      <c r="AV615" s="497"/>
      <c r="AW615" s="497"/>
      <c r="AX615" s="497"/>
      <c r="AY615" s="497"/>
      <c r="AZ615" s="497"/>
      <c r="BA615" s="497"/>
      <c r="BB615" s="497"/>
      <c r="BC615" s="497"/>
      <c r="BD615" s="497"/>
      <c r="BE615" s="497"/>
      <c r="BF615" s="497"/>
      <c r="BG615" s="497"/>
      <c r="BH615" s="497"/>
      <c r="BI615" s="497"/>
      <c r="BJ615" s="497"/>
      <c r="BK615" s="497"/>
      <c r="BL615" s="497"/>
      <c r="BM615" s="497"/>
      <c r="BN615" s="497"/>
      <c r="BO615" s="497"/>
      <c r="BP615" s="497"/>
      <c r="BQ615" s="497"/>
      <c r="BR615" s="497"/>
      <c r="BS615" s="497"/>
      <c r="BT615" s="497"/>
      <c r="BU615" s="497"/>
      <c r="BV615" s="497"/>
      <c r="BW615" s="497"/>
      <c r="BX615" s="497"/>
      <c r="BY615" s="497"/>
      <c r="BZ615" s="497"/>
      <c r="CA615" s="497"/>
      <c r="CB615" s="497"/>
      <c r="CC615" s="497"/>
      <c r="CD615" s="497"/>
      <c r="CE615" s="497"/>
      <c r="CF615" s="497"/>
      <c r="CG615" s="497"/>
      <c r="CH615" s="497"/>
    </row>
    <row r="616" spans="1:86" s="335" customFormat="1">
      <c r="A616" s="517"/>
      <c r="B616" s="517"/>
      <c r="C616" s="517"/>
      <c r="D616" s="517"/>
      <c r="E616" s="517"/>
      <c r="F616" s="517"/>
      <c r="G616" s="517"/>
      <c r="H616" s="639"/>
      <c r="I616" s="639"/>
      <c r="J616" s="336"/>
      <c r="K616" s="2056"/>
      <c r="L616" s="337"/>
      <c r="N616" s="2057"/>
      <c r="O616" s="337"/>
      <c r="P616" s="337"/>
      <c r="Q616" s="337"/>
      <c r="R616" s="337"/>
      <c r="S616" s="337"/>
      <c r="T616" s="337"/>
      <c r="U616" s="497"/>
      <c r="V616" s="497"/>
      <c r="W616" s="497"/>
      <c r="X616" s="497"/>
      <c r="Y616" s="497"/>
      <c r="Z616" s="497"/>
      <c r="AA616" s="497"/>
      <c r="AB616" s="497"/>
      <c r="AC616" s="497"/>
      <c r="AD616" s="497"/>
      <c r="AE616" s="497"/>
      <c r="AF616" s="497"/>
      <c r="AG616" s="497"/>
      <c r="AH616" s="497"/>
      <c r="AI616" s="497"/>
      <c r="AJ616" s="497"/>
      <c r="AK616" s="497"/>
      <c r="AL616" s="497"/>
      <c r="AM616" s="497"/>
      <c r="AN616" s="497"/>
      <c r="AO616" s="497"/>
      <c r="AP616" s="497"/>
      <c r="AQ616" s="497"/>
      <c r="AR616" s="497"/>
      <c r="AS616" s="497"/>
      <c r="AT616" s="497"/>
      <c r="AU616" s="497"/>
      <c r="AV616" s="497"/>
      <c r="AW616" s="497"/>
      <c r="AX616" s="497"/>
      <c r="AY616" s="497"/>
      <c r="AZ616" s="497"/>
      <c r="BA616" s="497"/>
      <c r="BB616" s="497"/>
      <c r="BC616" s="497"/>
      <c r="BD616" s="497"/>
      <c r="BE616" s="497"/>
      <c r="BF616" s="497"/>
      <c r="BG616" s="497"/>
      <c r="BH616" s="497"/>
      <c r="BI616" s="497"/>
      <c r="BJ616" s="497"/>
      <c r="BK616" s="497"/>
      <c r="BL616" s="497"/>
      <c r="BM616" s="497"/>
      <c r="BN616" s="497"/>
      <c r="BO616" s="497"/>
      <c r="BP616" s="497"/>
      <c r="BQ616" s="497"/>
      <c r="BR616" s="497"/>
      <c r="BS616" s="497"/>
      <c r="BT616" s="497"/>
      <c r="BU616" s="497"/>
      <c r="BV616" s="497"/>
      <c r="BW616" s="497"/>
      <c r="BX616" s="497"/>
      <c r="BY616" s="497"/>
      <c r="BZ616" s="497"/>
      <c r="CA616" s="497"/>
      <c r="CB616" s="497"/>
      <c r="CC616" s="497"/>
      <c r="CD616" s="497"/>
      <c r="CE616" s="497"/>
      <c r="CF616" s="497"/>
      <c r="CG616" s="497"/>
      <c r="CH616" s="497"/>
    </row>
    <row r="617" spans="1:86" s="335" customFormat="1">
      <c r="A617" s="517"/>
      <c r="B617" s="517"/>
      <c r="C617" s="517"/>
      <c r="D617" s="517"/>
      <c r="E617" s="517"/>
      <c r="F617" s="517"/>
      <c r="G617" s="517"/>
      <c r="H617" s="639"/>
      <c r="I617" s="639"/>
      <c r="J617" s="336"/>
      <c r="K617" s="2056"/>
      <c r="L617" s="337"/>
      <c r="N617" s="2057"/>
      <c r="O617" s="337"/>
      <c r="P617" s="337"/>
      <c r="Q617" s="337"/>
      <c r="R617" s="337"/>
      <c r="S617" s="337"/>
      <c r="T617" s="337"/>
      <c r="U617" s="497"/>
      <c r="V617" s="497"/>
      <c r="W617" s="497"/>
      <c r="X617" s="497"/>
      <c r="Y617" s="497"/>
      <c r="Z617" s="497"/>
      <c r="AA617" s="497"/>
      <c r="AB617" s="497"/>
      <c r="AC617" s="497"/>
      <c r="AD617" s="497"/>
      <c r="AE617" s="497"/>
      <c r="AF617" s="497"/>
      <c r="AG617" s="497"/>
      <c r="AH617" s="497"/>
      <c r="AI617" s="497"/>
      <c r="AJ617" s="497"/>
      <c r="AK617" s="497"/>
      <c r="AL617" s="497"/>
      <c r="AM617" s="497"/>
      <c r="AN617" s="497"/>
      <c r="AO617" s="497"/>
      <c r="AP617" s="497"/>
      <c r="AQ617" s="497"/>
      <c r="AR617" s="497"/>
      <c r="AS617" s="497"/>
      <c r="AT617" s="497"/>
      <c r="AU617" s="497"/>
      <c r="AV617" s="497"/>
      <c r="AW617" s="497"/>
      <c r="AX617" s="497"/>
      <c r="AY617" s="497"/>
      <c r="AZ617" s="497"/>
      <c r="BA617" s="497"/>
      <c r="BB617" s="497"/>
      <c r="BC617" s="497"/>
      <c r="BD617" s="497"/>
      <c r="BE617" s="497"/>
      <c r="BF617" s="497"/>
      <c r="BG617" s="497"/>
      <c r="BH617" s="497"/>
      <c r="BI617" s="497"/>
      <c r="BJ617" s="497"/>
      <c r="BK617" s="497"/>
      <c r="BL617" s="497"/>
      <c r="BM617" s="497"/>
      <c r="BN617" s="497"/>
      <c r="BO617" s="497"/>
      <c r="BP617" s="497"/>
      <c r="BQ617" s="497"/>
      <c r="BR617" s="497"/>
      <c r="BS617" s="497"/>
      <c r="BT617" s="497"/>
      <c r="BU617" s="497"/>
      <c r="BV617" s="497"/>
      <c r="BW617" s="497"/>
      <c r="BX617" s="497"/>
      <c r="BY617" s="497"/>
      <c r="BZ617" s="497"/>
      <c r="CA617" s="497"/>
      <c r="CB617" s="497"/>
      <c r="CC617" s="497"/>
      <c r="CD617" s="497"/>
      <c r="CE617" s="497"/>
      <c r="CF617" s="497"/>
      <c r="CG617" s="497"/>
      <c r="CH617" s="497"/>
    </row>
    <row r="618" spans="1:86" s="335" customFormat="1">
      <c r="A618" s="517"/>
      <c r="B618" s="517"/>
      <c r="C618" s="517"/>
      <c r="D618" s="517"/>
      <c r="E618" s="517"/>
      <c r="F618" s="517"/>
      <c r="G618" s="517"/>
      <c r="H618" s="639"/>
      <c r="I618" s="639"/>
      <c r="J618" s="336"/>
      <c r="K618" s="2056"/>
      <c r="L618" s="337"/>
      <c r="N618" s="2057"/>
      <c r="O618" s="337"/>
      <c r="P618" s="337"/>
      <c r="Q618" s="337"/>
      <c r="R618" s="337"/>
      <c r="S618" s="337"/>
      <c r="T618" s="337"/>
      <c r="U618" s="497"/>
      <c r="V618" s="497"/>
      <c r="W618" s="497"/>
      <c r="X618" s="497"/>
      <c r="Y618" s="497"/>
      <c r="Z618" s="497"/>
      <c r="AA618" s="497"/>
      <c r="AB618" s="497"/>
      <c r="AC618" s="497"/>
      <c r="AD618" s="497"/>
      <c r="AE618" s="497"/>
      <c r="AF618" s="497"/>
      <c r="AG618" s="497"/>
      <c r="AH618" s="497"/>
      <c r="AI618" s="497"/>
      <c r="AJ618" s="497"/>
      <c r="AK618" s="497"/>
      <c r="AL618" s="497"/>
      <c r="AM618" s="497"/>
      <c r="AN618" s="497"/>
      <c r="AO618" s="497"/>
      <c r="AP618" s="497"/>
      <c r="AQ618" s="497"/>
      <c r="AR618" s="497"/>
      <c r="AS618" s="497"/>
      <c r="AT618" s="497"/>
      <c r="AU618" s="497"/>
      <c r="AV618" s="497"/>
      <c r="AW618" s="497"/>
      <c r="AX618" s="497"/>
      <c r="AY618" s="497"/>
      <c r="AZ618" s="497"/>
      <c r="BA618" s="497"/>
      <c r="BB618" s="497"/>
      <c r="BC618" s="497"/>
      <c r="BD618" s="497"/>
      <c r="BE618" s="497"/>
      <c r="BF618" s="497"/>
      <c r="BG618" s="497"/>
      <c r="BH618" s="497"/>
      <c r="BI618" s="497"/>
      <c r="BJ618" s="497"/>
      <c r="BK618" s="497"/>
      <c r="BL618" s="497"/>
      <c r="BM618" s="497"/>
      <c r="BN618" s="497"/>
      <c r="BO618" s="497"/>
      <c r="BP618" s="497"/>
      <c r="BQ618" s="497"/>
      <c r="BR618" s="497"/>
      <c r="BS618" s="497"/>
      <c r="BT618" s="497"/>
      <c r="BU618" s="497"/>
      <c r="BV618" s="497"/>
      <c r="BW618" s="497"/>
      <c r="BX618" s="497"/>
      <c r="BY618" s="497"/>
      <c r="BZ618" s="497"/>
      <c r="CA618" s="497"/>
      <c r="CB618" s="497"/>
      <c r="CC618" s="497"/>
      <c r="CD618" s="497"/>
      <c r="CE618" s="497"/>
      <c r="CF618" s="497"/>
      <c r="CG618" s="497"/>
      <c r="CH618" s="497"/>
    </row>
    <row r="619" spans="1:86" s="335" customFormat="1">
      <c r="A619" s="517"/>
      <c r="B619" s="517"/>
      <c r="C619" s="517"/>
      <c r="D619" s="517"/>
      <c r="E619" s="517"/>
      <c r="F619" s="517"/>
      <c r="G619" s="517"/>
      <c r="H619" s="639"/>
      <c r="I619" s="639"/>
      <c r="J619" s="336"/>
      <c r="K619" s="2056"/>
      <c r="L619" s="337"/>
      <c r="N619" s="2057"/>
      <c r="O619" s="337"/>
      <c r="P619" s="337"/>
      <c r="Q619" s="337"/>
      <c r="R619" s="337"/>
      <c r="S619" s="337"/>
      <c r="T619" s="337"/>
      <c r="U619" s="497"/>
      <c r="V619" s="497"/>
      <c r="W619" s="497"/>
      <c r="X619" s="497"/>
      <c r="Y619" s="497"/>
      <c r="Z619" s="497"/>
      <c r="AA619" s="497"/>
      <c r="AB619" s="497"/>
      <c r="AC619" s="497"/>
      <c r="AD619" s="497"/>
      <c r="AE619" s="497"/>
      <c r="AF619" s="497"/>
      <c r="AG619" s="497"/>
      <c r="AH619" s="497"/>
      <c r="AI619" s="497"/>
      <c r="AJ619" s="497"/>
      <c r="AK619" s="497"/>
      <c r="AL619" s="497"/>
      <c r="AM619" s="497"/>
      <c r="AN619" s="497"/>
      <c r="AO619" s="497"/>
      <c r="AP619" s="497"/>
      <c r="AQ619" s="497"/>
      <c r="AR619" s="497"/>
      <c r="AS619" s="497"/>
      <c r="AT619" s="497"/>
      <c r="AU619" s="497"/>
      <c r="AV619" s="497"/>
      <c r="AW619" s="497"/>
      <c r="AX619" s="497"/>
      <c r="AY619" s="497"/>
      <c r="AZ619" s="497"/>
      <c r="BA619" s="497"/>
      <c r="BB619" s="497"/>
      <c r="BC619" s="497"/>
      <c r="BD619" s="497"/>
      <c r="BE619" s="497"/>
      <c r="BF619" s="497"/>
      <c r="BG619" s="497"/>
      <c r="BH619" s="497"/>
      <c r="BI619" s="497"/>
      <c r="BJ619" s="497"/>
      <c r="BK619" s="497"/>
      <c r="BL619" s="497"/>
      <c r="BM619" s="497"/>
      <c r="BN619" s="497"/>
      <c r="BO619" s="497"/>
      <c r="BP619" s="497"/>
      <c r="BQ619" s="497"/>
      <c r="BR619" s="497"/>
      <c r="BS619" s="497"/>
      <c r="BT619" s="497"/>
      <c r="BU619" s="497"/>
      <c r="BV619" s="497"/>
      <c r="BW619" s="497"/>
      <c r="BX619" s="497"/>
      <c r="BY619" s="497"/>
      <c r="BZ619" s="497"/>
      <c r="CA619" s="497"/>
      <c r="CB619" s="497"/>
      <c r="CC619" s="497"/>
      <c r="CD619" s="497"/>
      <c r="CE619" s="497"/>
      <c r="CF619" s="497"/>
      <c r="CG619" s="497"/>
      <c r="CH619" s="497"/>
    </row>
    <row r="620" spans="1:86" s="335" customFormat="1">
      <c r="A620" s="517"/>
      <c r="B620" s="517"/>
      <c r="C620" s="517"/>
      <c r="D620" s="517"/>
      <c r="E620" s="517"/>
      <c r="F620" s="517"/>
      <c r="G620" s="517"/>
      <c r="H620" s="639"/>
      <c r="I620" s="639"/>
      <c r="J620" s="336"/>
      <c r="K620" s="2056"/>
      <c r="L620" s="337"/>
      <c r="N620" s="2057"/>
      <c r="O620" s="337"/>
      <c r="P620" s="337"/>
      <c r="Q620" s="337"/>
      <c r="R620" s="337"/>
      <c r="S620" s="337"/>
      <c r="T620" s="337"/>
      <c r="U620" s="497"/>
      <c r="V620" s="497"/>
      <c r="W620" s="497"/>
      <c r="X620" s="497"/>
      <c r="Y620" s="497"/>
      <c r="Z620" s="497"/>
      <c r="AA620" s="497"/>
      <c r="AB620" s="497"/>
      <c r="AC620" s="497"/>
      <c r="AD620" s="497"/>
      <c r="AE620" s="497"/>
      <c r="AF620" s="497"/>
      <c r="AG620" s="497"/>
      <c r="AH620" s="497"/>
      <c r="AI620" s="497"/>
      <c r="AJ620" s="497"/>
      <c r="AK620" s="497"/>
      <c r="AL620" s="497"/>
      <c r="AM620" s="497"/>
      <c r="AN620" s="497"/>
      <c r="AO620" s="497"/>
      <c r="AP620" s="497"/>
      <c r="AQ620" s="497"/>
      <c r="AR620" s="497"/>
      <c r="AS620" s="497"/>
      <c r="AT620" s="497"/>
      <c r="AU620" s="497"/>
      <c r="AV620" s="497"/>
      <c r="AW620" s="497"/>
      <c r="AX620" s="497"/>
      <c r="AY620" s="497"/>
      <c r="AZ620" s="497"/>
      <c r="BA620" s="497"/>
      <c r="BB620" s="497"/>
      <c r="BC620" s="497"/>
      <c r="BD620" s="497"/>
      <c r="BE620" s="497"/>
      <c r="BF620" s="497"/>
      <c r="BG620" s="497"/>
      <c r="BH620" s="497"/>
      <c r="BI620" s="497"/>
      <c r="BJ620" s="497"/>
      <c r="BK620" s="497"/>
      <c r="BL620" s="497"/>
      <c r="BM620" s="497"/>
      <c r="BN620" s="497"/>
      <c r="BO620" s="497"/>
      <c r="BP620" s="497"/>
      <c r="BQ620" s="497"/>
      <c r="BR620" s="497"/>
      <c r="BS620" s="497"/>
      <c r="BT620" s="497"/>
      <c r="BU620" s="497"/>
      <c r="BV620" s="497"/>
      <c r="BW620" s="497"/>
      <c r="BX620" s="497"/>
      <c r="BY620" s="497"/>
      <c r="BZ620" s="497"/>
      <c r="CA620" s="497"/>
      <c r="CB620" s="497"/>
      <c r="CC620" s="497"/>
      <c r="CD620" s="497"/>
      <c r="CE620" s="497"/>
      <c r="CF620" s="497"/>
      <c r="CG620" s="497"/>
      <c r="CH620" s="497"/>
    </row>
    <row r="621" spans="1:86" s="335" customFormat="1">
      <c r="A621" s="517"/>
      <c r="B621" s="517"/>
      <c r="C621" s="517"/>
      <c r="D621" s="517"/>
      <c r="E621" s="517"/>
      <c r="F621" s="517"/>
      <c r="G621" s="517"/>
      <c r="H621" s="639"/>
      <c r="I621" s="639"/>
      <c r="J621" s="336"/>
      <c r="K621" s="2056"/>
      <c r="L621" s="337"/>
      <c r="N621" s="2057"/>
      <c r="O621" s="337"/>
      <c r="P621" s="337"/>
      <c r="Q621" s="337"/>
      <c r="R621" s="337"/>
      <c r="S621" s="337"/>
      <c r="T621" s="337"/>
      <c r="U621" s="497"/>
      <c r="V621" s="497"/>
      <c r="W621" s="497"/>
      <c r="X621" s="497"/>
      <c r="Y621" s="497"/>
      <c r="Z621" s="497"/>
      <c r="AA621" s="497"/>
      <c r="AB621" s="497"/>
      <c r="AC621" s="497"/>
      <c r="AD621" s="497"/>
      <c r="AE621" s="497"/>
      <c r="AF621" s="497"/>
      <c r="AG621" s="497"/>
      <c r="AH621" s="497"/>
      <c r="AI621" s="497"/>
      <c r="AJ621" s="497"/>
      <c r="AK621" s="497"/>
      <c r="AL621" s="497"/>
      <c r="AM621" s="497"/>
      <c r="AN621" s="497"/>
      <c r="AO621" s="497"/>
      <c r="AP621" s="497"/>
      <c r="AQ621" s="497"/>
      <c r="AR621" s="497"/>
      <c r="AS621" s="497"/>
      <c r="AT621" s="497"/>
      <c r="AU621" s="497"/>
      <c r="AV621" s="497"/>
      <c r="AW621" s="497"/>
      <c r="AX621" s="497"/>
      <c r="AY621" s="497"/>
      <c r="AZ621" s="497"/>
      <c r="BA621" s="497"/>
      <c r="BB621" s="497"/>
      <c r="BC621" s="497"/>
      <c r="BD621" s="497"/>
      <c r="BE621" s="497"/>
      <c r="BF621" s="497"/>
      <c r="BG621" s="497"/>
      <c r="BH621" s="497"/>
      <c r="BI621" s="497"/>
      <c r="BJ621" s="497"/>
      <c r="BK621" s="497"/>
      <c r="BL621" s="497"/>
      <c r="BM621" s="497"/>
      <c r="BN621" s="497"/>
      <c r="BO621" s="497"/>
      <c r="BP621" s="497"/>
      <c r="BQ621" s="497"/>
      <c r="BR621" s="497"/>
      <c r="BS621" s="497"/>
      <c r="BT621" s="497"/>
      <c r="BU621" s="497"/>
      <c r="BV621" s="497"/>
      <c r="BW621" s="497"/>
      <c r="BX621" s="497"/>
      <c r="BY621" s="497"/>
      <c r="BZ621" s="497"/>
      <c r="CA621" s="497"/>
      <c r="CB621" s="497"/>
      <c r="CC621" s="497"/>
      <c r="CD621" s="497"/>
      <c r="CE621" s="497"/>
      <c r="CF621" s="497"/>
      <c r="CG621" s="497"/>
      <c r="CH621" s="497"/>
    </row>
    <row r="622" spans="1:86" s="335" customFormat="1">
      <c r="A622" s="517"/>
      <c r="B622" s="517"/>
      <c r="C622" s="517"/>
      <c r="D622" s="517"/>
      <c r="E622" s="517"/>
      <c r="F622" s="517"/>
      <c r="G622" s="517"/>
      <c r="H622" s="639"/>
      <c r="I622" s="639"/>
      <c r="J622" s="336"/>
      <c r="K622" s="2056"/>
      <c r="L622" s="337"/>
      <c r="N622" s="2057"/>
      <c r="O622" s="337"/>
      <c r="P622" s="337"/>
      <c r="Q622" s="337"/>
      <c r="R622" s="337"/>
      <c r="S622" s="337"/>
      <c r="T622" s="337"/>
      <c r="U622" s="497"/>
      <c r="V622" s="497"/>
      <c r="W622" s="497"/>
      <c r="X622" s="497"/>
      <c r="Y622" s="497"/>
      <c r="Z622" s="497"/>
      <c r="AA622" s="497"/>
      <c r="AB622" s="497"/>
      <c r="AC622" s="497"/>
      <c r="AD622" s="497"/>
      <c r="AE622" s="497"/>
      <c r="AF622" s="497"/>
      <c r="AG622" s="497"/>
      <c r="AH622" s="497"/>
      <c r="AI622" s="497"/>
      <c r="AJ622" s="497"/>
      <c r="AK622" s="497"/>
      <c r="AL622" s="497"/>
      <c r="AM622" s="497"/>
      <c r="AN622" s="497"/>
      <c r="AO622" s="497"/>
      <c r="AP622" s="497"/>
      <c r="AQ622" s="497"/>
      <c r="AR622" s="497"/>
      <c r="AS622" s="497"/>
      <c r="AT622" s="497"/>
      <c r="AU622" s="497"/>
      <c r="AV622" s="497"/>
      <c r="AW622" s="497"/>
      <c r="AX622" s="497"/>
      <c r="AY622" s="497"/>
      <c r="AZ622" s="497"/>
      <c r="BA622" s="497"/>
      <c r="BB622" s="497"/>
      <c r="BC622" s="497"/>
      <c r="BD622" s="497"/>
      <c r="BE622" s="497"/>
      <c r="BF622" s="497"/>
      <c r="BG622" s="497"/>
      <c r="BH622" s="497"/>
      <c r="BI622" s="497"/>
      <c r="BJ622" s="497"/>
      <c r="BK622" s="497"/>
      <c r="BL622" s="497"/>
      <c r="BM622" s="497"/>
      <c r="BN622" s="497"/>
      <c r="BO622" s="497"/>
      <c r="BP622" s="497"/>
      <c r="BQ622" s="497"/>
      <c r="BR622" s="497"/>
      <c r="BS622" s="497"/>
      <c r="BT622" s="497"/>
      <c r="BU622" s="497"/>
      <c r="BV622" s="497"/>
      <c r="BW622" s="497"/>
      <c r="BX622" s="497"/>
      <c r="BY622" s="497"/>
      <c r="BZ622" s="497"/>
      <c r="CA622" s="497"/>
      <c r="CB622" s="497"/>
      <c r="CC622" s="497"/>
      <c r="CD622" s="497"/>
      <c r="CE622" s="497"/>
      <c r="CF622" s="497"/>
      <c r="CG622" s="497"/>
      <c r="CH622" s="497"/>
    </row>
    <row r="623" spans="1:86" s="335" customFormat="1">
      <c r="A623" s="517"/>
      <c r="B623" s="517"/>
      <c r="C623" s="517"/>
      <c r="D623" s="517"/>
      <c r="E623" s="517"/>
      <c r="F623" s="517"/>
      <c r="G623" s="517"/>
      <c r="H623" s="639"/>
      <c r="I623" s="639"/>
      <c r="J623" s="336"/>
      <c r="K623" s="2056"/>
      <c r="L623" s="337"/>
      <c r="N623" s="2057"/>
      <c r="O623" s="337"/>
      <c r="P623" s="337"/>
      <c r="Q623" s="337"/>
      <c r="R623" s="337"/>
      <c r="S623" s="337"/>
      <c r="T623" s="337"/>
      <c r="U623" s="497"/>
      <c r="V623" s="497"/>
      <c r="W623" s="497"/>
      <c r="X623" s="497"/>
      <c r="Y623" s="497"/>
      <c r="Z623" s="497"/>
      <c r="AA623" s="497"/>
      <c r="AB623" s="497"/>
      <c r="AC623" s="497"/>
      <c r="AD623" s="497"/>
      <c r="AE623" s="497"/>
      <c r="AF623" s="497"/>
      <c r="AG623" s="497"/>
      <c r="AH623" s="497"/>
      <c r="AI623" s="497"/>
      <c r="AJ623" s="497"/>
      <c r="AK623" s="497"/>
      <c r="AL623" s="497"/>
      <c r="AM623" s="497"/>
      <c r="AN623" s="497"/>
      <c r="AO623" s="497"/>
      <c r="AP623" s="497"/>
      <c r="AQ623" s="497"/>
      <c r="AR623" s="497"/>
      <c r="AS623" s="497"/>
      <c r="AT623" s="497"/>
      <c r="AU623" s="497"/>
      <c r="AV623" s="497"/>
      <c r="AW623" s="497"/>
      <c r="AX623" s="497"/>
      <c r="AY623" s="497"/>
      <c r="AZ623" s="497"/>
      <c r="BA623" s="497"/>
      <c r="BB623" s="497"/>
      <c r="BC623" s="497"/>
      <c r="BD623" s="497"/>
      <c r="BE623" s="497"/>
      <c r="BF623" s="497"/>
      <c r="BG623" s="497"/>
      <c r="BH623" s="497"/>
      <c r="BI623" s="497"/>
      <c r="BJ623" s="497"/>
      <c r="BK623" s="497"/>
      <c r="BL623" s="497"/>
      <c r="BM623" s="497"/>
      <c r="BN623" s="497"/>
      <c r="BO623" s="497"/>
      <c r="BP623" s="497"/>
      <c r="BQ623" s="497"/>
      <c r="BR623" s="497"/>
      <c r="BS623" s="497"/>
      <c r="BT623" s="497"/>
      <c r="BU623" s="497"/>
      <c r="BV623" s="497"/>
      <c r="BW623" s="497"/>
      <c r="BX623" s="497"/>
      <c r="BY623" s="497"/>
      <c r="BZ623" s="497"/>
      <c r="CA623" s="497"/>
      <c r="CB623" s="497"/>
      <c r="CC623" s="497"/>
      <c r="CD623" s="497"/>
      <c r="CE623" s="497"/>
      <c r="CF623" s="497"/>
      <c r="CG623" s="497"/>
      <c r="CH623" s="497"/>
    </row>
    <row r="624" spans="1:86" s="335" customFormat="1">
      <c r="A624" s="517"/>
      <c r="B624" s="517"/>
      <c r="C624" s="517"/>
      <c r="D624" s="517"/>
      <c r="E624" s="517"/>
      <c r="F624" s="517"/>
      <c r="G624" s="517"/>
      <c r="H624" s="639"/>
      <c r="I624" s="639"/>
      <c r="J624" s="336"/>
      <c r="K624" s="2056"/>
      <c r="L624" s="337"/>
      <c r="N624" s="2057"/>
      <c r="O624" s="337"/>
      <c r="P624" s="337"/>
      <c r="Q624" s="337"/>
      <c r="R624" s="337"/>
      <c r="S624" s="337"/>
      <c r="T624" s="337"/>
      <c r="U624" s="497"/>
      <c r="V624" s="497"/>
      <c r="W624" s="497"/>
      <c r="X624" s="497"/>
      <c r="Y624" s="497"/>
      <c r="Z624" s="497"/>
      <c r="AA624" s="497"/>
      <c r="AB624" s="497"/>
      <c r="AC624" s="497"/>
      <c r="AD624" s="497"/>
      <c r="AE624" s="497"/>
      <c r="AF624" s="497"/>
      <c r="AG624" s="497"/>
      <c r="AH624" s="497"/>
      <c r="AI624" s="497"/>
      <c r="AJ624" s="497"/>
      <c r="AK624" s="497"/>
      <c r="AL624" s="497"/>
      <c r="AM624" s="497"/>
      <c r="AN624" s="497"/>
      <c r="AO624" s="497"/>
      <c r="AP624" s="497"/>
      <c r="AQ624" s="497"/>
      <c r="AR624" s="497"/>
      <c r="AS624" s="497"/>
      <c r="AT624" s="497"/>
      <c r="AU624" s="497"/>
      <c r="AV624" s="497"/>
      <c r="AW624" s="497"/>
      <c r="AX624" s="497"/>
      <c r="AY624" s="497"/>
      <c r="AZ624" s="497"/>
      <c r="BA624" s="497"/>
      <c r="BB624" s="497"/>
      <c r="BC624" s="497"/>
      <c r="BD624" s="497"/>
      <c r="BE624" s="497"/>
      <c r="BF624" s="497"/>
      <c r="BG624" s="497"/>
      <c r="BH624" s="497"/>
      <c r="BI624" s="497"/>
      <c r="BJ624" s="497"/>
      <c r="BK624" s="497"/>
      <c r="BL624" s="497"/>
      <c r="BM624" s="497"/>
      <c r="BN624" s="497"/>
      <c r="BO624" s="497"/>
      <c r="BP624" s="497"/>
      <c r="BQ624" s="497"/>
      <c r="BR624" s="497"/>
      <c r="BS624" s="497"/>
      <c r="BT624" s="497"/>
      <c r="BU624" s="497"/>
      <c r="BV624" s="497"/>
      <c r="BW624" s="497"/>
      <c r="BX624" s="497"/>
      <c r="BY624" s="497"/>
      <c r="BZ624" s="497"/>
      <c r="CA624" s="497"/>
      <c r="CB624" s="497"/>
      <c r="CC624" s="497"/>
      <c r="CD624" s="497"/>
      <c r="CE624" s="497"/>
      <c r="CF624" s="497"/>
      <c r="CG624" s="497"/>
      <c r="CH624" s="497"/>
    </row>
    <row r="625" spans="1:86" s="335" customFormat="1">
      <c r="A625" s="517"/>
      <c r="B625" s="517"/>
      <c r="C625" s="517"/>
      <c r="D625" s="517"/>
      <c r="E625" s="517"/>
      <c r="F625" s="517"/>
      <c r="G625" s="517"/>
      <c r="H625" s="639"/>
      <c r="I625" s="639"/>
      <c r="J625" s="336"/>
      <c r="K625" s="2056"/>
      <c r="L625" s="337"/>
      <c r="N625" s="2057"/>
      <c r="O625" s="337"/>
      <c r="P625" s="337"/>
      <c r="Q625" s="337"/>
      <c r="R625" s="337"/>
      <c r="S625" s="337"/>
      <c r="T625" s="337"/>
      <c r="U625" s="497"/>
      <c r="V625" s="497"/>
      <c r="W625" s="497"/>
      <c r="X625" s="497"/>
      <c r="Y625" s="497"/>
      <c r="Z625" s="497"/>
      <c r="AA625" s="497"/>
      <c r="AB625" s="497"/>
      <c r="AC625" s="497"/>
      <c r="AD625" s="497"/>
      <c r="AE625" s="497"/>
      <c r="AF625" s="497"/>
      <c r="AG625" s="497"/>
      <c r="AH625" s="497"/>
      <c r="AI625" s="497"/>
      <c r="AJ625" s="497"/>
      <c r="AK625" s="497"/>
      <c r="AL625" s="497"/>
      <c r="AM625" s="497"/>
      <c r="AN625" s="497"/>
      <c r="AO625" s="497"/>
      <c r="AP625" s="497"/>
      <c r="AQ625" s="497"/>
      <c r="AR625" s="497"/>
      <c r="AS625" s="497"/>
      <c r="AT625" s="497"/>
      <c r="AU625" s="497"/>
      <c r="AV625" s="497"/>
      <c r="AW625" s="497"/>
      <c r="AX625" s="497"/>
      <c r="AY625" s="497"/>
      <c r="AZ625" s="497"/>
      <c r="BA625" s="497"/>
      <c r="BB625" s="497"/>
      <c r="BC625" s="497"/>
      <c r="BD625" s="497"/>
      <c r="BE625" s="497"/>
      <c r="BF625" s="497"/>
      <c r="BG625" s="497"/>
      <c r="BH625" s="497"/>
      <c r="BI625" s="497"/>
      <c r="BJ625" s="497"/>
      <c r="BK625" s="497"/>
      <c r="BL625" s="497"/>
      <c r="BM625" s="497"/>
      <c r="BN625" s="497"/>
      <c r="BO625" s="497"/>
      <c r="BP625" s="497"/>
      <c r="BQ625" s="497"/>
      <c r="BR625" s="497"/>
      <c r="BS625" s="497"/>
      <c r="BT625" s="497"/>
      <c r="BU625" s="497"/>
      <c r="BV625" s="497"/>
      <c r="BW625" s="497"/>
      <c r="BX625" s="497"/>
      <c r="BY625" s="497"/>
      <c r="BZ625" s="497"/>
      <c r="CA625" s="497"/>
      <c r="CB625" s="497"/>
      <c r="CC625" s="497"/>
      <c r="CD625" s="497"/>
      <c r="CE625" s="497"/>
      <c r="CF625" s="497"/>
      <c r="CG625" s="497"/>
      <c r="CH625" s="497"/>
    </row>
    <row r="626" spans="1:86" s="335" customFormat="1">
      <c r="A626" s="517"/>
      <c r="B626" s="517"/>
      <c r="C626" s="517"/>
      <c r="D626" s="517"/>
      <c r="E626" s="517"/>
      <c r="F626" s="517"/>
      <c r="G626" s="517"/>
      <c r="H626" s="639"/>
      <c r="I626" s="639"/>
      <c r="J626" s="336"/>
      <c r="K626" s="2056"/>
      <c r="L626" s="337"/>
      <c r="N626" s="2057"/>
      <c r="O626" s="337"/>
      <c r="P626" s="337"/>
      <c r="Q626" s="337"/>
      <c r="R626" s="337"/>
      <c r="S626" s="337"/>
      <c r="T626" s="337"/>
      <c r="U626" s="497"/>
      <c r="V626" s="497"/>
      <c r="W626" s="497"/>
      <c r="X626" s="497"/>
      <c r="Y626" s="497"/>
      <c r="Z626" s="497"/>
      <c r="AA626" s="497"/>
      <c r="AB626" s="497"/>
      <c r="AC626" s="497"/>
      <c r="AD626" s="497"/>
      <c r="AE626" s="497"/>
      <c r="AF626" s="497"/>
      <c r="AG626" s="497"/>
      <c r="AH626" s="497"/>
      <c r="AI626" s="497"/>
      <c r="AJ626" s="497"/>
      <c r="AK626" s="497"/>
      <c r="AL626" s="497"/>
      <c r="AM626" s="497"/>
      <c r="AN626" s="497"/>
      <c r="AO626" s="497"/>
      <c r="AP626" s="497"/>
      <c r="AQ626" s="497"/>
      <c r="AR626" s="497"/>
      <c r="AS626" s="497"/>
      <c r="AT626" s="497"/>
      <c r="AU626" s="497"/>
      <c r="AV626" s="497"/>
      <c r="AW626" s="497"/>
      <c r="AX626" s="497"/>
      <c r="AY626" s="497"/>
      <c r="AZ626" s="497"/>
      <c r="BA626" s="497"/>
      <c r="BB626" s="497"/>
      <c r="BC626" s="497"/>
      <c r="BD626" s="497"/>
      <c r="BE626" s="497"/>
      <c r="BF626" s="497"/>
      <c r="BG626" s="497"/>
      <c r="BH626" s="497"/>
      <c r="BI626" s="497"/>
      <c r="BJ626" s="497"/>
      <c r="BK626" s="497"/>
      <c r="BL626" s="497"/>
      <c r="BM626" s="497"/>
      <c r="BN626" s="497"/>
      <c r="BO626" s="497"/>
      <c r="BP626" s="497"/>
      <c r="BQ626" s="497"/>
      <c r="BR626" s="497"/>
      <c r="BS626" s="497"/>
      <c r="BT626" s="497"/>
      <c r="BU626" s="497"/>
      <c r="BV626" s="497"/>
      <c r="BW626" s="497"/>
      <c r="BX626" s="497"/>
      <c r="BY626" s="497"/>
      <c r="BZ626" s="497"/>
      <c r="CA626" s="497"/>
      <c r="CB626" s="497"/>
      <c r="CC626" s="497"/>
      <c r="CD626" s="497"/>
      <c r="CE626" s="497"/>
      <c r="CF626" s="497"/>
      <c r="CG626" s="497"/>
      <c r="CH626" s="497"/>
    </row>
    <row r="627" spans="1:86" s="335" customFormat="1">
      <c r="A627" s="517"/>
      <c r="B627" s="517"/>
      <c r="C627" s="517"/>
      <c r="D627" s="517"/>
      <c r="E627" s="517"/>
      <c r="F627" s="517"/>
      <c r="G627" s="517"/>
      <c r="H627" s="639"/>
      <c r="I627" s="639"/>
      <c r="J627" s="336"/>
      <c r="K627" s="2056"/>
      <c r="L627" s="337"/>
      <c r="N627" s="2057"/>
      <c r="O627" s="337"/>
      <c r="P627" s="337"/>
      <c r="Q627" s="337"/>
      <c r="R627" s="337"/>
      <c r="S627" s="337"/>
      <c r="T627" s="337"/>
      <c r="U627" s="497"/>
      <c r="V627" s="497"/>
      <c r="W627" s="497"/>
      <c r="X627" s="497"/>
      <c r="Y627" s="497"/>
      <c r="Z627" s="497"/>
      <c r="AA627" s="497"/>
      <c r="AB627" s="497"/>
      <c r="AC627" s="497"/>
      <c r="AD627" s="497"/>
      <c r="AE627" s="497"/>
      <c r="AF627" s="497"/>
      <c r="AG627" s="497"/>
      <c r="AH627" s="497"/>
      <c r="AI627" s="497"/>
      <c r="AJ627" s="497"/>
      <c r="AK627" s="497"/>
      <c r="AL627" s="497"/>
      <c r="AM627" s="497"/>
      <c r="AN627" s="497"/>
      <c r="AO627" s="497"/>
      <c r="AP627" s="497"/>
      <c r="AQ627" s="497"/>
      <c r="AR627" s="497"/>
      <c r="AS627" s="497"/>
      <c r="AT627" s="497"/>
      <c r="AU627" s="497"/>
      <c r="AV627" s="497"/>
      <c r="AW627" s="497"/>
      <c r="AX627" s="497"/>
      <c r="AY627" s="497"/>
      <c r="AZ627" s="497"/>
      <c r="BA627" s="497"/>
      <c r="BB627" s="497"/>
      <c r="BC627" s="497"/>
      <c r="BD627" s="497"/>
      <c r="BE627" s="497"/>
      <c r="BF627" s="497"/>
      <c r="BG627" s="497"/>
      <c r="BH627" s="497"/>
      <c r="BI627" s="497"/>
      <c r="BJ627" s="497"/>
      <c r="BK627" s="497"/>
      <c r="BL627" s="497"/>
      <c r="BM627" s="497"/>
      <c r="BN627" s="497"/>
      <c r="BO627" s="497"/>
      <c r="BP627" s="497"/>
      <c r="BQ627" s="497"/>
      <c r="BR627" s="497"/>
      <c r="BS627" s="497"/>
      <c r="BT627" s="497"/>
      <c r="BU627" s="497"/>
      <c r="BV627" s="497"/>
      <c r="BW627" s="497"/>
      <c r="BX627" s="497"/>
      <c r="BY627" s="497"/>
      <c r="BZ627" s="497"/>
      <c r="CA627" s="497"/>
      <c r="CB627" s="497"/>
      <c r="CC627" s="497"/>
      <c r="CD627" s="497"/>
      <c r="CE627" s="497"/>
      <c r="CF627" s="497"/>
      <c r="CG627" s="497"/>
      <c r="CH627" s="497"/>
    </row>
    <row r="628" spans="1:86" s="335" customFormat="1">
      <c r="A628" s="517"/>
      <c r="B628" s="517"/>
      <c r="C628" s="517"/>
      <c r="D628" s="517"/>
      <c r="E628" s="517"/>
      <c r="F628" s="517"/>
      <c r="G628" s="517"/>
      <c r="H628" s="639"/>
      <c r="I628" s="639"/>
      <c r="J628" s="336"/>
      <c r="K628" s="2056"/>
      <c r="L628" s="337"/>
      <c r="N628" s="2057"/>
      <c r="O628" s="337"/>
      <c r="P628" s="337"/>
      <c r="Q628" s="337"/>
      <c r="R628" s="337"/>
      <c r="S628" s="337"/>
      <c r="T628" s="337"/>
      <c r="U628" s="497"/>
      <c r="V628" s="497"/>
      <c r="W628" s="497"/>
      <c r="X628" s="497"/>
      <c r="Y628" s="497"/>
      <c r="Z628" s="497"/>
      <c r="AA628" s="497"/>
      <c r="AB628" s="497"/>
      <c r="AC628" s="497"/>
      <c r="AD628" s="497"/>
      <c r="AE628" s="497"/>
      <c r="AF628" s="497"/>
      <c r="AG628" s="497"/>
      <c r="AH628" s="497"/>
      <c r="AI628" s="497"/>
      <c r="AJ628" s="497"/>
      <c r="AK628" s="497"/>
      <c r="AL628" s="497"/>
      <c r="AM628" s="497"/>
      <c r="AN628" s="497"/>
      <c r="AO628" s="497"/>
      <c r="AP628" s="497"/>
      <c r="AQ628" s="497"/>
      <c r="AR628" s="497"/>
      <c r="AS628" s="497"/>
      <c r="AT628" s="497"/>
      <c r="AU628" s="497"/>
      <c r="AV628" s="497"/>
      <c r="AW628" s="497"/>
      <c r="AX628" s="497"/>
      <c r="AY628" s="497"/>
      <c r="AZ628" s="497"/>
      <c r="BA628" s="497"/>
      <c r="BB628" s="497"/>
      <c r="BC628" s="497"/>
      <c r="BD628" s="497"/>
      <c r="BE628" s="497"/>
      <c r="BF628" s="497"/>
      <c r="BG628" s="497"/>
      <c r="BH628" s="497"/>
      <c r="BI628" s="497"/>
      <c r="BJ628" s="497"/>
      <c r="BK628" s="497"/>
      <c r="BL628" s="497"/>
      <c r="BM628" s="497"/>
      <c r="BN628" s="497"/>
      <c r="BO628" s="497"/>
      <c r="BP628" s="497"/>
      <c r="BQ628" s="497"/>
      <c r="BR628" s="497"/>
      <c r="BS628" s="497"/>
      <c r="BT628" s="497"/>
      <c r="BU628" s="497"/>
      <c r="BV628" s="497"/>
      <c r="BW628" s="497"/>
      <c r="BX628" s="497"/>
      <c r="BY628" s="497"/>
      <c r="BZ628" s="497"/>
      <c r="CA628" s="497"/>
      <c r="CB628" s="497"/>
      <c r="CC628" s="497"/>
      <c r="CD628" s="497"/>
      <c r="CE628" s="497"/>
      <c r="CF628" s="497"/>
      <c r="CG628" s="497"/>
      <c r="CH628" s="497"/>
    </row>
    <row r="629" spans="1:86" s="335" customFormat="1">
      <c r="A629" s="517"/>
      <c r="B629" s="517"/>
      <c r="C629" s="517"/>
      <c r="D629" s="517"/>
      <c r="E629" s="517"/>
      <c r="F629" s="517"/>
      <c r="G629" s="517"/>
      <c r="H629" s="639"/>
      <c r="I629" s="639"/>
      <c r="J629" s="336"/>
      <c r="K629" s="2056"/>
      <c r="L629" s="337"/>
      <c r="N629" s="2057"/>
      <c r="O629" s="337"/>
      <c r="P629" s="337"/>
      <c r="Q629" s="337"/>
      <c r="R629" s="337"/>
      <c r="S629" s="337"/>
      <c r="T629" s="337"/>
      <c r="U629" s="497"/>
      <c r="V629" s="497"/>
      <c r="W629" s="497"/>
      <c r="X629" s="497"/>
      <c r="Y629" s="497"/>
      <c r="Z629" s="497"/>
      <c r="AA629" s="497"/>
      <c r="AB629" s="497"/>
      <c r="AC629" s="497"/>
      <c r="AD629" s="497"/>
      <c r="AE629" s="497"/>
      <c r="AF629" s="497"/>
      <c r="AG629" s="497"/>
      <c r="AH629" s="497"/>
      <c r="AI629" s="497"/>
      <c r="AJ629" s="497"/>
      <c r="AK629" s="497"/>
      <c r="AL629" s="497"/>
      <c r="AM629" s="497"/>
      <c r="AN629" s="497"/>
      <c r="AO629" s="497"/>
      <c r="AP629" s="497"/>
      <c r="AQ629" s="497"/>
      <c r="AR629" s="497"/>
      <c r="AS629" s="497"/>
      <c r="AT629" s="497"/>
      <c r="AU629" s="497"/>
      <c r="AV629" s="497"/>
      <c r="AW629" s="497"/>
      <c r="AX629" s="497"/>
      <c r="AY629" s="497"/>
      <c r="AZ629" s="497"/>
      <c r="BA629" s="497"/>
      <c r="BB629" s="497"/>
      <c r="BC629" s="497"/>
      <c r="BD629" s="497"/>
      <c r="BE629" s="497"/>
      <c r="BF629" s="497"/>
      <c r="BG629" s="497"/>
      <c r="BH629" s="497"/>
      <c r="BI629" s="497"/>
      <c r="BJ629" s="497"/>
      <c r="BK629" s="497"/>
      <c r="BL629" s="497"/>
      <c r="BM629" s="497"/>
      <c r="BN629" s="497"/>
      <c r="BO629" s="497"/>
      <c r="BP629" s="497"/>
      <c r="BQ629" s="497"/>
      <c r="BR629" s="497"/>
      <c r="BS629" s="497"/>
      <c r="BT629" s="497"/>
      <c r="BU629" s="497"/>
      <c r="BV629" s="497"/>
      <c r="BW629" s="497"/>
      <c r="BX629" s="497"/>
      <c r="BY629" s="497"/>
      <c r="BZ629" s="497"/>
      <c r="CA629" s="497"/>
      <c r="CB629" s="497"/>
      <c r="CC629" s="497"/>
      <c r="CD629" s="497"/>
      <c r="CE629" s="497"/>
      <c r="CF629" s="497"/>
      <c r="CG629" s="497"/>
      <c r="CH629" s="497"/>
    </row>
    <row r="630" spans="1:86" s="335" customFormat="1">
      <c r="A630" s="517"/>
      <c r="B630" s="517"/>
      <c r="C630" s="517"/>
      <c r="D630" s="517"/>
      <c r="E630" s="517"/>
      <c r="F630" s="517"/>
      <c r="G630" s="517"/>
      <c r="H630" s="639"/>
      <c r="I630" s="639"/>
      <c r="J630" s="336"/>
      <c r="K630" s="2056"/>
      <c r="L630" s="337"/>
      <c r="N630" s="2057"/>
      <c r="O630" s="337"/>
      <c r="P630" s="337"/>
      <c r="Q630" s="337"/>
      <c r="R630" s="337"/>
      <c r="S630" s="337"/>
      <c r="T630" s="337"/>
      <c r="U630" s="497"/>
      <c r="V630" s="497"/>
      <c r="W630" s="497"/>
      <c r="X630" s="497"/>
      <c r="Y630" s="497"/>
      <c r="Z630" s="497"/>
      <c r="AA630" s="497"/>
      <c r="AB630" s="497"/>
      <c r="AC630" s="497"/>
      <c r="AD630" s="497"/>
      <c r="AE630" s="497"/>
      <c r="AF630" s="497"/>
      <c r="AG630" s="497"/>
      <c r="AH630" s="497"/>
      <c r="AI630" s="497"/>
      <c r="AJ630" s="497"/>
      <c r="AK630" s="497"/>
      <c r="AL630" s="497"/>
      <c r="AM630" s="497"/>
      <c r="AN630" s="497"/>
      <c r="AO630" s="497"/>
      <c r="AP630" s="497"/>
      <c r="AQ630" s="497"/>
      <c r="AR630" s="497"/>
      <c r="AS630" s="497"/>
      <c r="AT630" s="497"/>
      <c r="AU630" s="497"/>
      <c r="AV630" s="497"/>
      <c r="AW630" s="497"/>
      <c r="AX630" s="497"/>
      <c r="AY630" s="497"/>
      <c r="AZ630" s="497"/>
      <c r="BA630" s="497"/>
      <c r="BB630" s="497"/>
      <c r="BC630" s="497"/>
      <c r="BD630" s="497"/>
      <c r="BE630" s="497"/>
      <c r="BF630" s="497"/>
      <c r="BG630" s="497"/>
      <c r="BH630" s="497"/>
      <c r="BI630" s="497"/>
      <c r="BJ630" s="497"/>
      <c r="BK630" s="497"/>
      <c r="BL630" s="497"/>
      <c r="BM630" s="497"/>
      <c r="BN630" s="497"/>
      <c r="BO630" s="497"/>
      <c r="BP630" s="497"/>
      <c r="BQ630" s="497"/>
      <c r="BR630" s="497"/>
      <c r="BS630" s="497"/>
      <c r="BT630" s="497"/>
      <c r="BU630" s="497"/>
      <c r="BV630" s="497"/>
      <c r="BW630" s="497"/>
      <c r="BX630" s="497"/>
      <c r="BY630" s="497"/>
      <c r="BZ630" s="497"/>
      <c r="CA630" s="497"/>
      <c r="CB630" s="497"/>
      <c r="CC630" s="497"/>
      <c r="CD630" s="497"/>
      <c r="CE630" s="497"/>
      <c r="CF630" s="497"/>
      <c r="CG630" s="497"/>
      <c r="CH630" s="497"/>
    </row>
    <row r="631" spans="1:86" s="335" customFormat="1">
      <c r="A631" s="517"/>
      <c r="B631" s="517"/>
      <c r="C631" s="517"/>
      <c r="D631" s="517"/>
      <c r="E631" s="517"/>
      <c r="F631" s="517"/>
      <c r="G631" s="517"/>
      <c r="H631" s="639"/>
      <c r="I631" s="639"/>
      <c r="J631" s="336"/>
      <c r="K631" s="2056"/>
      <c r="L631" s="337"/>
      <c r="N631" s="2057"/>
      <c r="O631" s="337"/>
      <c r="P631" s="337"/>
      <c r="Q631" s="337"/>
      <c r="R631" s="337"/>
      <c r="S631" s="337"/>
      <c r="T631" s="337"/>
      <c r="U631" s="497"/>
      <c r="V631" s="497"/>
      <c r="W631" s="497"/>
      <c r="X631" s="497"/>
      <c r="Y631" s="497"/>
      <c r="Z631" s="497"/>
      <c r="AA631" s="497"/>
      <c r="AB631" s="497"/>
      <c r="AC631" s="497"/>
      <c r="AD631" s="497"/>
      <c r="AE631" s="497"/>
      <c r="AF631" s="497"/>
      <c r="AG631" s="497"/>
      <c r="AH631" s="497"/>
      <c r="AI631" s="497"/>
      <c r="AJ631" s="497"/>
      <c r="AK631" s="497"/>
      <c r="AL631" s="497"/>
      <c r="AM631" s="497"/>
      <c r="AN631" s="497"/>
      <c r="AO631" s="497"/>
      <c r="AP631" s="497"/>
      <c r="AQ631" s="497"/>
      <c r="AR631" s="497"/>
      <c r="AS631" s="497"/>
      <c r="AT631" s="497"/>
      <c r="AU631" s="497"/>
      <c r="AV631" s="497"/>
      <c r="AW631" s="497"/>
      <c r="AX631" s="497"/>
      <c r="AY631" s="497"/>
      <c r="AZ631" s="497"/>
      <c r="BA631" s="497"/>
      <c r="BB631" s="497"/>
      <c r="BC631" s="497"/>
      <c r="BD631" s="497"/>
      <c r="BE631" s="497"/>
      <c r="BF631" s="497"/>
      <c r="BG631" s="497"/>
      <c r="BH631" s="497"/>
      <c r="BI631" s="497"/>
      <c r="BJ631" s="497"/>
      <c r="BK631" s="497"/>
      <c r="BL631" s="497"/>
      <c r="BM631" s="497"/>
      <c r="BN631" s="497"/>
      <c r="BO631" s="497"/>
      <c r="BP631" s="497"/>
      <c r="BQ631" s="497"/>
      <c r="BR631" s="497"/>
      <c r="BS631" s="497"/>
      <c r="BT631" s="497"/>
      <c r="BU631" s="497"/>
      <c r="BV631" s="497"/>
      <c r="BW631" s="497"/>
      <c r="BX631" s="497"/>
      <c r="BY631" s="497"/>
      <c r="BZ631" s="497"/>
      <c r="CA631" s="497"/>
      <c r="CB631" s="497"/>
      <c r="CC631" s="497"/>
      <c r="CD631" s="497"/>
      <c r="CE631" s="497"/>
      <c r="CF631" s="497"/>
      <c r="CG631" s="497"/>
      <c r="CH631" s="497"/>
    </row>
    <row r="632" spans="1:86" s="335" customFormat="1">
      <c r="A632" s="517"/>
      <c r="B632" s="517"/>
      <c r="C632" s="517"/>
      <c r="D632" s="517"/>
      <c r="E632" s="517"/>
      <c r="F632" s="517"/>
      <c r="G632" s="517"/>
      <c r="H632" s="639"/>
      <c r="I632" s="639"/>
      <c r="J632" s="336"/>
      <c r="K632" s="2056"/>
      <c r="L632" s="337"/>
      <c r="N632" s="2057"/>
      <c r="O632" s="337"/>
      <c r="P632" s="337"/>
      <c r="Q632" s="337"/>
      <c r="R632" s="337"/>
      <c r="S632" s="337"/>
      <c r="T632" s="337"/>
      <c r="U632" s="497"/>
      <c r="V632" s="497"/>
      <c r="W632" s="497"/>
      <c r="X632" s="497"/>
      <c r="Y632" s="497"/>
      <c r="Z632" s="497"/>
      <c r="AA632" s="497"/>
      <c r="AB632" s="497"/>
      <c r="AC632" s="497"/>
      <c r="AD632" s="497"/>
      <c r="AE632" s="497"/>
      <c r="AF632" s="497"/>
      <c r="AG632" s="497"/>
      <c r="AH632" s="497"/>
      <c r="AI632" s="497"/>
      <c r="AJ632" s="497"/>
      <c r="AK632" s="497"/>
      <c r="AL632" s="497"/>
      <c r="AM632" s="497"/>
      <c r="AN632" s="497"/>
      <c r="AO632" s="497"/>
      <c r="AP632" s="497"/>
      <c r="AQ632" s="497"/>
      <c r="AR632" s="497"/>
      <c r="AS632" s="497"/>
      <c r="AT632" s="497"/>
      <c r="AU632" s="497"/>
      <c r="AV632" s="497"/>
      <c r="AW632" s="497"/>
      <c r="AX632" s="497"/>
      <c r="AY632" s="497"/>
      <c r="AZ632" s="497"/>
      <c r="BA632" s="497"/>
      <c r="BB632" s="497"/>
      <c r="BC632" s="497"/>
      <c r="BD632" s="497"/>
      <c r="BE632" s="497"/>
      <c r="BF632" s="497"/>
      <c r="BG632" s="497"/>
      <c r="BH632" s="497"/>
      <c r="BI632" s="497"/>
      <c r="BJ632" s="497"/>
      <c r="BK632" s="497"/>
      <c r="BL632" s="497"/>
      <c r="BM632" s="497"/>
      <c r="BN632" s="497"/>
      <c r="BO632" s="497"/>
      <c r="BP632" s="497"/>
      <c r="BQ632" s="497"/>
      <c r="BR632" s="497"/>
      <c r="BS632" s="497"/>
      <c r="BT632" s="497"/>
      <c r="BU632" s="497"/>
      <c r="BV632" s="497"/>
      <c r="BW632" s="497"/>
      <c r="BX632" s="497"/>
      <c r="BY632" s="497"/>
      <c r="BZ632" s="497"/>
      <c r="CA632" s="497"/>
      <c r="CB632" s="497"/>
      <c r="CC632" s="497"/>
      <c r="CD632" s="497"/>
      <c r="CE632" s="497"/>
      <c r="CF632" s="497"/>
      <c r="CG632" s="497"/>
      <c r="CH632" s="497"/>
    </row>
    <row r="633" spans="1:86" s="335" customFormat="1">
      <c r="A633" s="517"/>
      <c r="B633" s="517"/>
      <c r="C633" s="517"/>
      <c r="D633" s="517"/>
      <c r="E633" s="517"/>
      <c r="F633" s="517"/>
      <c r="G633" s="517"/>
      <c r="H633" s="639"/>
      <c r="I633" s="639"/>
      <c r="J633" s="336"/>
      <c r="K633" s="2056"/>
      <c r="L633" s="337"/>
      <c r="N633" s="2057"/>
      <c r="O633" s="337"/>
      <c r="P633" s="337"/>
      <c r="Q633" s="337"/>
      <c r="R633" s="337"/>
      <c r="S633" s="337"/>
      <c r="T633" s="337"/>
      <c r="U633" s="497"/>
      <c r="V633" s="497"/>
      <c r="W633" s="497"/>
      <c r="X633" s="497"/>
      <c r="Y633" s="497"/>
      <c r="Z633" s="497"/>
      <c r="AA633" s="497"/>
      <c r="AB633" s="497"/>
      <c r="AC633" s="497"/>
      <c r="AD633" s="497"/>
      <c r="AE633" s="497"/>
      <c r="AF633" s="497"/>
      <c r="AG633" s="497"/>
      <c r="AH633" s="497"/>
      <c r="AI633" s="497"/>
      <c r="AJ633" s="497"/>
      <c r="AK633" s="497"/>
      <c r="AL633" s="497"/>
      <c r="AM633" s="497"/>
      <c r="AN633" s="497"/>
      <c r="AO633" s="497"/>
      <c r="AP633" s="497"/>
      <c r="AQ633" s="497"/>
      <c r="AR633" s="497"/>
      <c r="AS633" s="497"/>
      <c r="AT633" s="497"/>
      <c r="AU633" s="497"/>
      <c r="AV633" s="497"/>
      <c r="AW633" s="497"/>
      <c r="AX633" s="497"/>
      <c r="AY633" s="497"/>
      <c r="AZ633" s="497"/>
      <c r="BA633" s="497"/>
      <c r="BB633" s="497"/>
      <c r="BC633" s="497"/>
      <c r="BD633" s="497"/>
      <c r="BE633" s="497"/>
      <c r="BF633" s="497"/>
      <c r="BG633" s="497"/>
      <c r="BH633" s="497"/>
      <c r="BI633" s="497"/>
      <c r="BJ633" s="497"/>
      <c r="BK633" s="497"/>
      <c r="BL633" s="497"/>
      <c r="BM633" s="497"/>
      <c r="BN633" s="497"/>
      <c r="BO633" s="497"/>
      <c r="BP633" s="497"/>
      <c r="BQ633" s="497"/>
      <c r="BR633" s="497"/>
      <c r="BS633" s="497"/>
      <c r="BT633" s="497"/>
      <c r="BU633" s="497"/>
      <c r="BV633" s="497"/>
      <c r="BW633" s="497"/>
      <c r="BX633" s="497"/>
      <c r="BY633" s="497"/>
      <c r="BZ633" s="497"/>
      <c r="CA633" s="497"/>
      <c r="CB633" s="497"/>
      <c r="CC633" s="497"/>
      <c r="CD633" s="497"/>
      <c r="CE633" s="497"/>
      <c r="CF633" s="497"/>
      <c r="CG633" s="497"/>
      <c r="CH633" s="497"/>
    </row>
    <row r="634" spans="1:86" s="335" customFormat="1">
      <c r="A634" s="517"/>
      <c r="B634" s="517"/>
      <c r="C634" s="517"/>
      <c r="D634" s="517"/>
      <c r="E634" s="517"/>
      <c r="F634" s="517"/>
      <c r="G634" s="517"/>
      <c r="H634" s="639"/>
      <c r="I634" s="639"/>
      <c r="J634" s="336"/>
      <c r="K634" s="2056"/>
      <c r="L634" s="337"/>
      <c r="N634" s="2057"/>
      <c r="O634" s="337"/>
      <c r="P634" s="337"/>
      <c r="Q634" s="337"/>
      <c r="R634" s="337"/>
      <c r="S634" s="337"/>
      <c r="T634" s="337"/>
      <c r="U634" s="497"/>
      <c r="V634" s="497"/>
      <c r="W634" s="497"/>
      <c r="X634" s="497"/>
      <c r="Y634" s="497"/>
      <c r="Z634" s="497"/>
      <c r="AA634" s="497"/>
      <c r="AB634" s="497"/>
      <c r="AC634" s="497"/>
      <c r="AD634" s="497"/>
      <c r="AE634" s="497"/>
      <c r="AF634" s="497"/>
      <c r="AG634" s="497"/>
      <c r="AH634" s="497"/>
      <c r="AI634" s="497"/>
      <c r="AJ634" s="497"/>
      <c r="AK634" s="497"/>
      <c r="AL634" s="497"/>
      <c r="AM634" s="497"/>
      <c r="AN634" s="497"/>
      <c r="AO634" s="497"/>
      <c r="AP634" s="497"/>
      <c r="AQ634" s="497"/>
      <c r="AR634" s="497"/>
      <c r="AS634" s="497"/>
      <c r="AT634" s="497"/>
      <c r="AU634" s="497"/>
      <c r="AV634" s="497"/>
      <c r="AW634" s="497"/>
      <c r="AX634" s="497"/>
      <c r="AY634" s="497"/>
      <c r="AZ634" s="497"/>
      <c r="BA634" s="497"/>
      <c r="BB634" s="497"/>
      <c r="BC634" s="497"/>
      <c r="BD634" s="497"/>
      <c r="BE634" s="497"/>
      <c r="BF634" s="497"/>
      <c r="BG634" s="497"/>
      <c r="BH634" s="497"/>
      <c r="BI634" s="497"/>
      <c r="BJ634" s="497"/>
      <c r="BK634" s="497"/>
      <c r="BL634" s="497"/>
      <c r="BM634" s="497"/>
      <c r="BN634" s="497"/>
      <c r="BO634" s="497"/>
      <c r="BP634" s="497"/>
      <c r="BQ634" s="497"/>
      <c r="BR634" s="497"/>
      <c r="BS634" s="497"/>
      <c r="BT634" s="497"/>
      <c r="BU634" s="497"/>
      <c r="BV634" s="497"/>
      <c r="BW634" s="497"/>
      <c r="BX634" s="497"/>
      <c r="BY634" s="497"/>
      <c r="BZ634" s="497"/>
      <c r="CA634" s="497"/>
      <c r="CB634" s="497"/>
      <c r="CC634" s="497"/>
      <c r="CD634" s="497"/>
      <c r="CE634" s="497"/>
      <c r="CF634" s="497"/>
      <c r="CG634" s="497"/>
      <c r="CH634" s="497"/>
    </row>
    <row r="635" spans="1:86" s="335" customFormat="1">
      <c r="A635" s="517"/>
      <c r="B635" s="517"/>
      <c r="C635" s="517"/>
      <c r="D635" s="517"/>
      <c r="E635" s="517"/>
      <c r="F635" s="517"/>
      <c r="G635" s="517"/>
      <c r="H635" s="639"/>
      <c r="I635" s="639"/>
      <c r="J635" s="336"/>
      <c r="K635" s="2056"/>
      <c r="L635" s="337"/>
      <c r="N635" s="2057"/>
      <c r="O635" s="337"/>
      <c r="P635" s="337"/>
      <c r="Q635" s="337"/>
      <c r="R635" s="337"/>
      <c r="S635" s="337"/>
      <c r="T635" s="337"/>
      <c r="U635" s="497"/>
      <c r="V635" s="497"/>
      <c r="W635" s="497"/>
      <c r="X635" s="497"/>
      <c r="Y635" s="497"/>
      <c r="Z635" s="497"/>
      <c r="AA635" s="497"/>
      <c r="AB635" s="497"/>
      <c r="AC635" s="497"/>
      <c r="AD635" s="497"/>
      <c r="AE635" s="497"/>
      <c r="AF635" s="497"/>
      <c r="AG635" s="497"/>
      <c r="AH635" s="497"/>
      <c r="AI635" s="497"/>
      <c r="AJ635" s="497"/>
      <c r="AK635" s="497"/>
      <c r="AL635" s="497"/>
      <c r="AM635" s="497"/>
      <c r="AN635" s="497"/>
      <c r="AO635" s="497"/>
      <c r="AP635" s="497"/>
      <c r="AQ635" s="497"/>
      <c r="AR635" s="497"/>
      <c r="AS635" s="497"/>
      <c r="AT635" s="497"/>
      <c r="AU635" s="497"/>
      <c r="AV635" s="497"/>
      <c r="AW635" s="497"/>
      <c r="AX635" s="497"/>
      <c r="AY635" s="497"/>
      <c r="AZ635" s="497"/>
      <c r="BA635" s="497"/>
      <c r="BB635" s="497"/>
      <c r="BC635" s="497"/>
      <c r="BD635" s="497"/>
      <c r="BE635" s="497"/>
      <c r="BF635" s="497"/>
      <c r="BG635" s="497"/>
      <c r="BH635" s="497"/>
      <c r="BI635" s="497"/>
      <c r="BJ635" s="497"/>
      <c r="BK635" s="497"/>
      <c r="BL635" s="497"/>
      <c r="BM635" s="497"/>
      <c r="BN635" s="497"/>
      <c r="BO635" s="497"/>
      <c r="BP635" s="497"/>
      <c r="BQ635" s="497"/>
      <c r="BR635" s="497"/>
      <c r="BS635" s="497"/>
      <c r="BT635" s="497"/>
      <c r="BU635" s="497"/>
      <c r="BV635" s="497"/>
      <c r="BW635" s="497"/>
      <c r="BX635" s="497"/>
      <c r="BY635" s="497"/>
      <c r="BZ635" s="497"/>
      <c r="CA635" s="497"/>
      <c r="CB635" s="497"/>
      <c r="CC635" s="497"/>
      <c r="CD635" s="497"/>
      <c r="CE635" s="497"/>
      <c r="CF635" s="497"/>
      <c r="CG635" s="497"/>
      <c r="CH635" s="497"/>
    </row>
    <row r="636" spans="1:86" s="335" customFormat="1">
      <c r="A636" s="517"/>
      <c r="B636" s="517"/>
      <c r="C636" s="517"/>
      <c r="D636" s="517"/>
      <c r="E636" s="517"/>
      <c r="F636" s="517"/>
      <c r="G636" s="517"/>
      <c r="H636" s="639"/>
      <c r="I636" s="639"/>
      <c r="J636" s="336"/>
      <c r="K636" s="2056"/>
      <c r="L636" s="337"/>
      <c r="N636" s="2057"/>
      <c r="O636" s="337"/>
      <c r="P636" s="337"/>
      <c r="Q636" s="337"/>
      <c r="R636" s="337"/>
      <c r="S636" s="337"/>
      <c r="T636" s="337"/>
      <c r="U636" s="497"/>
      <c r="V636" s="497"/>
      <c r="W636" s="497"/>
      <c r="X636" s="497"/>
      <c r="Y636" s="497"/>
      <c r="Z636" s="497"/>
      <c r="AA636" s="497"/>
      <c r="AB636" s="497"/>
      <c r="AC636" s="497"/>
      <c r="AD636" s="497"/>
      <c r="AE636" s="497"/>
      <c r="AF636" s="497"/>
      <c r="AG636" s="497"/>
      <c r="AH636" s="497"/>
      <c r="AI636" s="497"/>
      <c r="AJ636" s="497"/>
      <c r="AK636" s="497"/>
      <c r="AL636" s="497"/>
      <c r="AM636" s="497"/>
      <c r="AN636" s="497"/>
      <c r="AO636" s="497"/>
      <c r="AP636" s="497"/>
      <c r="AQ636" s="497"/>
      <c r="AR636" s="497"/>
      <c r="AS636" s="497"/>
      <c r="AT636" s="497"/>
      <c r="AU636" s="497"/>
      <c r="AV636" s="497"/>
      <c r="AW636" s="497"/>
      <c r="AX636" s="497"/>
      <c r="AY636" s="497"/>
      <c r="AZ636" s="497"/>
      <c r="BA636" s="497"/>
      <c r="BB636" s="497"/>
      <c r="BC636" s="497"/>
      <c r="BD636" s="497"/>
      <c r="BE636" s="497"/>
      <c r="BF636" s="497"/>
      <c r="BG636" s="497"/>
      <c r="BH636" s="497"/>
      <c r="BI636" s="497"/>
      <c r="BJ636" s="497"/>
      <c r="BK636" s="497"/>
      <c r="BL636" s="497"/>
      <c r="BM636" s="497"/>
      <c r="BN636" s="497"/>
      <c r="BO636" s="497"/>
      <c r="BP636" s="497"/>
      <c r="BQ636" s="497"/>
      <c r="BR636" s="497"/>
      <c r="BS636" s="497"/>
      <c r="BT636" s="497"/>
      <c r="BU636" s="497"/>
      <c r="BV636" s="497"/>
      <c r="BW636" s="497"/>
      <c r="BX636" s="497"/>
      <c r="BY636" s="497"/>
      <c r="BZ636" s="497"/>
      <c r="CA636" s="497"/>
      <c r="CB636" s="497"/>
      <c r="CC636" s="497"/>
      <c r="CD636" s="497"/>
      <c r="CE636" s="497"/>
      <c r="CF636" s="497"/>
      <c r="CG636" s="497"/>
      <c r="CH636" s="497"/>
    </row>
    <row r="637" spans="1:86" s="335" customFormat="1">
      <c r="A637" s="517"/>
      <c r="B637" s="517"/>
      <c r="C637" s="517"/>
      <c r="D637" s="517"/>
      <c r="E637" s="517"/>
      <c r="F637" s="517"/>
      <c r="G637" s="517"/>
      <c r="H637" s="639"/>
      <c r="I637" s="639"/>
      <c r="J637" s="336"/>
      <c r="K637" s="2056"/>
      <c r="L637" s="337"/>
      <c r="N637" s="2057"/>
      <c r="O637" s="337"/>
      <c r="P637" s="337"/>
      <c r="Q637" s="337"/>
      <c r="R637" s="337"/>
      <c r="S637" s="337"/>
      <c r="T637" s="337"/>
      <c r="U637" s="497"/>
      <c r="V637" s="497"/>
      <c r="W637" s="497"/>
      <c r="X637" s="497"/>
      <c r="Y637" s="497"/>
      <c r="Z637" s="497"/>
      <c r="AA637" s="497"/>
      <c r="AB637" s="497"/>
      <c r="AC637" s="497"/>
      <c r="AD637" s="497"/>
      <c r="AE637" s="497"/>
      <c r="AF637" s="497"/>
      <c r="AG637" s="497"/>
      <c r="AH637" s="497"/>
      <c r="AI637" s="497"/>
      <c r="AJ637" s="497"/>
      <c r="AK637" s="497"/>
      <c r="AL637" s="497"/>
      <c r="AM637" s="497"/>
      <c r="AN637" s="497"/>
      <c r="AO637" s="497"/>
      <c r="AP637" s="497"/>
      <c r="AQ637" s="497"/>
      <c r="AR637" s="497"/>
      <c r="AS637" s="497"/>
      <c r="AT637" s="497"/>
      <c r="AU637" s="497"/>
      <c r="AV637" s="497"/>
      <c r="AW637" s="497"/>
      <c r="AX637" s="497"/>
      <c r="AY637" s="497"/>
      <c r="AZ637" s="497"/>
      <c r="BA637" s="497"/>
      <c r="BB637" s="497"/>
      <c r="BC637" s="497"/>
      <c r="BD637" s="497"/>
      <c r="BE637" s="497"/>
      <c r="BF637" s="497"/>
      <c r="BG637" s="497"/>
      <c r="BH637" s="497"/>
      <c r="BI637" s="497"/>
      <c r="BJ637" s="497"/>
      <c r="BK637" s="497"/>
      <c r="BL637" s="497"/>
      <c r="BM637" s="497"/>
      <c r="BN637" s="497"/>
      <c r="BO637" s="497"/>
      <c r="BP637" s="497"/>
      <c r="BQ637" s="497"/>
      <c r="BR637" s="497"/>
      <c r="BS637" s="497"/>
      <c r="BT637" s="497"/>
      <c r="BU637" s="497"/>
      <c r="BV637" s="497"/>
      <c r="BW637" s="497"/>
      <c r="BX637" s="497"/>
      <c r="BY637" s="497"/>
      <c r="BZ637" s="497"/>
      <c r="CA637" s="497"/>
      <c r="CB637" s="497"/>
      <c r="CC637" s="497"/>
      <c r="CD637" s="497"/>
      <c r="CE637" s="497"/>
      <c r="CF637" s="497"/>
      <c r="CG637" s="497"/>
      <c r="CH637" s="497"/>
    </row>
    <row r="638" spans="1:86" s="335" customFormat="1">
      <c r="A638" s="517"/>
      <c r="B638" s="517"/>
      <c r="C638" s="517"/>
      <c r="D638" s="517"/>
      <c r="E638" s="517"/>
      <c r="F638" s="517"/>
      <c r="G638" s="517"/>
      <c r="H638" s="639"/>
      <c r="I638" s="639"/>
      <c r="J638" s="336"/>
      <c r="K638" s="2056"/>
      <c r="L638" s="337"/>
      <c r="N638" s="2057"/>
      <c r="O638" s="337"/>
      <c r="P638" s="337"/>
      <c r="Q638" s="337"/>
      <c r="R638" s="337"/>
      <c r="S638" s="337"/>
      <c r="T638" s="337"/>
      <c r="U638" s="497"/>
      <c r="V638" s="497"/>
      <c r="W638" s="497"/>
      <c r="X638" s="497"/>
      <c r="Y638" s="497"/>
      <c r="Z638" s="497"/>
      <c r="AA638" s="497"/>
      <c r="AB638" s="497"/>
      <c r="AC638" s="497"/>
      <c r="AD638" s="497"/>
      <c r="AE638" s="497"/>
      <c r="AF638" s="497"/>
      <c r="AG638" s="497"/>
      <c r="AH638" s="497"/>
      <c r="AI638" s="497"/>
      <c r="AJ638" s="497"/>
      <c r="AK638" s="497"/>
      <c r="AL638" s="497"/>
      <c r="AM638" s="497"/>
      <c r="AN638" s="497"/>
      <c r="AO638" s="497"/>
      <c r="AP638" s="497"/>
      <c r="AQ638" s="497"/>
      <c r="AR638" s="497"/>
      <c r="AS638" s="497"/>
      <c r="AT638" s="497"/>
      <c r="AU638" s="497"/>
      <c r="AV638" s="497"/>
      <c r="AW638" s="497"/>
      <c r="AX638" s="497"/>
      <c r="AY638" s="497"/>
      <c r="AZ638" s="497"/>
      <c r="BA638" s="497"/>
      <c r="BB638" s="497"/>
      <c r="BC638" s="497"/>
      <c r="BD638" s="497"/>
      <c r="BE638" s="497"/>
      <c r="BF638" s="497"/>
      <c r="BG638" s="497"/>
      <c r="BH638" s="497"/>
      <c r="BI638" s="497"/>
      <c r="BJ638" s="497"/>
      <c r="BK638" s="497"/>
      <c r="BL638" s="497"/>
      <c r="BM638" s="497"/>
      <c r="BN638" s="497"/>
      <c r="BO638" s="497"/>
      <c r="BP638" s="497"/>
      <c r="BQ638" s="497"/>
      <c r="BR638" s="497"/>
      <c r="BS638" s="497"/>
      <c r="BT638" s="497"/>
      <c r="BU638" s="497"/>
      <c r="BV638" s="497"/>
      <c r="BW638" s="497"/>
      <c r="BX638" s="497"/>
      <c r="BY638" s="497"/>
      <c r="BZ638" s="497"/>
      <c r="CA638" s="497"/>
      <c r="CB638" s="497"/>
      <c r="CC638" s="497"/>
      <c r="CD638" s="497"/>
      <c r="CE638" s="497"/>
      <c r="CF638" s="497"/>
      <c r="CG638" s="497"/>
      <c r="CH638" s="497"/>
    </row>
    <row r="639" spans="1:86" s="335" customFormat="1">
      <c r="A639" s="517"/>
      <c r="B639" s="517"/>
      <c r="C639" s="517"/>
      <c r="D639" s="517"/>
      <c r="E639" s="517"/>
      <c r="F639" s="517"/>
      <c r="G639" s="517"/>
      <c r="H639" s="639"/>
      <c r="I639" s="639"/>
      <c r="J639" s="336"/>
      <c r="K639" s="2056"/>
      <c r="L639" s="337"/>
      <c r="N639" s="2057"/>
      <c r="O639" s="337"/>
      <c r="P639" s="337"/>
      <c r="Q639" s="337"/>
      <c r="R639" s="337"/>
      <c r="S639" s="337"/>
      <c r="T639" s="337"/>
      <c r="U639" s="497"/>
      <c r="V639" s="497"/>
      <c r="W639" s="497"/>
      <c r="X639" s="497"/>
      <c r="Y639" s="497"/>
      <c r="Z639" s="497"/>
      <c r="AA639" s="497"/>
      <c r="AB639" s="497"/>
      <c r="AC639" s="497"/>
      <c r="AD639" s="497"/>
      <c r="AE639" s="497"/>
      <c r="AF639" s="497"/>
      <c r="AG639" s="497"/>
      <c r="AH639" s="497"/>
      <c r="AI639" s="497"/>
      <c r="AJ639" s="497"/>
      <c r="AK639" s="497"/>
      <c r="AL639" s="497"/>
      <c r="AM639" s="497"/>
      <c r="AN639" s="497"/>
      <c r="AO639" s="497"/>
      <c r="AP639" s="497"/>
      <c r="AQ639" s="497"/>
      <c r="AR639" s="497"/>
      <c r="AS639" s="497"/>
      <c r="AT639" s="497"/>
      <c r="AU639" s="497"/>
      <c r="AV639" s="497"/>
      <c r="AW639" s="497"/>
      <c r="AX639" s="497"/>
      <c r="AY639" s="497"/>
      <c r="AZ639" s="497"/>
      <c r="BA639" s="497"/>
      <c r="BB639" s="497"/>
      <c r="BC639" s="497"/>
      <c r="BD639" s="497"/>
      <c r="BE639" s="497"/>
      <c r="BF639" s="497"/>
      <c r="BG639" s="497"/>
      <c r="BH639" s="497"/>
      <c r="BI639" s="497"/>
      <c r="BJ639" s="497"/>
      <c r="BK639" s="497"/>
      <c r="BL639" s="497"/>
      <c r="BM639" s="497"/>
      <c r="BN639" s="497"/>
      <c r="BO639" s="497"/>
      <c r="BP639" s="497"/>
      <c r="BQ639" s="497"/>
      <c r="BR639" s="497"/>
      <c r="BS639" s="497"/>
      <c r="BT639" s="497"/>
      <c r="BU639" s="497"/>
      <c r="BV639" s="497"/>
      <c r="BW639" s="497"/>
      <c r="BX639" s="497"/>
      <c r="BY639" s="497"/>
      <c r="BZ639" s="497"/>
      <c r="CA639" s="497"/>
      <c r="CB639" s="497"/>
      <c r="CC639" s="497"/>
      <c r="CD639" s="497"/>
      <c r="CE639" s="497"/>
      <c r="CF639" s="497"/>
      <c r="CG639" s="497"/>
      <c r="CH639" s="497"/>
    </row>
    <row r="640" spans="1:86" s="335" customFormat="1">
      <c r="A640" s="517"/>
      <c r="B640" s="517"/>
      <c r="C640" s="517"/>
      <c r="D640" s="517"/>
      <c r="E640" s="517"/>
      <c r="F640" s="517"/>
      <c r="G640" s="517"/>
      <c r="H640" s="639"/>
      <c r="I640" s="639"/>
      <c r="J640" s="336"/>
      <c r="K640" s="2056"/>
      <c r="L640" s="337"/>
      <c r="N640" s="2057"/>
      <c r="O640" s="337"/>
      <c r="P640" s="337"/>
      <c r="Q640" s="337"/>
      <c r="R640" s="337"/>
      <c r="S640" s="337"/>
      <c r="T640" s="337"/>
      <c r="U640" s="497"/>
      <c r="V640" s="497"/>
      <c r="W640" s="497"/>
      <c r="X640" s="497"/>
      <c r="Y640" s="497"/>
      <c r="Z640" s="497"/>
      <c r="AA640" s="497"/>
      <c r="AB640" s="497"/>
      <c r="AC640" s="497"/>
      <c r="AD640" s="497"/>
      <c r="AE640" s="497"/>
      <c r="AF640" s="497"/>
      <c r="AG640" s="497"/>
      <c r="AH640" s="497"/>
      <c r="AI640" s="497"/>
      <c r="AJ640" s="497"/>
      <c r="AK640" s="497"/>
      <c r="AL640" s="497"/>
      <c r="AM640" s="497"/>
      <c r="AN640" s="497"/>
      <c r="AO640" s="497"/>
      <c r="AP640" s="497"/>
      <c r="AQ640" s="497"/>
      <c r="AR640" s="497"/>
      <c r="AS640" s="497"/>
      <c r="AT640" s="497"/>
      <c r="AU640" s="497"/>
      <c r="AV640" s="497"/>
      <c r="AW640" s="497"/>
      <c r="AX640" s="497"/>
      <c r="AY640" s="497"/>
      <c r="AZ640" s="497"/>
      <c r="BA640" s="497"/>
      <c r="BB640" s="497"/>
      <c r="BC640" s="497"/>
      <c r="BD640" s="497"/>
      <c r="BE640" s="497"/>
      <c r="BF640" s="497"/>
      <c r="BG640" s="497"/>
      <c r="BH640" s="497"/>
      <c r="BI640" s="497"/>
      <c r="BJ640" s="497"/>
      <c r="BK640" s="497"/>
      <c r="BL640" s="497"/>
      <c r="BM640" s="497"/>
      <c r="BN640" s="497"/>
      <c r="BO640" s="497"/>
      <c r="BP640" s="497"/>
      <c r="BQ640" s="497"/>
      <c r="BR640" s="497"/>
      <c r="BS640" s="497"/>
      <c r="BT640" s="497"/>
      <c r="BU640" s="497"/>
      <c r="BV640" s="497"/>
      <c r="BW640" s="497"/>
      <c r="BX640" s="497"/>
      <c r="BY640" s="497"/>
      <c r="BZ640" s="497"/>
      <c r="CA640" s="497"/>
      <c r="CB640" s="497"/>
      <c r="CC640" s="497"/>
      <c r="CD640" s="497"/>
      <c r="CE640" s="497"/>
      <c r="CF640" s="497"/>
      <c r="CG640" s="497"/>
      <c r="CH640" s="497"/>
    </row>
    <row r="641" spans="1:86" s="335" customFormat="1">
      <c r="A641" s="517"/>
      <c r="B641" s="517"/>
      <c r="C641" s="517"/>
      <c r="D641" s="517"/>
      <c r="E641" s="517"/>
      <c r="F641" s="517"/>
      <c r="G641" s="517"/>
      <c r="H641" s="639"/>
      <c r="I641" s="639"/>
      <c r="J641" s="336"/>
      <c r="K641" s="2056"/>
      <c r="L641" s="337"/>
      <c r="N641" s="2057"/>
      <c r="O641" s="337"/>
      <c r="P641" s="337"/>
      <c r="Q641" s="337"/>
      <c r="R641" s="337"/>
      <c r="S641" s="337"/>
      <c r="T641" s="337"/>
      <c r="U641" s="497"/>
      <c r="V641" s="497"/>
      <c r="W641" s="497"/>
      <c r="X641" s="497"/>
      <c r="Y641" s="497"/>
      <c r="Z641" s="497"/>
      <c r="AA641" s="497"/>
      <c r="AB641" s="497"/>
      <c r="AC641" s="497"/>
      <c r="AD641" s="497"/>
      <c r="AE641" s="497"/>
      <c r="AF641" s="497"/>
      <c r="AG641" s="497"/>
      <c r="AH641" s="497"/>
      <c r="AI641" s="497"/>
      <c r="AJ641" s="497"/>
      <c r="AK641" s="497"/>
      <c r="AL641" s="497"/>
      <c r="AM641" s="497"/>
      <c r="AN641" s="497"/>
      <c r="AO641" s="497"/>
      <c r="AP641" s="497"/>
      <c r="AQ641" s="497"/>
      <c r="AR641" s="497"/>
      <c r="AS641" s="497"/>
      <c r="AT641" s="497"/>
      <c r="AU641" s="497"/>
      <c r="AV641" s="497"/>
      <c r="AW641" s="497"/>
      <c r="AX641" s="497"/>
      <c r="AY641" s="497"/>
      <c r="AZ641" s="497"/>
      <c r="BA641" s="497"/>
      <c r="BB641" s="497"/>
      <c r="BC641" s="497"/>
      <c r="BD641" s="497"/>
      <c r="BE641" s="497"/>
      <c r="BF641" s="497"/>
      <c r="BG641" s="497"/>
      <c r="BH641" s="497"/>
      <c r="BI641" s="497"/>
      <c r="BJ641" s="497"/>
      <c r="BK641" s="497"/>
      <c r="BL641" s="497"/>
      <c r="BM641" s="497"/>
      <c r="BN641" s="497"/>
      <c r="BO641" s="497"/>
      <c r="BP641" s="497"/>
      <c r="BQ641" s="497"/>
      <c r="BR641" s="497"/>
      <c r="BS641" s="497"/>
      <c r="BT641" s="497"/>
      <c r="BU641" s="497"/>
      <c r="BV641" s="497"/>
      <c r="BW641" s="497"/>
      <c r="BX641" s="497"/>
      <c r="BY641" s="497"/>
      <c r="BZ641" s="497"/>
      <c r="CA641" s="497"/>
      <c r="CB641" s="497"/>
      <c r="CC641" s="497"/>
      <c r="CD641" s="497"/>
      <c r="CE641" s="497"/>
      <c r="CF641" s="497"/>
      <c r="CG641" s="497"/>
      <c r="CH641" s="497"/>
    </row>
    <row r="642" spans="1:86" s="335" customFormat="1">
      <c r="A642" s="517"/>
      <c r="B642" s="517"/>
      <c r="C642" s="517"/>
      <c r="D642" s="517"/>
      <c r="E642" s="517"/>
      <c r="F642" s="517"/>
      <c r="G642" s="517"/>
      <c r="H642" s="639"/>
      <c r="I642" s="639"/>
      <c r="J642" s="336"/>
      <c r="K642" s="2056"/>
      <c r="L642" s="337"/>
      <c r="N642" s="2057"/>
      <c r="O642" s="337"/>
      <c r="P642" s="337"/>
      <c r="Q642" s="337"/>
      <c r="R642" s="337"/>
      <c r="S642" s="337"/>
      <c r="T642" s="337"/>
      <c r="U642" s="497"/>
      <c r="V642" s="497"/>
      <c r="W642" s="497"/>
      <c r="X642" s="497"/>
      <c r="Y642" s="497"/>
      <c r="Z642" s="497"/>
      <c r="AA642" s="497"/>
      <c r="AB642" s="497"/>
      <c r="AC642" s="497"/>
      <c r="AD642" s="497"/>
      <c r="AE642" s="497"/>
      <c r="AF642" s="497"/>
      <c r="AG642" s="497"/>
      <c r="AH642" s="497"/>
      <c r="AI642" s="497"/>
      <c r="AJ642" s="497"/>
      <c r="AK642" s="497"/>
      <c r="AL642" s="497"/>
      <c r="AM642" s="497"/>
      <c r="AN642" s="497"/>
      <c r="AO642" s="497"/>
      <c r="AP642" s="497"/>
      <c r="AQ642" s="497"/>
      <c r="AR642" s="497"/>
      <c r="AS642" s="497"/>
      <c r="AT642" s="497"/>
      <c r="AU642" s="497"/>
      <c r="AV642" s="497"/>
      <c r="AW642" s="497"/>
      <c r="AX642" s="497"/>
      <c r="AY642" s="497"/>
      <c r="AZ642" s="497"/>
      <c r="BA642" s="497"/>
      <c r="BB642" s="497"/>
      <c r="BC642" s="497"/>
      <c r="BD642" s="497"/>
      <c r="BE642" s="497"/>
      <c r="BF642" s="497"/>
      <c r="BG642" s="497"/>
      <c r="BH642" s="497"/>
      <c r="BI642" s="497"/>
      <c r="BJ642" s="497"/>
      <c r="BK642" s="497"/>
      <c r="BL642" s="497"/>
      <c r="BM642" s="497"/>
      <c r="BN642" s="497"/>
      <c r="BO642" s="497"/>
      <c r="BP642" s="497"/>
      <c r="BQ642" s="497"/>
      <c r="BR642" s="497"/>
      <c r="BS642" s="497"/>
      <c r="BT642" s="497"/>
      <c r="BU642" s="497"/>
      <c r="BV642" s="497"/>
      <c r="BW642" s="497"/>
      <c r="BX642" s="497"/>
      <c r="BY642" s="497"/>
      <c r="BZ642" s="497"/>
      <c r="CA642" s="497"/>
      <c r="CB642" s="497"/>
      <c r="CC642" s="497"/>
      <c r="CD642" s="497"/>
      <c r="CE642" s="497"/>
      <c r="CF642" s="497"/>
      <c r="CG642" s="497"/>
      <c r="CH642" s="497"/>
    </row>
    <row r="643" spans="1:86" s="335" customFormat="1">
      <c r="A643" s="517"/>
      <c r="B643" s="517"/>
      <c r="C643" s="517"/>
      <c r="D643" s="517"/>
      <c r="E643" s="517"/>
      <c r="F643" s="517"/>
      <c r="G643" s="517"/>
      <c r="H643" s="639"/>
      <c r="I643" s="639"/>
      <c r="J643" s="336"/>
      <c r="K643" s="2056"/>
      <c r="L643" s="337"/>
      <c r="N643" s="2057"/>
      <c r="O643" s="337"/>
      <c r="P643" s="337"/>
      <c r="Q643" s="337"/>
      <c r="R643" s="337"/>
      <c r="S643" s="337"/>
      <c r="T643" s="337"/>
      <c r="U643" s="497"/>
      <c r="V643" s="497"/>
      <c r="W643" s="497"/>
      <c r="X643" s="497"/>
      <c r="Y643" s="497"/>
      <c r="Z643" s="497"/>
      <c r="AA643" s="497"/>
      <c r="AB643" s="497"/>
      <c r="AC643" s="497"/>
      <c r="AD643" s="497"/>
      <c r="AE643" s="497"/>
      <c r="AF643" s="497"/>
      <c r="AG643" s="497"/>
      <c r="AH643" s="497"/>
      <c r="AI643" s="497"/>
      <c r="AJ643" s="497"/>
      <c r="AK643" s="497"/>
      <c r="AL643" s="497"/>
      <c r="AM643" s="497"/>
      <c r="AN643" s="497"/>
      <c r="AO643" s="497"/>
      <c r="AP643" s="497"/>
      <c r="AQ643" s="497"/>
      <c r="AR643" s="497"/>
      <c r="AS643" s="497"/>
      <c r="AT643" s="497"/>
      <c r="AU643" s="497"/>
      <c r="AV643" s="497"/>
      <c r="AW643" s="497"/>
      <c r="AX643" s="497"/>
      <c r="AY643" s="497"/>
      <c r="AZ643" s="497"/>
      <c r="BA643" s="497"/>
      <c r="BB643" s="497"/>
      <c r="BC643" s="497"/>
      <c r="BD643" s="497"/>
      <c r="BE643" s="497"/>
      <c r="BF643" s="497"/>
      <c r="BG643" s="497"/>
      <c r="BH643" s="497"/>
      <c r="BI643" s="497"/>
      <c r="BJ643" s="497"/>
      <c r="BK643" s="497"/>
      <c r="BL643" s="497"/>
      <c r="BM643" s="497"/>
      <c r="BN643" s="497"/>
      <c r="BO643" s="497"/>
      <c r="BP643" s="497"/>
      <c r="BQ643" s="497"/>
      <c r="BR643" s="497"/>
      <c r="BS643" s="497"/>
      <c r="BT643" s="497"/>
      <c r="BU643" s="497"/>
      <c r="BV643" s="497"/>
      <c r="BW643" s="497"/>
      <c r="BX643" s="497"/>
      <c r="BY643" s="497"/>
      <c r="BZ643" s="497"/>
      <c r="CA643" s="497"/>
      <c r="CB643" s="497"/>
      <c r="CC643" s="497"/>
      <c r="CD643" s="497"/>
      <c r="CE643" s="497"/>
      <c r="CF643" s="497"/>
      <c r="CG643" s="497"/>
      <c r="CH643" s="497"/>
    </row>
    <row r="644" spans="1:86" s="335" customFormat="1">
      <c r="A644" s="517"/>
      <c r="B644" s="517"/>
      <c r="C644" s="517"/>
      <c r="D644" s="517"/>
      <c r="E644" s="517"/>
      <c r="F644" s="517"/>
      <c r="G644" s="517"/>
      <c r="H644" s="639"/>
      <c r="I644" s="639"/>
      <c r="J644" s="336"/>
      <c r="K644" s="2056"/>
      <c r="L644" s="337"/>
      <c r="N644" s="2057"/>
      <c r="O644" s="337"/>
      <c r="P644" s="337"/>
      <c r="Q644" s="337"/>
      <c r="R644" s="337"/>
      <c r="S644" s="337"/>
      <c r="T644" s="337"/>
      <c r="U644" s="497"/>
      <c r="V644" s="497"/>
      <c r="W644" s="497"/>
      <c r="X644" s="497"/>
      <c r="Y644" s="497"/>
      <c r="Z644" s="497"/>
      <c r="AA644" s="497"/>
      <c r="AB644" s="497"/>
      <c r="AC644" s="497"/>
      <c r="AD644" s="497"/>
      <c r="AE644" s="497"/>
      <c r="AF644" s="497"/>
      <c r="AG644" s="497"/>
      <c r="AH644" s="497"/>
      <c r="AI644" s="497"/>
      <c r="AJ644" s="497"/>
      <c r="AK644" s="497"/>
      <c r="AL644" s="497"/>
      <c r="AM644" s="497"/>
      <c r="AN644" s="497"/>
      <c r="AO644" s="497"/>
      <c r="AP644" s="497"/>
      <c r="AQ644" s="497"/>
      <c r="AR644" s="497"/>
      <c r="AS644" s="497"/>
      <c r="AT644" s="497"/>
      <c r="AU644" s="497"/>
      <c r="AV644" s="497"/>
      <c r="AW644" s="497"/>
      <c r="AX644" s="497"/>
      <c r="AY644" s="497"/>
      <c r="AZ644" s="497"/>
      <c r="BA644" s="497"/>
      <c r="BB644" s="497"/>
      <c r="BC644" s="497"/>
      <c r="BD644" s="497"/>
      <c r="BE644" s="497"/>
      <c r="BF644" s="497"/>
      <c r="BG644" s="497"/>
      <c r="BH644" s="497"/>
      <c r="BI644" s="497"/>
      <c r="BJ644" s="497"/>
      <c r="BK644" s="497"/>
      <c r="BL644" s="497"/>
      <c r="BM644" s="497"/>
      <c r="BN644" s="497"/>
      <c r="BO644" s="497"/>
      <c r="BP644" s="497"/>
      <c r="BQ644" s="497"/>
      <c r="BR644" s="497"/>
      <c r="BS644" s="497"/>
      <c r="BT644" s="497"/>
      <c r="BU644" s="497"/>
      <c r="BV644" s="497"/>
      <c r="BW644" s="497"/>
      <c r="BX644" s="497"/>
      <c r="BY644" s="497"/>
      <c r="BZ644" s="497"/>
      <c r="CA644" s="497"/>
      <c r="CB644" s="497"/>
      <c r="CC644" s="497"/>
      <c r="CD644" s="497"/>
      <c r="CE644" s="497"/>
      <c r="CF644" s="497"/>
      <c r="CG644" s="497"/>
      <c r="CH644" s="497"/>
    </row>
    <row r="645" spans="1:86" s="335" customFormat="1">
      <c r="A645" s="517"/>
      <c r="B645" s="517"/>
      <c r="C645" s="517"/>
      <c r="D645" s="517"/>
      <c r="E645" s="517"/>
      <c r="F645" s="517"/>
      <c r="G645" s="517"/>
      <c r="H645" s="639"/>
      <c r="I645" s="639"/>
      <c r="J645" s="336"/>
      <c r="K645" s="2056"/>
      <c r="L645" s="337"/>
      <c r="N645" s="2057"/>
      <c r="O645" s="337"/>
      <c r="P645" s="337"/>
      <c r="Q645" s="337"/>
      <c r="R645" s="337"/>
      <c r="S645" s="337"/>
      <c r="T645" s="337"/>
      <c r="U645" s="497"/>
      <c r="V645" s="497"/>
      <c r="W645" s="497"/>
      <c r="X645" s="497"/>
      <c r="Y645" s="497"/>
      <c r="Z645" s="497"/>
      <c r="AA645" s="497"/>
      <c r="AB645" s="497"/>
      <c r="AC645" s="497"/>
      <c r="AD645" s="497"/>
      <c r="AE645" s="497"/>
      <c r="AF645" s="497"/>
      <c r="AG645" s="497"/>
      <c r="AH645" s="497"/>
      <c r="AI645" s="497"/>
      <c r="AJ645" s="497"/>
      <c r="AK645" s="497"/>
      <c r="AL645" s="497"/>
      <c r="AM645" s="497"/>
      <c r="AN645" s="497"/>
      <c r="AO645" s="497"/>
      <c r="AP645" s="497"/>
      <c r="AQ645" s="497"/>
      <c r="AR645" s="497"/>
      <c r="AS645" s="497"/>
      <c r="AT645" s="497"/>
      <c r="AU645" s="497"/>
      <c r="AV645" s="497"/>
      <c r="AW645" s="497"/>
      <c r="AX645" s="497"/>
      <c r="AY645" s="497"/>
      <c r="AZ645" s="497"/>
      <c r="BA645" s="497"/>
      <c r="BB645" s="497"/>
      <c r="BC645" s="497"/>
      <c r="BD645" s="497"/>
      <c r="BE645" s="497"/>
      <c r="BF645" s="497"/>
      <c r="BG645" s="497"/>
      <c r="BH645" s="497"/>
      <c r="BI645" s="497"/>
      <c r="BJ645" s="497"/>
      <c r="BK645" s="497"/>
      <c r="BL645" s="497"/>
      <c r="BM645" s="497"/>
      <c r="BN645" s="497"/>
      <c r="BO645" s="497"/>
      <c r="BP645" s="497"/>
      <c r="BQ645" s="497"/>
      <c r="BR645" s="497"/>
      <c r="BS645" s="497"/>
      <c r="BT645" s="497"/>
      <c r="BU645" s="497"/>
      <c r="BV645" s="497"/>
      <c r="BW645" s="497"/>
      <c r="BX645" s="497"/>
      <c r="BY645" s="497"/>
      <c r="BZ645" s="497"/>
      <c r="CA645" s="497"/>
      <c r="CB645" s="497"/>
      <c r="CC645" s="497"/>
      <c r="CD645" s="497"/>
      <c r="CE645" s="497"/>
      <c r="CF645" s="497"/>
      <c r="CG645" s="497"/>
      <c r="CH645" s="497"/>
    </row>
    <row r="646" spans="1:86" s="335" customFormat="1">
      <c r="A646" s="517"/>
      <c r="B646" s="517"/>
      <c r="C646" s="517"/>
      <c r="D646" s="517"/>
      <c r="E646" s="517"/>
      <c r="F646" s="517"/>
      <c r="G646" s="517"/>
      <c r="H646" s="639"/>
      <c r="I646" s="639"/>
      <c r="J646" s="336"/>
      <c r="K646" s="2056"/>
      <c r="L646" s="337"/>
      <c r="N646" s="2057"/>
      <c r="O646" s="337"/>
      <c r="P646" s="337"/>
      <c r="Q646" s="337"/>
      <c r="R646" s="337"/>
      <c r="S646" s="337"/>
      <c r="T646" s="337"/>
      <c r="U646" s="497"/>
      <c r="V646" s="497"/>
      <c r="W646" s="497"/>
      <c r="X646" s="497"/>
      <c r="Y646" s="497"/>
      <c r="Z646" s="497"/>
      <c r="AA646" s="497"/>
      <c r="AB646" s="497"/>
      <c r="AC646" s="497"/>
      <c r="AD646" s="497"/>
      <c r="AE646" s="497"/>
      <c r="AF646" s="497"/>
      <c r="AG646" s="497"/>
      <c r="AH646" s="497"/>
      <c r="AI646" s="497"/>
      <c r="AJ646" s="497"/>
      <c r="AK646" s="497"/>
      <c r="AL646" s="497"/>
      <c r="AM646" s="497"/>
      <c r="AN646" s="497"/>
      <c r="AO646" s="497"/>
      <c r="AP646" s="497"/>
      <c r="AQ646" s="497"/>
      <c r="AR646" s="497"/>
      <c r="AS646" s="497"/>
      <c r="AT646" s="497"/>
      <c r="AU646" s="497"/>
      <c r="AV646" s="497"/>
      <c r="AW646" s="497"/>
      <c r="AX646" s="497"/>
      <c r="AY646" s="497"/>
      <c r="AZ646" s="497"/>
      <c r="BA646" s="497"/>
      <c r="BB646" s="497"/>
      <c r="BC646" s="497"/>
      <c r="BD646" s="497"/>
      <c r="BE646" s="497"/>
      <c r="BF646" s="497"/>
      <c r="BG646" s="497"/>
      <c r="BH646" s="497"/>
      <c r="BI646" s="497"/>
      <c r="BJ646" s="497"/>
      <c r="BK646" s="497"/>
      <c r="BL646" s="497"/>
      <c r="BM646" s="497"/>
      <c r="BN646" s="497"/>
      <c r="BO646" s="497"/>
      <c r="BP646" s="497"/>
      <c r="BQ646" s="497"/>
      <c r="BR646" s="497"/>
      <c r="BS646" s="497"/>
      <c r="BT646" s="497"/>
      <c r="BU646" s="497"/>
      <c r="BV646" s="497"/>
      <c r="BW646" s="497"/>
      <c r="BX646" s="497"/>
      <c r="BY646" s="497"/>
      <c r="BZ646" s="497"/>
      <c r="CA646" s="497"/>
      <c r="CB646" s="497"/>
      <c r="CC646" s="497"/>
      <c r="CD646" s="497"/>
      <c r="CE646" s="497"/>
      <c r="CF646" s="497"/>
      <c r="CG646" s="497"/>
      <c r="CH646" s="497"/>
    </row>
    <row r="647" spans="1:86" s="335" customFormat="1">
      <c r="A647" s="517"/>
      <c r="B647" s="517"/>
      <c r="C647" s="517"/>
      <c r="D647" s="517"/>
      <c r="E647" s="517"/>
      <c r="F647" s="517"/>
      <c r="G647" s="517"/>
      <c r="H647" s="639"/>
      <c r="I647" s="639"/>
      <c r="J647" s="336"/>
      <c r="K647" s="2056"/>
      <c r="L647" s="337"/>
      <c r="N647" s="2057"/>
      <c r="O647" s="337"/>
      <c r="P647" s="337"/>
      <c r="Q647" s="337"/>
      <c r="R647" s="337"/>
      <c r="S647" s="337"/>
      <c r="T647" s="337"/>
      <c r="U647" s="497"/>
      <c r="V647" s="497"/>
      <c r="W647" s="497"/>
      <c r="X647" s="497"/>
      <c r="Y647" s="497"/>
      <c r="Z647" s="497"/>
      <c r="AA647" s="497"/>
      <c r="AB647" s="497"/>
      <c r="AC647" s="497"/>
      <c r="AD647" s="497"/>
      <c r="AE647" s="497"/>
      <c r="AF647" s="497"/>
      <c r="AG647" s="497"/>
      <c r="AH647" s="497"/>
      <c r="AI647" s="497"/>
      <c r="AJ647" s="497"/>
      <c r="AK647" s="497"/>
      <c r="AL647" s="497"/>
      <c r="AM647" s="497"/>
      <c r="AN647" s="497"/>
      <c r="AO647" s="497"/>
      <c r="AP647" s="497"/>
      <c r="AQ647" s="497"/>
      <c r="AR647" s="497"/>
      <c r="AS647" s="497"/>
      <c r="AT647" s="497"/>
      <c r="AU647" s="497"/>
      <c r="AV647" s="497"/>
      <c r="AW647" s="497"/>
      <c r="AX647" s="497"/>
      <c r="AY647" s="497"/>
      <c r="AZ647" s="497"/>
      <c r="BA647" s="497"/>
      <c r="BB647" s="497"/>
      <c r="BC647" s="497"/>
      <c r="BD647" s="497"/>
      <c r="BE647" s="497"/>
      <c r="BF647" s="497"/>
      <c r="BG647" s="497"/>
      <c r="BH647" s="497"/>
      <c r="BI647" s="497"/>
      <c r="BJ647" s="497"/>
      <c r="BK647" s="497"/>
      <c r="BL647" s="497"/>
      <c r="BM647" s="497"/>
      <c r="BN647" s="497"/>
      <c r="BO647" s="497"/>
      <c r="BP647" s="497"/>
      <c r="BQ647" s="497"/>
      <c r="BR647" s="497"/>
      <c r="BS647" s="497"/>
      <c r="BT647" s="497"/>
      <c r="BU647" s="497"/>
      <c r="BV647" s="497"/>
      <c r="BW647" s="497"/>
      <c r="BX647" s="497"/>
      <c r="BY647" s="497"/>
      <c r="BZ647" s="497"/>
      <c r="CA647" s="497"/>
      <c r="CB647" s="497"/>
      <c r="CC647" s="497"/>
      <c r="CD647" s="497"/>
      <c r="CE647" s="497"/>
      <c r="CF647" s="497"/>
      <c r="CG647" s="497"/>
      <c r="CH647" s="497"/>
    </row>
    <row r="648" spans="1:86" s="335" customFormat="1">
      <c r="A648" s="517"/>
      <c r="B648" s="517"/>
      <c r="C648" s="517"/>
      <c r="D648" s="517"/>
      <c r="E648" s="517"/>
      <c r="F648" s="517"/>
      <c r="G648" s="517"/>
      <c r="H648" s="639"/>
      <c r="I648" s="639"/>
      <c r="J648" s="336"/>
      <c r="K648" s="2056"/>
      <c r="L648" s="337"/>
      <c r="N648" s="2057"/>
      <c r="O648" s="337"/>
      <c r="P648" s="337"/>
      <c r="Q648" s="337"/>
      <c r="R648" s="337"/>
      <c r="S648" s="337"/>
      <c r="T648" s="337"/>
      <c r="U648" s="497"/>
      <c r="V648" s="497"/>
      <c r="W648" s="497"/>
      <c r="X648" s="497"/>
      <c r="Y648" s="497"/>
      <c r="Z648" s="497"/>
      <c r="AA648" s="497"/>
      <c r="AB648" s="497"/>
      <c r="AC648" s="497"/>
      <c r="AD648" s="497"/>
      <c r="AE648" s="497"/>
      <c r="AF648" s="497"/>
      <c r="AG648" s="497"/>
      <c r="AH648" s="497"/>
      <c r="AI648" s="497"/>
      <c r="AJ648" s="497"/>
      <c r="AK648" s="497"/>
      <c r="AL648" s="497"/>
      <c r="AM648" s="497"/>
      <c r="AN648" s="497"/>
      <c r="AO648" s="497"/>
      <c r="AP648" s="497"/>
      <c r="AQ648" s="497"/>
      <c r="AR648" s="497"/>
      <c r="AS648" s="497"/>
      <c r="AT648" s="497"/>
      <c r="AU648" s="497"/>
      <c r="AV648" s="497"/>
      <c r="AW648" s="497"/>
      <c r="AX648" s="497"/>
      <c r="AY648" s="497"/>
      <c r="AZ648" s="497"/>
      <c r="BA648" s="497"/>
      <c r="BB648" s="497"/>
      <c r="BC648" s="497"/>
      <c r="BD648" s="497"/>
      <c r="BE648" s="497"/>
      <c r="BF648" s="497"/>
      <c r="BG648" s="497"/>
      <c r="BH648" s="497"/>
      <c r="BI648" s="497"/>
      <c r="BJ648" s="497"/>
      <c r="BK648" s="497"/>
      <c r="BL648" s="497"/>
      <c r="BM648" s="497"/>
      <c r="BN648" s="497"/>
      <c r="BO648" s="497"/>
      <c r="BP648" s="497"/>
      <c r="BQ648" s="497"/>
      <c r="BR648" s="497"/>
      <c r="BS648" s="497"/>
      <c r="BT648" s="497"/>
      <c r="BU648" s="497"/>
      <c r="BV648" s="497"/>
      <c r="BW648" s="497"/>
      <c r="BX648" s="497"/>
      <c r="BY648" s="497"/>
      <c r="BZ648" s="497"/>
      <c r="CA648" s="497"/>
      <c r="CB648" s="497"/>
      <c r="CC648" s="497"/>
      <c r="CD648" s="497"/>
      <c r="CE648" s="497"/>
      <c r="CF648" s="497"/>
      <c r="CG648" s="497"/>
      <c r="CH648" s="497"/>
    </row>
    <row r="649" spans="1:86" s="335" customFormat="1">
      <c r="A649" s="517"/>
      <c r="B649" s="517"/>
      <c r="C649" s="517"/>
      <c r="D649" s="517"/>
      <c r="E649" s="517"/>
      <c r="F649" s="517"/>
      <c r="G649" s="517"/>
      <c r="H649" s="639"/>
      <c r="I649" s="639"/>
      <c r="J649" s="336"/>
      <c r="K649" s="2056"/>
      <c r="L649" s="337"/>
      <c r="N649" s="2057"/>
      <c r="O649" s="337"/>
      <c r="P649" s="337"/>
      <c r="Q649" s="337"/>
      <c r="R649" s="337"/>
      <c r="S649" s="337"/>
      <c r="T649" s="337"/>
      <c r="U649" s="497"/>
      <c r="V649" s="497"/>
      <c r="W649" s="497"/>
      <c r="X649" s="497"/>
      <c r="Y649" s="497"/>
      <c r="Z649" s="497"/>
      <c r="AA649" s="497"/>
      <c r="AB649" s="497"/>
      <c r="AC649" s="497"/>
      <c r="AD649" s="497"/>
      <c r="AE649" s="497"/>
      <c r="AF649" s="497"/>
      <c r="AG649" s="497"/>
      <c r="AH649" s="497"/>
      <c r="AI649" s="497"/>
      <c r="AJ649" s="497"/>
      <c r="AK649" s="497"/>
      <c r="AL649" s="497"/>
      <c r="AM649" s="497"/>
      <c r="AN649" s="497"/>
      <c r="AO649" s="497"/>
      <c r="AP649" s="497"/>
      <c r="AQ649" s="497"/>
      <c r="AR649" s="497"/>
      <c r="AS649" s="497"/>
      <c r="AT649" s="497"/>
      <c r="AU649" s="497"/>
      <c r="AV649" s="497"/>
      <c r="AW649" s="497"/>
      <c r="AX649" s="497"/>
      <c r="AY649" s="497"/>
      <c r="AZ649" s="497"/>
      <c r="BA649" s="497"/>
      <c r="BB649" s="497"/>
      <c r="BC649" s="497"/>
      <c r="BD649" s="497"/>
      <c r="BE649" s="497"/>
      <c r="BF649" s="497"/>
      <c r="BG649" s="497"/>
      <c r="BH649" s="497"/>
      <c r="BI649" s="497"/>
      <c r="BJ649" s="497"/>
      <c r="BK649" s="497"/>
      <c r="BL649" s="497"/>
      <c r="BM649" s="497"/>
      <c r="BN649" s="497"/>
      <c r="BO649" s="497"/>
      <c r="BP649" s="497"/>
      <c r="BQ649" s="497"/>
      <c r="BR649" s="497"/>
      <c r="BS649" s="497"/>
      <c r="BT649" s="497"/>
      <c r="BU649" s="497"/>
      <c r="BV649" s="497"/>
      <c r="BW649" s="497"/>
      <c r="BX649" s="497"/>
      <c r="BY649" s="497"/>
      <c r="BZ649" s="497"/>
      <c r="CA649" s="497"/>
      <c r="CB649" s="497"/>
      <c r="CC649" s="497"/>
      <c r="CD649" s="497"/>
      <c r="CE649" s="497"/>
      <c r="CF649" s="497"/>
      <c r="CG649" s="497"/>
      <c r="CH649" s="497"/>
    </row>
    <row r="650" spans="1:86" s="335" customFormat="1">
      <c r="A650" s="517"/>
      <c r="B650" s="517"/>
      <c r="C650" s="517"/>
      <c r="D650" s="517"/>
      <c r="E650" s="517"/>
      <c r="F650" s="517"/>
      <c r="G650" s="517"/>
      <c r="H650" s="639"/>
      <c r="I650" s="639"/>
      <c r="J650" s="336"/>
      <c r="K650" s="2056"/>
      <c r="L650" s="337"/>
      <c r="N650" s="2057"/>
      <c r="O650" s="337"/>
      <c r="P650" s="337"/>
      <c r="Q650" s="337"/>
      <c r="R650" s="337"/>
      <c r="S650" s="337"/>
      <c r="T650" s="337"/>
      <c r="U650" s="497"/>
      <c r="V650" s="497"/>
      <c r="W650" s="497"/>
      <c r="X650" s="497"/>
      <c r="Y650" s="497"/>
      <c r="Z650" s="497"/>
      <c r="AA650" s="497"/>
      <c r="AB650" s="497"/>
      <c r="AC650" s="497"/>
      <c r="AD650" s="497"/>
      <c r="AE650" s="497"/>
      <c r="AF650" s="497"/>
      <c r="AG650" s="497"/>
      <c r="AH650" s="497"/>
      <c r="AI650" s="497"/>
      <c r="AJ650" s="497"/>
      <c r="AK650" s="497"/>
      <c r="AL650" s="497"/>
      <c r="AM650" s="497"/>
      <c r="AN650" s="497"/>
      <c r="AO650" s="497"/>
      <c r="AP650" s="497"/>
      <c r="AQ650" s="497"/>
      <c r="AR650" s="497"/>
      <c r="AS650" s="497"/>
      <c r="AT650" s="497"/>
      <c r="AU650" s="497"/>
      <c r="AV650" s="497"/>
      <c r="AW650" s="497"/>
      <c r="AX650" s="497"/>
      <c r="AY650" s="497"/>
      <c r="AZ650" s="497"/>
      <c r="BA650" s="497"/>
      <c r="BB650" s="497"/>
      <c r="BC650" s="497"/>
      <c r="BD650" s="497"/>
      <c r="BE650" s="497"/>
      <c r="BF650" s="497"/>
      <c r="BG650" s="497"/>
      <c r="BH650" s="497"/>
      <c r="BI650" s="497"/>
      <c r="BJ650" s="497"/>
      <c r="BK650" s="497"/>
      <c r="BL650" s="497"/>
      <c r="BM650" s="497"/>
      <c r="BN650" s="497"/>
      <c r="BO650" s="497"/>
      <c r="BP650" s="497"/>
      <c r="BQ650" s="497"/>
      <c r="BR650" s="497"/>
      <c r="BS650" s="497"/>
      <c r="BT650" s="497"/>
      <c r="BU650" s="497"/>
      <c r="BV650" s="497"/>
      <c r="BW650" s="497"/>
      <c r="BX650" s="497"/>
      <c r="BY650" s="497"/>
      <c r="BZ650" s="497"/>
      <c r="CA650" s="497"/>
      <c r="CB650" s="497"/>
      <c r="CC650" s="497"/>
      <c r="CD650" s="497"/>
      <c r="CE650" s="497"/>
      <c r="CF650" s="497"/>
      <c r="CG650" s="497"/>
      <c r="CH650" s="497"/>
    </row>
    <row r="651" spans="1:86" s="335" customFormat="1">
      <c r="A651" s="517"/>
      <c r="B651" s="517"/>
      <c r="C651" s="517"/>
      <c r="D651" s="517"/>
      <c r="E651" s="517"/>
      <c r="F651" s="517"/>
      <c r="G651" s="517"/>
      <c r="H651" s="639"/>
      <c r="I651" s="639"/>
      <c r="J651" s="336"/>
      <c r="K651" s="2056"/>
      <c r="L651" s="337"/>
      <c r="N651" s="2057"/>
      <c r="O651" s="337"/>
      <c r="P651" s="337"/>
      <c r="Q651" s="337"/>
      <c r="R651" s="337"/>
      <c r="S651" s="337"/>
      <c r="T651" s="337"/>
      <c r="U651" s="497"/>
      <c r="V651" s="497"/>
      <c r="W651" s="497"/>
      <c r="X651" s="497"/>
      <c r="Y651" s="497"/>
      <c r="Z651" s="497"/>
      <c r="AA651" s="497"/>
      <c r="AB651" s="497"/>
      <c r="AC651" s="497"/>
      <c r="AD651" s="497"/>
      <c r="AE651" s="497"/>
      <c r="AF651" s="497"/>
      <c r="AG651" s="497"/>
      <c r="AH651" s="497"/>
      <c r="AI651" s="497"/>
      <c r="AJ651" s="497"/>
      <c r="AK651" s="497"/>
      <c r="AL651" s="497"/>
      <c r="AM651" s="497"/>
      <c r="AN651" s="497"/>
      <c r="AO651" s="497"/>
      <c r="AP651" s="497"/>
      <c r="AQ651" s="497"/>
      <c r="AR651" s="497"/>
      <c r="AS651" s="497"/>
      <c r="AT651" s="497"/>
      <c r="AU651" s="497"/>
      <c r="AV651" s="497"/>
      <c r="AW651" s="497"/>
      <c r="AX651" s="497"/>
      <c r="AY651" s="497"/>
      <c r="AZ651" s="497"/>
      <c r="BA651" s="497"/>
      <c r="BB651" s="497"/>
      <c r="BC651" s="497"/>
      <c r="BD651" s="497"/>
      <c r="BE651" s="497"/>
      <c r="BF651" s="497"/>
      <c r="BG651" s="497"/>
      <c r="BH651" s="497"/>
      <c r="BI651" s="497"/>
      <c r="BJ651" s="497"/>
      <c r="BK651" s="497"/>
      <c r="BL651" s="497"/>
      <c r="BM651" s="497"/>
      <c r="BN651" s="497"/>
      <c r="BO651" s="497"/>
      <c r="BP651" s="497"/>
      <c r="BQ651" s="497"/>
      <c r="BR651" s="497"/>
      <c r="BS651" s="497"/>
      <c r="BT651" s="497"/>
      <c r="BU651" s="497"/>
      <c r="BV651" s="497"/>
      <c r="BW651" s="497"/>
      <c r="BX651" s="497"/>
      <c r="BY651" s="497"/>
      <c r="BZ651" s="497"/>
      <c r="CA651" s="497"/>
      <c r="CB651" s="497"/>
      <c r="CC651" s="497"/>
      <c r="CD651" s="497"/>
      <c r="CE651" s="497"/>
      <c r="CF651" s="497"/>
      <c r="CG651" s="497"/>
      <c r="CH651" s="497"/>
    </row>
    <row r="652" spans="1:86" s="335" customFormat="1">
      <c r="A652" s="517"/>
      <c r="B652" s="517"/>
      <c r="C652" s="517"/>
      <c r="D652" s="517"/>
      <c r="E652" s="517"/>
      <c r="F652" s="517"/>
      <c r="G652" s="517"/>
      <c r="H652" s="639"/>
      <c r="I652" s="639"/>
      <c r="J652" s="336"/>
      <c r="K652" s="2056"/>
      <c r="L652" s="337"/>
      <c r="N652" s="2057"/>
      <c r="O652" s="337"/>
      <c r="P652" s="337"/>
      <c r="Q652" s="337"/>
      <c r="R652" s="337"/>
      <c r="S652" s="337"/>
      <c r="T652" s="337"/>
      <c r="U652" s="497"/>
      <c r="V652" s="497"/>
      <c r="W652" s="497"/>
      <c r="X652" s="497"/>
      <c r="Y652" s="497"/>
      <c r="Z652" s="497"/>
      <c r="AA652" s="497"/>
      <c r="AB652" s="497"/>
      <c r="AC652" s="497"/>
      <c r="AD652" s="497"/>
      <c r="AE652" s="497"/>
      <c r="AF652" s="497"/>
      <c r="AG652" s="497"/>
      <c r="AH652" s="497"/>
      <c r="AI652" s="497"/>
      <c r="AJ652" s="497"/>
      <c r="AK652" s="497"/>
      <c r="AL652" s="497"/>
      <c r="AM652" s="497"/>
      <c r="AN652" s="497"/>
      <c r="AO652" s="497"/>
      <c r="AP652" s="497"/>
      <c r="AQ652" s="497"/>
      <c r="AR652" s="497"/>
      <c r="AS652" s="497"/>
      <c r="AT652" s="497"/>
      <c r="AU652" s="497"/>
      <c r="AV652" s="497"/>
      <c r="AW652" s="497"/>
      <c r="AX652" s="497"/>
      <c r="AY652" s="497"/>
      <c r="AZ652" s="497"/>
      <c r="BA652" s="497"/>
      <c r="BB652" s="497"/>
      <c r="BC652" s="497"/>
      <c r="BD652" s="497"/>
      <c r="BE652" s="497"/>
      <c r="BF652" s="497"/>
      <c r="BG652" s="497"/>
      <c r="BH652" s="497"/>
      <c r="BI652" s="497"/>
      <c r="BJ652" s="497"/>
      <c r="BK652" s="497"/>
      <c r="BL652" s="497"/>
      <c r="BM652" s="497"/>
      <c r="BN652" s="497"/>
      <c r="BO652" s="497"/>
      <c r="BP652" s="497"/>
      <c r="BQ652" s="497"/>
      <c r="BR652" s="497"/>
      <c r="BS652" s="497"/>
      <c r="BT652" s="497"/>
      <c r="BU652" s="497"/>
      <c r="BV652" s="497"/>
      <c r="BW652" s="497"/>
      <c r="BX652" s="497"/>
      <c r="BY652" s="497"/>
      <c r="BZ652" s="497"/>
      <c r="CA652" s="497"/>
      <c r="CB652" s="497"/>
      <c r="CC652" s="497"/>
      <c r="CD652" s="497"/>
      <c r="CE652" s="497"/>
      <c r="CF652" s="497"/>
      <c r="CG652" s="497"/>
      <c r="CH652" s="497"/>
    </row>
    <row r="653" spans="1:86" s="335" customFormat="1">
      <c r="A653" s="517"/>
      <c r="B653" s="517"/>
      <c r="C653" s="517"/>
      <c r="D653" s="517"/>
      <c r="E653" s="517"/>
      <c r="F653" s="517"/>
      <c r="G653" s="517"/>
      <c r="H653" s="639"/>
      <c r="I653" s="639"/>
      <c r="J653" s="336"/>
      <c r="K653" s="2056"/>
      <c r="L653" s="337"/>
      <c r="N653" s="2057"/>
      <c r="O653" s="337"/>
      <c r="P653" s="337"/>
      <c r="Q653" s="337"/>
      <c r="R653" s="337"/>
      <c r="S653" s="337"/>
      <c r="T653" s="337"/>
      <c r="U653" s="497"/>
      <c r="V653" s="497"/>
      <c r="W653" s="497"/>
      <c r="X653" s="497"/>
      <c r="Y653" s="497"/>
      <c r="Z653" s="497"/>
      <c r="AA653" s="497"/>
      <c r="AB653" s="497"/>
      <c r="AC653" s="497"/>
      <c r="AD653" s="497"/>
      <c r="AE653" s="497"/>
      <c r="AF653" s="497"/>
      <c r="AG653" s="497"/>
      <c r="AH653" s="497"/>
      <c r="AI653" s="497"/>
      <c r="AJ653" s="497"/>
      <c r="AK653" s="497"/>
      <c r="AL653" s="497"/>
      <c r="AM653" s="497"/>
      <c r="AN653" s="497"/>
      <c r="AO653" s="497"/>
      <c r="AP653" s="497"/>
      <c r="AQ653" s="497"/>
      <c r="AR653" s="497"/>
      <c r="AS653" s="497"/>
      <c r="AT653" s="497"/>
      <c r="AU653" s="497"/>
      <c r="AV653" s="497"/>
      <c r="AW653" s="497"/>
      <c r="AX653" s="497"/>
      <c r="AY653" s="497"/>
      <c r="AZ653" s="497"/>
      <c r="BA653" s="497"/>
      <c r="BB653" s="497"/>
      <c r="BC653" s="497"/>
      <c r="BD653" s="497"/>
      <c r="BE653" s="497"/>
      <c r="BF653" s="497"/>
      <c r="BG653" s="497"/>
      <c r="BH653" s="497"/>
      <c r="BI653" s="497"/>
      <c r="BJ653" s="497"/>
      <c r="BK653" s="497"/>
      <c r="BL653" s="497"/>
      <c r="BM653" s="497"/>
      <c r="BN653" s="497"/>
      <c r="BO653" s="497"/>
      <c r="BP653" s="497"/>
      <c r="BQ653" s="497"/>
      <c r="BR653" s="497"/>
      <c r="BS653" s="497"/>
      <c r="BT653" s="497"/>
      <c r="BU653" s="497"/>
      <c r="BV653" s="497"/>
      <c r="BW653" s="497"/>
      <c r="BX653" s="497"/>
      <c r="BY653" s="497"/>
      <c r="BZ653" s="497"/>
      <c r="CA653" s="497"/>
      <c r="CB653" s="497"/>
      <c r="CC653" s="497"/>
      <c r="CD653" s="497"/>
      <c r="CE653" s="497"/>
      <c r="CF653" s="497"/>
      <c r="CG653" s="497"/>
      <c r="CH653" s="497"/>
    </row>
    <row r="654" spans="1:86" s="335" customFormat="1">
      <c r="A654" s="517"/>
      <c r="B654" s="517"/>
      <c r="C654" s="517"/>
      <c r="D654" s="517"/>
      <c r="E654" s="517"/>
      <c r="F654" s="517"/>
      <c r="G654" s="517"/>
      <c r="H654" s="639"/>
      <c r="I654" s="639"/>
      <c r="J654" s="336"/>
      <c r="K654" s="2056"/>
      <c r="L654" s="337"/>
      <c r="N654" s="2057"/>
      <c r="O654" s="337"/>
      <c r="P654" s="337"/>
      <c r="Q654" s="337"/>
      <c r="R654" s="337"/>
      <c r="S654" s="337"/>
      <c r="T654" s="337"/>
      <c r="U654" s="497"/>
      <c r="V654" s="497"/>
      <c r="W654" s="497"/>
      <c r="X654" s="497"/>
      <c r="Y654" s="497"/>
      <c r="Z654" s="497"/>
      <c r="AA654" s="497"/>
      <c r="AB654" s="497"/>
      <c r="AC654" s="497"/>
      <c r="AD654" s="497"/>
      <c r="AE654" s="497"/>
      <c r="AF654" s="497"/>
      <c r="AG654" s="497"/>
      <c r="AH654" s="497"/>
      <c r="AI654" s="497"/>
      <c r="AJ654" s="497"/>
      <c r="AK654" s="497"/>
      <c r="AL654" s="497"/>
      <c r="AM654" s="497"/>
      <c r="AN654" s="497"/>
      <c r="AO654" s="497"/>
      <c r="AP654" s="497"/>
      <c r="AQ654" s="497"/>
      <c r="AR654" s="497"/>
      <c r="AS654" s="497"/>
      <c r="AT654" s="497"/>
      <c r="AU654" s="497"/>
      <c r="AV654" s="497"/>
      <c r="AW654" s="497"/>
      <c r="AX654" s="497"/>
      <c r="AY654" s="497"/>
      <c r="AZ654" s="497"/>
      <c r="BA654" s="497"/>
      <c r="BB654" s="497"/>
      <c r="BC654" s="497"/>
      <c r="BD654" s="497"/>
      <c r="BE654" s="497"/>
      <c r="BF654" s="497"/>
      <c r="BG654" s="497"/>
      <c r="BH654" s="497"/>
      <c r="BI654" s="497"/>
      <c r="BJ654" s="497"/>
      <c r="BK654" s="497"/>
      <c r="BL654" s="497"/>
      <c r="BM654" s="497"/>
      <c r="BN654" s="497"/>
      <c r="BO654" s="497"/>
      <c r="BP654" s="497"/>
      <c r="BQ654" s="497"/>
      <c r="BR654" s="497"/>
      <c r="BS654" s="497"/>
      <c r="BT654" s="497"/>
      <c r="BU654" s="497"/>
      <c r="BV654" s="497"/>
      <c r="BW654" s="497"/>
      <c r="BX654" s="497"/>
      <c r="BY654" s="497"/>
      <c r="BZ654" s="497"/>
      <c r="CA654" s="497"/>
      <c r="CB654" s="497"/>
      <c r="CC654" s="497"/>
      <c r="CD654" s="497"/>
      <c r="CE654" s="497"/>
      <c r="CF654" s="497"/>
      <c r="CG654" s="497"/>
      <c r="CH654" s="497"/>
    </row>
    <row r="655" spans="1:86" s="335" customFormat="1">
      <c r="A655" s="517"/>
      <c r="B655" s="517"/>
      <c r="C655" s="517"/>
      <c r="D655" s="517"/>
      <c r="E655" s="517"/>
      <c r="F655" s="517"/>
      <c r="G655" s="517"/>
      <c r="H655" s="639"/>
      <c r="I655" s="639"/>
      <c r="J655" s="336"/>
      <c r="K655" s="2056"/>
      <c r="L655" s="337"/>
      <c r="N655" s="2057"/>
      <c r="O655" s="337"/>
      <c r="P655" s="337"/>
      <c r="Q655" s="337"/>
      <c r="R655" s="337"/>
      <c r="S655" s="337"/>
      <c r="T655" s="337"/>
      <c r="U655" s="497"/>
      <c r="V655" s="497"/>
      <c r="W655" s="497"/>
      <c r="X655" s="497"/>
      <c r="Y655" s="497"/>
      <c r="Z655" s="497"/>
      <c r="AA655" s="497"/>
      <c r="AB655" s="497"/>
      <c r="AC655" s="497"/>
      <c r="AD655" s="497"/>
      <c r="AE655" s="497"/>
      <c r="AF655" s="497"/>
      <c r="AG655" s="497"/>
      <c r="AH655" s="497"/>
      <c r="AI655" s="497"/>
      <c r="AJ655" s="497"/>
      <c r="AK655" s="497"/>
      <c r="AL655" s="497"/>
      <c r="AM655" s="497"/>
      <c r="AN655" s="497"/>
      <c r="AO655" s="497"/>
      <c r="AP655" s="497"/>
      <c r="AQ655" s="497"/>
      <c r="AR655" s="497"/>
      <c r="AS655" s="497"/>
      <c r="AT655" s="497"/>
      <c r="AU655" s="497"/>
      <c r="AV655" s="497"/>
      <c r="AW655" s="497"/>
      <c r="AX655" s="497"/>
      <c r="AY655" s="497"/>
      <c r="AZ655" s="497"/>
      <c r="BA655" s="497"/>
      <c r="BB655" s="497"/>
      <c r="BC655" s="497"/>
      <c r="BD655" s="497"/>
      <c r="BE655" s="497"/>
      <c r="BF655" s="497"/>
      <c r="BG655" s="497"/>
      <c r="BH655" s="497"/>
      <c r="BI655" s="497"/>
      <c r="BJ655" s="497"/>
      <c r="BK655" s="497"/>
      <c r="BL655" s="497"/>
      <c r="BM655" s="497"/>
      <c r="BN655" s="497"/>
      <c r="BO655" s="497"/>
      <c r="BP655" s="497"/>
      <c r="BQ655" s="497"/>
      <c r="BR655" s="497"/>
      <c r="BS655" s="497"/>
      <c r="BT655" s="497"/>
      <c r="BU655" s="497"/>
      <c r="BV655" s="497"/>
      <c r="BW655" s="497"/>
      <c r="BX655" s="497"/>
      <c r="BY655" s="497"/>
      <c r="BZ655" s="497"/>
      <c r="CA655" s="497"/>
      <c r="CB655" s="497"/>
      <c r="CC655" s="497"/>
      <c r="CD655" s="497"/>
      <c r="CE655" s="497"/>
      <c r="CF655" s="497"/>
      <c r="CG655" s="497"/>
      <c r="CH655" s="497"/>
    </row>
    <row r="656" spans="1:86" s="335" customFormat="1">
      <c r="A656" s="517"/>
      <c r="B656" s="517"/>
      <c r="C656" s="517"/>
      <c r="D656" s="517"/>
      <c r="E656" s="517"/>
      <c r="F656" s="517"/>
      <c r="G656" s="517"/>
      <c r="H656" s="639"/>
      <c r="I656" s="639"/>
      <c r="J656" s="336"/>
      <c r="K656" s="2056"/>
      <c r="L656" s="337"/>
      <c r="N656" s="2057"/>
      <c r="O656" s="337"/>
      <c r="P656" s="337"/>
      <c r="Q656" s="337"/>
      <c r="R656" s="337"/>
      <c r="S656" s="337"/>
      <c r="T656" s="337"/>
      <c r="U656" s="497"/>
      <c r="V656" s="497"/>
      <c r="W656" s="497"/>
      <c r="X656" s="497"/>
      <c r="Y656" s="497"/>
      <c r="Z656" s="497"/>
      <c r="AA656" s="497"/>
      <c r="AB656" s="497"/>
      <c r="AC656" s="497"/>
      <c r="AD656" s="497"/>
      <c r="AE656" s="497"/>
      <c r="AF656" s="497"/>
      <c r="AG656" s="497"/>
      <c r="AH656" s="497"/>
      <c r="AI656" s="497"/>
      <c r="AJ656" s="497"/>
      <c r="AK656" s="497"/>
      <c r="AL656" s="497"/>
      <c r="AM656" s="497"/>
      <c r="AN656" s="497"/>
      <c r="AO656" s="497"/>
      <c r="AP656" s="497"/>
      <c r="AQ656" s="497"/>
      <c r="AR656" s="497"/>
      <c r="AS656" s="497"/>
      <c r="AT656" s="497"/>
      <c r="AU656" s="497"/>
      <c r="AV656" s="497"/>
      <c r="AW656" s="497"/>
      <c r="AX656" s="497"/>
      <c r="AY656" s="497"/>
      <c r="AZ656" s="497"/>
      <c r="BA656" s="497"/>
      <c r="BB656" s="497"/>
      <c r="BC656" s="497"/>
      <c r="BD656" s="497"/>
      <c r="BE656" s="497"/>
      <c r="BF656" s="497"/>
      <c r="BG656" s="497"/>
      <c r="BH656" s="497"/>
      <c r="BI656" s="497"/>
      <c r="BJ656" s="497"/>
      <c r="BK656" s="497"/>
      <c r="BL656" s="497"/>
      <c r="BM656" s="497"/>
      <c r="BN656" s="497"/>
      <c r="BO656" s="497"/>
      <c r="BP656" s="497"/>
      <c r="BQ656" s="497"/>
      <c r="BR656" s="497"/>
      <c r="BS656" s="497"/>
      <c r="BT656" s="497"/>
      <c r="BU656" s="497"/>
      <c r="BV656" s="497"/>
      <c r="BW656" s="497"/>
      <c r="BX656" s="497"/>
      <c r="BY656" s="497"/>
      <c r="BZ656" s="497"/>
      <c r="CA656" s="497"/>
      <c r="CB656" s="497"/>
      <c r="CC656" s="497"/>
      <c r="CD656" s="497"/>
      <c r="CE656" s="497"/>
      <c r="CF656" s="497"/>
      <c r="CG656" s="497"/>
      <c r="CH656" s="497"/>
    </row>
    <row r="657" spans="1:86" s="335" customFormat="1">
      <c r="A657" s="517"/>
      <c r="B657" s="517"/>
      <c r="C657" s="517"/>
      <c r="D657" s="517"/>
      <c r="E657" s="517"/>
      <c r="F657" s="517"/>
      <c r="G657" s="517"/>
      <c r="H657" s="639"/>
      <c r="I657" s="639"/>
      <c r="J657" s="336"/>
      <c r="K657" s="2056"/>
      <c r="L657" s="337"/>
      <c r="N657" s="2057"/>
      <c r="O657" s="337"/>
      <c r="P657" s="337"/>
      <c r="Q657" s="337"/>
      <c r="R657" s="337"/>
      <c r="S657" s="337"/>
      <c r="T657" s="337"/>
      <c r="U657" s="497"/>
      <c r="V657" s="497"/>
      <c r="W657" s="497"/>
      <c r="X657" s="497"/>
      <c r="Y657" s="497"/>
      <c r="Z657" s="497"/>
      <c r="AA657" s="497"/>
      <c r="AB657" s="497"/>
      <c r="AC657" s="497"/>
      <c r="AD657" s="497"/>
      <c r="AE657" s="497"/>
      <c r="AF657" s="497"/>
      <c r="AG657" s="497"/>
      <c r="AH657" s="497"/>
      <c r="AI657" s="497"/>
      <c r="AJ657" s="497"/>
      <c r="AK657" s="497"/>
      <c r="AL657" s="497"/>
      <c r="AM657" s="497"/>
      <c r="AN657" s="497"/>
      <c r="AO657" s="497"/>
      <c r="AP657" s="497"/>
      <c r="AQ657" s="497"/>
      <c r="AR657" s="497"/>
      <c r="AS657" s="497"/>
      <c r="AT657" s="497"/>
      <c r="AU657" s="497"/>
      <c r="AV657" s="497"/>
      <c r="AW657" s="497"/>
      <c r="AX657" s="497"/>
      <c r="AY657" s="497"/>
      <c r="AZ657" s="497"/>
      <c r="BA657" s="497"/>
      <c r="BB657" s="497"/>
      <c r="BC657" s="497"/>
      <c r="BD657" s="497"/>
      <c r="BE657" s="497"/>
      <c r="BF657" s="497"/>
      <c r="BG657" s="497"/>
      <c r="BH657" s="497"/>
      <c r="BI657" s="497"/>
      <c r="BJ657" s="497"/>
      <c r="BK657" s="497"/>
      <c r="BL657" s="497"/>
      <c r="BM657" s="497"/>
      <c r="BN657" s="497"/>
      <c r="BO657" s="497"/>
      <c r="BP657" s="497"/>
      <c r="BQ657" s="497"/>
      <c r="BR657" s="497"/>
      <c r="BS657" s="497"/>
      <c r="BT657" s="497"/>
      <c r="BU657" s="497"/>
      <c r="BV657" s="497"/>
      <c r="BW657" s="497"/>
      <c r="BX657" s="497"/>
      <c r="BY657" s="497"/>
      <c r="BZ657" s="497"/>
      <c r="CA657" s="497"/>
      <c r="CB657" s="497"/>
      <c r="CC657" s="497"/>
      <c r="CD657" s="497"/>
      <c r="CE657" s="497"/>
      <c r="CF657" s="497"/>
      <c r="CG657" s="497"/>
      <c r="CH657" s="497"/>
    </row>
    <row r="658" spans="1:86" s="335" customFormat="1">
      <c r="A658" s="517"/>
      <c r="B658" s="517"/>
      <c r="C658" s="517"/>
      <c r="D658" s="517"/>
      <c r="E658" s="517"/>
      <c r="F658" s="517"/>
      <c r="G658" s="517"/>
      <c r="H658" s="639"/>
      <c r="I658" s="639"/>
      <c r="J658" s="336"/>
      <c r="K658" s="2056"/>
      <c r="L658" s="337"/>
      <c r="N658" s="2057"/>
      <c r="O658" s="337"/>
      <c r="P658" s="337"/>
      <c r="Q658" s="337"/>
      <c r="R658" s="337"/>
      <c r="S658" s="337"/>
      <c r="T658" s="337"/>
      <c r="U658" s="497"/>
      <c r="V658" s="497"/>
      <c r="W658" s="497"/>
      <c r="X658" s="497"/>
      <c r="Y658" s="497"/>
      <c r="Z658" s="497"/>
      <c r="AA658" s="497"/>
      <c r="AB658" s="497"/>
      <c r="AC658" s="497"/>
      <c r="AD658" s="497"/>
      <c r="AE658" s="497"/>
      <c r="AF658" s="497"/>
      <c r="AG658" s="497"/>
      <c r="AH658" s="497"/>
      <c r="AI658" s="497"/>
      <c r="AJ658" s="497"/>
      <c r="AK658" s="497"/>
      <c r="AL658" s="497"/>
      <c r="AM658" s="497"/>
      <c r="AN658" s="497"/>
      <c r="AO658" s="497"/>
      <c r="AP658" s="497"/>
      <c r="AQ658" s="497"/>
      <c r="AR658" s="497"/>
      <c r="AS658" s="497"/>
      <c r="AT658" s="497"/>
      <c r="AU658" s="497"/>
      <c r="AV658" s="497"/>
      <c r="AW658" s="497"/>
      <c r="AX658" s="497"/>
      <c r="AY658" s="497"/>
      <c r="AZ658" s="497"/>
      <c r="BA658" s="497"/>
      <c r="BB658" s="497"/>
      <c r="BC658" s="497"/>
      <c r="BD658" s="497"/>
      <c r="BE658" s="497"/>
      <c r="BF658" s="497"/>
      <c r="BG658" s="497"/>
      <c r="BH658" s="497"/>
      <c r="BI658" s="497"/>
      <c r="BJ658" s="497"/>
      <c r="BK658" s="497"/>
      <c r="BL658" s="497"/>
      <c r="BM658" s="497"/>
      <c r="BN658" s="497"/>
      <c r="BO658" s="497"/>
      <c r="BP658" s="497"/>
      <c r="BQ658" s="497"/>
      <c r="BR658" s="497"/>
      <c r="BS658" s="497"/>
      <c r="BT658" s="497"/>
      <c r="BU658" s="497"/>
      <c r="BV658" s="497"/>
      <c r="BW658" s="497"/>
      <c r="BX658" s="497"/>
      <c r="BY658" s="497"/>
      <c r="BZ658" s="497"/>
      <c r="CA658" s="497"/>
      <c r="CB658" s="497"/>
      <c r="CC658" s="497"/>
      <c r="CD658" s="497"/>
      <c r="CE658" s="497"/>
      <c r="CF658" s="497"/>
      <c r="CG658" s="497"/>
      <c r="CH658" s="497"/>
    </row>
    <row r="659" spans="1:86" s="335" customFormat="1">
      <c r="A659" s="517"/>
      <c r="B659" s="517"/>
      <c r="C659" s="517"/>
      <c r="D659" s="517"/>
      <c r="E659" s="517"/>
      <c r="F659" s="517"/>
      <c r="G659" s="517"/>
      <c r="H659" s="639"/>
      <c r="I659" s="639"/>
      <c r="J659" s="336"/>
      <c r="K659" s="2056"/>
      <c r="L659" s="337"/>
      <c r="N659" s="2057"/>
      <c r="O659" s="337"/>
      <c r="P659" s="337"/>
      <c r="Q659" s="337"/>
      <c r="R659" s="337"/>
      <c r="S659" s="337"/>
      <c r="T659" s="337"/>
      <c r="U659" s="497"/>
      <c r="V659" s="497"/>
      <c r="W659" s="497"/>
      <c r="X659" s="497"/>
      <c r="Y659" s="497"/>
      <c r="Z659" s="497"/>
      <c r="AA659" s="497"/>
      <c r="AB659" s="497"/>
      <c r="AC659" s="497"/>
      <c r="AD659" s="497"/>
      <c r="AE659" s="497"/>
      <c r="AF659" s="497"/>
      <c r="AG659" s="497"/>
      <c r="AH659" s="497"/>
      <c r="AI659" s="497"/>
      <c r="AJ659" s="497"/>
      <c r="AK659" s="497"/>
      <c r="AL659" s="497"/>
      <c r="AM659" s="497"/>
      <c r="AN659" s="497"/>
      <c r="AO659" s="497"/>
      <c r="AP659" s="497"/>
      <c r="AQ659" s="497"/>
      <c r="AR659" s="497"/>
      <c r="AS659" s="497"/>
      <c r="AT659" s="497"/>
      <c r="AU659" s="497"/>
      <c r="AV659" s="497"/>
      <c r="AW659" s="497"/>
      <c r="AX659" s="497"/>
      <c r="AY659" s="497"/>
      <c r="AZ659" s="497"/>
      <c r="BA659" s="497"/>
      <c r="BB659" s="497"/>
      <c r="BC659" s="497"/>
      <c r="BD659" s="497"/>
      <c r="BE659" s="497"/>
      <c r="BF659" s="497"/>
      <c r="BG659" s="497"/>
      <c r="BH659" s="497"/>
      <c r="BI659" s="497"/>
      <c r="BJ659" s="497"/>
      <c r="BK659" s="497"/>
      <c r="BL659" s="497"/>
      <c r="BM659" s="497"/>
      <c r="BN659" s="497"/>
      <c r="BO659" s="497"/>
      <c r="BP659" s="497"/>
      <c r="BQ659" s="497"/>
      <c r="BR659" s="497"/>
      <c r="BS659" s="497"/>
      <c r="BT659" s="497"/>
      <c r="BU659" s="497"/>
      <c r="BV659" s="497"/>
      <c r="BW659" s="497"/>
      <c r="BX659" s="497"/>
      <c r="BY659" s="497"/>
      <c r="BZ659" s="497"/>
      <c r="CA659" s="497"/>
      <c r="CB659" s="497"/>
      <c r="CC659" s="497"/>
      <c r="CD659" s="497"/>
      <c r="CE659" s="497"/>
      <c r="CF659" s="497"/>
      <c r="CG659" s="497"/>
      <c r="CH659" s="497"/>
    </row>
    <row r="660" spans="1:86" s="335" customFormat="1">
      <c r="A660" s="517"/>
      <c r="B660" s="517"/>
      <c r="C660" s="517"/>
      <c r="D660" s="517"/>
      <c r="E660" s="517"/>
      <c r="F660" s="517"/>
      <c r="G660" s="517"/>
      <c r="H660" s="639"/>
      <c r="I660" s="639"/>
      <c r="J660" s="336"/>
      <c r="K660" s="2056"/>
      <c r="L660" s="337"/>
      <c r="N660" s="2057"/>
      <c r="O660" s="337"/>
      <c r="P660" s="337"/>
      <c r="Q660" s="337"/>
      <c r="R660" s="337"/>
      <c r="S660" s="337"/>
      <c r="T660" s="337"/>
      <c r="U660" s="497"/>
      <c r="V660" s="497"/>
      <c r="W660" s="497"/>
      <c r="X660" s="497"/>
      <c r="Y660" s="497"/>
      <c r="Z660" s="497"/>
      <c r="AA660" s="497"/>
      <c r="AB660" s="497"/>
      <c r="AC660" s="497"/>
      <c r="AD660" s="497"/>
      <c r="AE660" s="497"/>
      <c r="AF660" s="497"/>
      <c r="AG660" s="497"/>
      <c r="AH660" s="497"/>
      <c r="AI660" s="497"/>
      <c r="AJ660" s="497"/>
      <c r="AK660" s="497"/>
      <c r="AL660" s="497"/>
      <c r="AM660" s="497"/>
      <c r="AN660" s="497"/>
      <c r="AO660" s="497"/>
      <c r="AP660" s="497"/>
      <c r="AQ660" s="497"/>
      <c r="AR660" s="497"/>
      <c r="AS660" s="497"/>
      <c r="AT660" s="497"/>
      <c r="AU660" s="497"/>
      <c r="AV660" s="497"/>
      <c r="AW660" s="497"/>
      <c r="AX660" s="497"/>
      <c r="AY660" s="497"/>
      <c r="AZ660" s="497"/>
      <c r="BA660" s="497"/>
      <c r="BB660" s="497"/>
      <c r="BC660" s="497"/>
      <c r="BD660" s="497"/>
      <c r="BE660" s="497"/>
      <c r="BF660" s="497"/>
      <c r="BG660" s="497"/>
      <c r="BH660" s="497"/>
      <c r="BI660" s="497"/>
      <c r="BJ660" s="497"/>
      <c r="BK660" s="497"/>
      <c r="BL660" s="497"/>
      <c r="BM660" s="497"/>
      <c r="BN660" s="497"/>
      <c r="BO660" s="497"/>
      <c r="BP660" s="497"/>
      <c r="BQ660" s="497"/>
      <c r="BR660" s="497"/>
      <c r="BS660" s="497"/>
      <c r="BT660" s="497"/>
      <c r="BU660" s="497"/>
      <c r="BV660" s="497"/>
      <c r="BW660" s="497"/>
      <c r="BX660" s="497"/>
      <c r="BY660" s="497"/>
      <c r="BZ660" s="497"/>
      <c r="CA660" s="497"/>
      <c r="CB660" s="497"/>
      <c r="CC660" s="497"/>
      <c r="CD660" s="497"/>
      <c r="CE660" s="497"/>
      <c r="CF660" s="497"/>
      <c r="CG660" s="497"/>
      <c r="CH660" s="497"/>
    </row>
    <row r="661" spans="1:86" s="335" customFormat="1">
      <c r="A661" s="517"/>
      <c r="B661" s="517"/>
      <c r="C661" s="517"/>
      <c r="D661" s="517"/>
      <c r="E661" s="517"/>
      <c r="F661" s="517"/>
      <c r="G661" s="517"/>
      <c r="H661" s="639"/>
      <c r="I661" s="639"/>
      <c r="J661" s="336"/>
      <c r="K661" s="2056"/>
      <c r="L661" s="337"/>
      <c r="N661" s="2057"/>
      <c r="O661" s="337"/>
      <c r="P661" s="337"/>
      <c r="Q661" s="337"/>
      <c r="R661" s="337"/>
      <c r="S661" s="337"/>
      <c r="T661" s="337"/>
      <c r="U661" s="497"/>
      <c r="V661" s="497"/>
      <c r="W661" s="497"/>
      <c r="X661" s="497"/>
      <c r="Y661" s="497"/>
      <c r="Z661" s="497"/>
      <c r="AA661" s="497"/>
      <c r="AB661" s="497"/>
      <c r="AC661" s="497"/>
      <c r="AD661" s="497"/>
      <c r="AE661" s="497"/>
      <c r="AF661" s="497"/>
      <c r="AG661" s="497"/>
      <c r="AH661" s="497"/>
      <c r="AI661" s="497"/>
      <c r="AJ661" s="497"/>
      <c r="AK661" s="497"/>
      <c r="AL661" s="497"/>
      <c r="AM661" s="497"/>
      <c r="AN661" s="497"/>
      <c r="AO661" s="497"/>
      <c r="AP661" s="497"/>
      <c r="AQ661" s="497"/>
      <c r="AR661" s="497"/>
      <c r="AS661" s="497"/>
      <c r="AT661" s="497"/>
      <c r="AU661" s="497"/>
      <c r="AV661" s="497"/>
      <c r="AW661" s="497"/>
      <c r="AX661" s="497"/>
      <c r="AY661" s="497"/>
      <c r="AZ661" s="497"/>
      <c r="BA661" s="497"/>
      <c r="BB661" s="497"/>
      <c r="BC661" s="497"/>
      <c r="BD661" s="497"/>
      <c r="BE661" s="497"/>
      <c r="BF661" s="497"/>
      <c r="BG661" s="497"/>
      <c r="BH661" s="497"/>
      <c r="BI661" s="497"/>
      <c r="BJ661" s="497"/>
      <c r="BK661" s="497"/>
      <c r="BL661" s="497"/>
      <c r="BM661" s="497"/>
      <c r="BN661" s="497"/>
      <c r="BO661" s="497"/>
      <c r="BP661" s="497"/>
      <c r="BQ661" s="497"/>
      <c r="BR661" s="497"/>
      <c r="BS661" s="497"/>
      <c r="BT661" s="497"/>
      <c r="BU661" s="497"/>
      <c r="BV661" s="497"/>
      <c r="BW661" s="497"/>
      <c r="BX661" s="497"/>
      <c r="BY661" s="497"/>
      <c r="BZ661" s="497"/>
      <c r="CA661" s="497"/>
      <c r="CB661" s="497"/>
      <c r="CC661" s="497"/>
      <c r="CD661" s="497"/>
      <c r="CE661" s="497"/>
      <c r="CF661" s="497"/>
      <c r="CG661" s="497"/>
      <c r="CH661" s="497"/>
    </row>
    <row r="662" spans="1:86" s="335" customFormat="1">
      <c r="A662" s="517"/>
      <c r="B662" s="517"/>
      <c r="C662" s="517"/>
      <c r="D662" s="517"/>
      <c r="E662" s="517"/>
      <c r="F662" s="517"/>
      <c r="G662" s="517"/>
      <c r="H662" s="639"/>
      <c r="I662" s="639"/>
      <c r="J662" s="336"/>
      <c r="K662" s="2056"/>
      <c r="L662" s="337"/>
      <c r="N662" s="2057"/>
      <c r="O662" s="337"/>
      <c r="P662" s="337"/>
      <c r="Q662" s="337"/>
      <c r="R662" s="337"/>
      <c r="S662" s="337"/>
      <c r="T662" s="337"/>
      <c r="U662" s="497"/>
      <c r="V662" s="497"/>
      <c r="W662" s="497"/>
      <c r="X662" s="497"/>
      <c r="Y662" s="497"/>
      <c r="Z662" s="497"/>
      <c r="AA662" s="497"/>
      <c r="AB662" s="497"/>
      <c r="AC662" s="497"/>
      <c r="AD662" s="497"/>
      <c r="AE662" s="497"/>
      <c r="AF662" s="497"/>
      <c r="AG662" s="497"/>
      <c r="AH662" s="497"/>
      <c r="AI662" s="497"/>
      <c r="AJ662" s="497"/>
      <c r="AK662" s="497"/>
      <c r="AL662" s="497"/>
      <c r="AM662" s="497"/>
      <c r="AN662" s="497"/>
      <c r="AO662" s="497"/>
      <c r="AP662" s="497"/>
      <c r="AQ662" s="497"/>
      <c r="AR662" s="497"/>
      <c r="AS662" s="497"/>
      <c r="AT662" s="497"/>
      <c r="AU662" s="497"/>
      <c r="AV662" s="497"/>
      <c r="AW662" s="497"/>
      <c r="AX662" s="497"/>
      <c r="AY662" s="497"/>
      <c r="AZ662" s="497"/>
      <c r="BA662" s="497"/>
      <c r="BB662" s="497"/>
      <c r="BC662" s="497"/>
      <c r="BD662" s="497"/>
      <c r="BE662" s="497"/>
      <c r="BF662" s="497"/>
      <c r="BG662" s="497"/>
      <c r="BH662" s="497"/>
      <c r="BI662" s="497"/>
      <c r="BJ662" s="497"/>
      <c r="BK662" s="497"/>
      <c r="BL662" s="497"/>
      <c r="BM662" s="497"/>
      <c r="BN662" s="497"/>
      <c r="BO662" s="497"/>
      <c r="BP662" s="497"/>
      <c r="BQ662" s="497"/>
      <c r="BR662" s="497"/>
      <c r="BS662" s="497"/>
      <c r="BT662" s="497"/>
      <c r="BU662" s="497"/>
      <c r="BV662" s="497"/>
      <c r="BW662" s="497"/>
      <c r="BX662" s="497"/>
      <c r="BY662" s="497"/>
      <c r="BZ662" s="497"/>
      <c r="CA662" s="497"/>
      <c r="CB662" s="497"/>
      <c r="CC662" s="497"/>
      <c r="CD662" s="497"/>
      <c r="CE662" s="497"/>
      <c r="CF662" s="497"/>
      <c r="CG662" s="497"/>
      <c r="CH662" s="497"/>
    </row>
    <row r="663" spans="1:86" s="335" customFormat="1">
      <c r="A663" s="517"/>
      <c r="B663" s="517"/>
      <c r="C663" s="517"/>
      <c r="D663" s="517"/>
      <c r="E663" s="517"/>
      <c r="F663" s="517"/>
      <c r="G663" s="517"/>
      <c r="H663" s="639"/>
      <c r="I663" s="639"/>
      <c r="J663" s="336"/>
      <c r="K663" s="2056"/>
      <c r="L663" s="337"/>
      <c r="N663" s="2057"/>
      <c r="O663" s="337"/>
      <c r="P663" s="337"/>
      <c r="Q663" s="337"/>
      <c r="R663" s="337"/>
      <c r="S663" s="337"/>
      <c r="T663" s="337"/>
      <c r="U663" s="497"/>
      <c r="V663" s="497"/>
      <c r="W663" s="497"/>
      <c r="X663" s="497"/>
      <c r="Y663" s="497"/>
      <c r="Z663" s="497"/>
      <c r="AA663" s="497"/>
      <c r="AB663" s="497"/>
      <c r="AC663" s="497"/>
      <c r="AD663" s="497"/>
      <c r="AE663" s="497"/>
      <c r="AF663" s="497"/>
      <c r="AG663" s="497"/>
      <c r="AH663" s="497"/>
      <c r="AI663" s="497"/>
      <c r="AJ663" s="497"/>
      <c r="AK663" s="497"/>
      <c r="AL663" s="497"/>
      <c r="AM663" s="497"/>
      <c r="AN663" s="497"/>
      <c r="AO663" s="497"/>
      <c r="AP663" s="497"/>
      <c r="AQ663" s="497"/>
      <c r="AR663" s="497"/>
      <c r="AS663" s="497"/>
      <c r="AT663" s="497"/>
      <c r="AU663" s="497"/>
      <c r="AV663" s="497"/>
      <c r="AW663" s="497"/>
      <c r="AX663" s="497"/>
      <c r="AY663" s="497"/>
      <c r="AZ663" s="497"/>
      <c r="BA663" s="497"/>
      <c r="BB663" s="497"/>
      <c r="BC663" s="497"/>
      <c r="BD663" s="497"/>
      <c r="BE663" s="497"/>
      <c r="BF663" s="497"/>
      <c r="BG663" s="497"/>
      <c r="BH663" s="497"/>
      <c r="BI663" s="497"/>
      <c r="BJ663" s="497"/>
      <c r="BK663" s="497"/>
      <c r="BL663" s="497"/>
      <c r="BM663" s="497"/>
      <c r="BN663" s="497"/>
      <c r="BO663" s="497"/>
      <c r="BP663" s="497"/>
      <c r="BQ663" s="497"/>
      <c r="BR663" s="497"/>
      <c r="BS663" s="497"/>
      <c r="BT663" s="497"/>
      <c r="BU663" s="497"/>
      <c r="BV663" s="497"/>
      <c r="BW663" s="497"/>
      <c r="BX663" s="497"/>
      <c r="BY663" s="497"/>
      <c r="BZ663" s="497"/>
      <c r="CA663" s="497"/>
      <c r="CB663" s="497"/>
      <c r="CC663" s="497"/>
      <c r="CD663" s="497"/>
      <c r="CE663" s="497"/>
      <c r="CF663" s="497"/>
      <c r="CG663" s="497"/>
      <c r="CH663" s="497"/>
    </row>
    <row r="664" spans="1:86" s="335" customFormat="1">
      <c r="A664" s="517"/>
      <c r="B664" s="517"/>
      <c r="C664" s="517"/>
      <c r="D664" s="517"/>
      <c r="E664" s="517"/>
      <c r="F664" s="517"/>
      <c r="G664" s="517"/>
      <c r="H664" s="639"/>
      <c r="I664" s="639"/>
      <c r="J664" s="336"/>
      <c r="K664" s="2056"/>
      <c r="L664" s="337"/>
      <c r="N664" s="2057"/>
      <c r="O664" s="337"/>
      <c r="P664" s="337"/>
      <c r="Q664" s="337"/>
      <c r="R664" s="337"/>
      <c r="S664" s="337"/>
      <c r="T664" s="337"/>
      <c r="U664" s="497"/>
      <c r="V664" s="497"/>
      <c r="W664" s="497"/>
      <c r="X664" s="497"/>
      <c r="Y664" s="497"/>
      <c r="Z664" s="497"/>
      <c r="AA664" s="497"/>
      <c r="AB664" s="497"/>
      <c r="AC664" s="497"/>
      <c r="AD664" s="497"/>
      <c r="AE664" s="497"/>
      <c r="AF664" s="497"/>
      <c r="AG664" s="497"/>
      <c r="AH664" s="497"/>
      <c r="AI664" s="497"/>
      <c r="AJ664" s="497"/>
      <c r="AK664" s="497"/>
      <c r="AL664" s="497"/>
      <c r="AM664" s="497"/>
      <c r="AN664" s="497"/>
      <c r="AO664" s="497"/>
      <c r="AP664" s="497"/>
      <c r="AQ664" s="497"/>
      <c r="AR664" s="497"/>
      <c r="AS664" s="497"/>
      <c r="AT664" s="497"/>
      <c r="AU664" s="497"/>
      <c r="AV664" s="497"/>
      <c r="AW664" s="497"/>
      <c r="AX664" s="497"/>
      <c r="AY664" s="497"/>
      <c r="AZ664" s="497"/>
      <c r="BA664" s="497"/>
      <c r="BB664" s="497"/>
      <c r="BC664" s="497"/>
      <c r="BD664" s="497"/>
      <c r="BE664" s="497"/>
      <c r="BF664" s="497"/>
      <c r="BG664" s="497"/>
      <c r="BH664" s="497"/>
      <c r="BI664" s="497"/>
      <c r="BJ664" s="497"/>
      <c r="BK664" s="497"/>
      <c r="BL664" s="497"/>
      <c r="BM664" s="497"/>
      <c r="BN664" s="497"/>
      <c r="BO664" s="497"/>
      <c r="BP664" s="497"/>
      <c r="BQ664" s="497"/>
      <c r="BR664" s="497"/>
      <c r="BS664" s="497"/>
      <c r="BT664" s="497"/>
      <c r="BU664" s="497"/>
      <c r="BV664" s="497"/>
      <c r="BW664" s="497"/>
      <c r="BX664" s="497"/>
      <c r="BY664" s="497"/>
      <c r="BZ664" s="497"/>
      <c r="CA664" s="497"/>
      <c r="CB664" s="497"/>
      <c r="CC664" s="497"/>
      <c r="CD664" s="497"/>
      <c r="CE664" s="497"/>
      <c r="CF664" s="497"/>
      <c r="CG664" s="497"/>
      <c r="CH664" s="497"/>
    </row>
    <row r="665" spans="1:86" s="335" customFormat="1">
      <c r="A665" s="517"/>
      <c r="B665" s="517"/>
      <c r="C665" s="517"/>
      <c r="D665" s="517"/>
      <c r="E665" s="517"/>
      <c r="F665" s="517"/>
      <c r="G665" s="517"/>
      <c r="H665" s="639"/>
      <c r="I665" s="639"/>
      <c r="J665" s="336"/>
      <c r="K665" s="2056"/>
      <c r="L665" s="337"/>
      <c r="N665" s="2057"/>
      <c r="O665" s="337"/>
      <c r="P665" s="337"/>
      <c r="Q665" s="337"/>
      <c r="R665" s="337"/>
      <c r="S665" s="337"/>
      <c r="T665" s="337"/>
      <c r="U665" s="497"/>
      <c r="V665" s="497"/>
      <c r="W665" s="497"/>
      <c r="X665" s="497"/>
      <c r="Y665" s="497"/>
      <c r="Z665" s="497"/>
      <c r="AA665" s="497"/>
      <c r="AB665" s="497"/>
      <c r="AC665" s="497"/>
      <c r="AD665" s="497"/>
      <c r="AE665" s="497"/>
      <c r="AF665" s="497"/>
      <c r="AG665" s="497"/>
      <c r="AH665" s="497"/>
      <c r="AI665" s="497"/>
      <c r="AJ665" s="497"/>
      <c r="AK665" s="497"/>
      <c r="AL665" s="497"/>
      <c r="AM665" s="497"/>
      <c r="AN665" s="497"/>
      <c r="AO665" s="497"/>
      <c r="AP665" s="497"/>
      <c r="AQ665" s="497"/>
      <c r="AR665" s="497"/>
      <c r="AS665" s="497"/>
      <c r="AT665" s="497"/>
      <c r="AU665" s="497"/>
      <c r="AV665" s="497"/>
      <c r="AW665" s="497"/>
      <c r="AX665" s="497"/>
      <c r="AY665" s="497"/>
      <c r="AZ665" s="497"/>
      <c r="BA665" s="497"/>
      <c r="BB665" s="497"/>
      <c r="BC665" s="497"/>
      <c r="BD665" s="497"/>
      <c r="BE665" s="497"/>
      <c r="BF665" s="497"/>
      <c r="BG665" s="497"/>
      <c r="BH665" s="497"/>
      <c r="BI665" s="497"/>
      <c r="BJ665" s="497"/>
      <c r="BK665" s="497"/>
      <c r="BL665" s="497"/>
      <c r="BM665" s="497"/>
      <c r="BN665" s="497"/>
      <c r="BO665" s="497"/>
      <c r="BP665" s="497"/>
      <c r="BQ665" s="497"/>
      <c r="BR665" s="497"/>
      <c r="BS665" s="497"/>
      <c r="BT665" s="497"/>
      <c r="BU665" s="497"/>
      <c r="BV665" s="497"/>
      <c r="BW665" s="497"/>
      <c r="BX665" s="497"/>
      <c r="BY665" s="497"/>
      <c r="BZ665" s="497"/>
      <c r="CA665" s="497"/>
      <c r="CB665" s="497"/>
      <c r="CC665" s="497"/>
      <c r="CD665" s="497"/>
      <c r="CE665" s="497"/>
      <c r="CF665" s="497"/>
      <c r="CG665" s="497"/>
      <c r="CH665" s="497"/>
    </row>
    <row r="666" spans="1:86" s="335" customFormat="1">
      <c r="A666" s="517"/>
      <c r="B666" s="517"/>
      <c r="C666" s="517"/>
      <c r="D666" s="517"/>
      <c r="E666" s="517"/>
      <c r="F666" s="517"/>
      <c r="G666" s="517"/>
      <c r="H666" s="639"/>
      <c r="I666" s="639"/>
      <c r="J666" s="336"/>
      <c r="K666" s="2056"/>
      <c r="L666" s="337"/>
      <c r="N666" s="2057"/>
      <c r="O666" s="337"/>
      <c r="P666" s="337"/>
      <c r="Q666" s="337"/>
      <c r="R666" s="337"/>
      <c r="S666" s="337"/>
      <c r="T666" s="337"/>
      <c r="U666" s="497"/>
      <c r="V666" s="497"/>
      <c r="W666" s="497"/>
      <c r="X666" s="497"/>
      <c r="Y666" s="497"/>
      <c r="Z666" s="497"/>
      <c r="AA666" s="497"/>
      <c r="AB666" s="497"/>
      <c r="AC666" s="497"/>
      <c r="AD666" s="497"/>
      <c r="AE666" s="497"/>
      <c r="AF666" s="497"/>
      <c r="AG666" s="497"/>
      <c r="AH666" s="497"/>
      <c r="AI666" s="497"/>
      <c r="AJ666" s="497"/>
      <c r="AK666" s="497"/>
      <c r="AL666" s="497"/>
      <c r="AM666" s="497"/>
      <c r="AN666" s="497"/>
      <c r="AO666" s="497"/>
      <c r="AP666" s="497"/>
      <c r="AQ666" s="497"/>
      <c r="AR666" s="497"/>
      <c r="AS666" s="497"/>
      <c r="AT666" s="497"/>
      <c r="AU666" s="497"/>
      <c r="AV666" s="497"/>
      <c r="AW666" s="497"/>
      <c r="AX666" s="497"/>
      <c r="AY666" s="497"/>
      <c r="AZ666" s="497"/>
      <c r="BA666" s="497"/>
      <c r="BB666" s="497"/>
      <c r="BC666" s="497"/>
      <c r="BD666" s="497"/>
      <c r="BE666" s="497"/>
      <c r="BF666" s="497"/>
      <c r="BG666" s="497"/>
      <c r="BH666" s="497"/>
      <c r="BI666" s="497"/>
      <c r="BJ666" s="497"/>
      <c r="BK666" s="497"/>
      <c r="BL666" s="497"/>
      <c r="BM666" s="497"/>
      <c r="BN666" s="497"/>
      <c r="BO666" s="497"/>
      <c r="BP666" s="497"/>
      <c r="BQ666" s="497"/>
      <c r="BR666" s="497"/>
      <c r="BS666" s="497"/>
      <c r="BT666" s="497"/>
      <c r="BU666" s="497"/>
      <c r="BV666" s="497"/>
      <c r="BW666" s="497"/>
      <c r="BX666" s="497"/>
      <c r="BY666" s="497"/>
      <c r="BZ666" s="497"/>
      <c r="CA666" s="497"/>
      <c r="CB666" s="497"/>
      <c r="CC666" s="497"/>
      <c r="CD666" s="497"/>
      <c r="CE666" s="497"/>
      <c r="CF666" s="497"/>
      <c r="CG666" s="497"/>
      <c r="CH666" s="497"/>
    </row>
    <row r="667" spans="1:86" s="335" customFormat="1">
      <c r="A667" s="517"/>
      <c r="B667" s="517"/>
      <c r="C667" s="517"/>
      <c r="D667" s="517"/>
      <c r="E667" s="517"/>
      <c r="F667" s="517"/>
      <c r="G667" s="517"/>
      <c r="H667" s="639"/>
      <c r="I667" s="639"/>
      <c r="J667" s="336"/>
      <c r="K667" s="2056"/>
      <c r="L667" s="337"/>
      <c r="N667" s="2057"/>
      <c r="O667" s="337"/>
      <c r="P667" s="337"/>
      <c r="Q667" s="337"/>
      <c r="R667" s="337"/>
      <c r="S667" s="337"/>
      <c r="T667" s="337"/>
      <c r="U667" s="497"/>
      <c r="V667" s="497"/>
      <c r="W667" s="497"/>
      <c r="X667" s="497"/>
      <c r="Y667" s="497"/>
      <c r="Z667" s="497"/>
      <c r="AA667" s="497"/>
      <c r="AB667" s="497"/>
      <c r="AC667" s="497"/>
      <c r="AD667" s="497"/>
      <c r="AE667" s="497"/>
      <c r="AF667" s="497"/>
      <c r="AG667" s="497"/>
      <c r="AH667" s="497"/>
      <c r="AI667" s="497"/>
      <c r="AJ667" s="497"/>
      <c r="AK667" s="497"/>
      <c r="AL667" s="497"/>
      <c r="AM667" s="497"/>
      <c r="AN667" s="497"/>
      <c r="AO667" s="497"/>
      <c r="AP667" s="497"/>
      <c r="AQ667" s="497"/>
      <c r="AR667" s="497"/>
      <c r="AS667" s="497"/>
      <c r="AT667" s="497"/>
      <c r="AU667" s="497"/>
      <c r="AV667" s="497"/>
      <c r="AW667" s="497"/>
      <c r="AX667" s="497"/>
      <c r="AY667" s="497"/>
      <c r="AZ667" s="497"/>
      <c r="BA667" s="497"/>
      <c r="BB667" s="497"/>
      <c r="BC667" s="497"/>
      <c r="BD667" s="497"/>
      <c r="BE667" s="497"/>
      <c r="BF667" s="497"/>
      <c r="BG667" s="497"/>
      <c r="BH667" s="497"/>
      <c r="BI667" s="497"/>
      <c r="BJ667" s="497"/>
      <c r="BK667" s="497"/>
      <c r="BL667" s="497"/>
      <c r="BM667" s="497"/>
      <c r="BN667" s="497"/>
      <c r="BO667" s="497"/>
      <c r="BP667" s="497"/>
      <c r="BQ667" s="497"/>
      <c r="BR667" s="497"/>
      <c r="BS667" s="497"/>
      <c r="BT667" s="497"/>
      <c r="BU667" s="497"/>
      <c r="BV667" s="497"/>
      <c r="BW667" s="497"/>
      <c r="BX667" s="497"/>
      <c r="BY667" s="497"/>
      <c r="BZ667" s="497"/>
      <c r="CA667" s="497"/>
      <c r="CB667" s="497"/>
      <c r="CC667" s="497"/>
      <c r="CD667" s="497"/>
      <c r="CE667" s="497"/>
      <c r="CF667" s="497"/>
      <c r="CG667" s="497"/>
      <c r="CH667" s="497"/>
    </row>
    <row r="668" spans="1:86" s="335" customFormat="1">
      <c r="A668" s="517"/>
      <c r="B668" s="517"/>
      <c r="C668" s="517"/>
      <c r="D668" s="517"/>
      <c r="E668" s="517"/>
      <c r="F668" s="517"/>
      <c r="G668" s="517"/>
      <c r="H668" s="639"/>
      <c r="I668" s="639"/>
      <c r="J668" s="336"/>
      <c r="K668" s="2056"/>
      <c r="L668" s="337"/>
      <c r="N668" s="2057"/>
      <c r="O668" s="337"/>
      <c r="P668" s="337"/>
      <c r="Q668" s="337"/>
      <c r="R668" s="337"/>
      <c r="S668" s="337"/>
      <c r="T668" s="337"/>
      <c r="U668" s="497"/>
      <c r="V668" s="497"/>
      <c r="W668" s="497"/>
      <c r="X668" s="497"/>
      <c r="Y668" s="497"/>
      <c r="Z668" s="497"/>
      <c r="AA668" s="497"/>
      <c r="AB668" s="497"/>
      <c r="AC668" s="497"/>
      <c r="AD668" s="497"/>
      <c r="AE668" s="497"/>
      <c r="AF668" s="497"/>
      <c r="AG668" s="497"/>
      <c r="AH668" s="497"/>
      <c r="AI668" s="497"/>
      <c r="AJ668" s="497"/>
      <c r="AK668" s="497"/>
      <c r="AL668" s="497"/>
      <c r="AM668" s="497"/>
      <c r="AN668" s="497"/>
      <c r="AO668" s="497"/>
      <c r="AP668" s="497"/>
      <c r="AQ668" s="497"/>
      <c r="AR668" s="497"/>
      <c r="AS668" s="497"/>
      <c r="AT668" s="497"/>
      <c r="AU668" s="497"/>
      <c r="AV668" s="497"/>
      <c r="AW668" s="497"/>
      <c r="AX668" s="497"/>
      <c r="AY668" s="497"/>
      <c r="AZ668" s="497"/>
      <c r="BA668" s="497"/>
      <c r="BB668" s="497"/>
      <c r="BC668" s="497"/>
      <c r="BD668" s="497"/>
      <c r="BE668" s="497"/>
      <c r="BF668" s="497"/>
      <c r="BG668" s="497"/>
      <c r="BH668" s="497"/>
      <c r="BI668" s="497"/>
      <c r="BJ668" s="497"/>
      <c r="BK668" s="497"/>
      <c r="BL668" s="497"/>
      <c r="BM668" s="497"/>
      <c r="BN668" s="497"/>
      <c r="BO668" s="497"/>
      <c r="BP668" s="497"/>
      <c r="BQ668" s="497"/>
      <c r="BR668" s="497"/>
      <c r="BS668" s="497"/>
      <c r="BT668" s="497"/>
      <c r="BU668" s="497"/>
      <c r="BV668" s="497"/>
      <c r="BW668" s="497"/>
      <c r="BX668" s="497"/>
      <c r="BY668" s="497"/>
      <c r="BZ668" s="497"/>
      <c r="CA668" s="497"/>
      <c r="CB668" s="497"/>
      <c r="CC668" s="497"/>
      <c r="CD668" s="497"/>
      <c r="CE668" s="497"/>
      <c r="CF668" s="497"/>
      <c r="CG668" s="497"/>
      <c r="CH668" s="497"/>
    </row>
    <row r="669" spans="1:86" s="335" customFormat="1">
      <c r="A669" s="517"/>
      <c r="B669" s="517"/>
      <c r="C669" s="517"/>
      <c r="D669" s="517"/>
      <c r="E669" s="517"/>
      <c r="F669" s="517"/>
      <c r="G669" s="517"/>
      <c r="H669" s="639"/>
      <c r="I669" s="639"/>
      <c r="J669" s="336"/>
      <c r="K669" s="2056"/>
      <c r="L669" s="337"/>
      <c r="N669" s="2057"/>
      <c r="O669" s="337"/>
      <c r="P669" s="337"/>
      <c r="Q669" s="337"/>
      <c r="R669" s="337"/>
      <c r="S669" s="337"/>
      <c r="T669" s="337"/>
      <c r="U669" s="497"/>
      <c r="V669" s="497"/>
      <c r="W669" s="497"/>
      <c r="X669" s="497"/>
      <c r="Y669" s="497"/>
      <c r="Z669" s="497"/>
      <c r="AA669" s="497"/>
      <c r="AB669" s="497"/>
      <c r="AC669" s="497"/>
      <c r="AD669" s="497"/>
      <c r="AE669" s="497"/>
      <c r="AF669" s="497"/>
      <c r="AG669" s="497"/>
      <c r="AH669" s="497"/>
      <c r="AI669" s="497"/>
      <c r="AJ669" s="497"/>
      <c r="AK669" s="497"/>
      <c r="AL669" s="497"/>
      <c r="AM669" s="497"/>
      <c r="AN669" s="497"/>
      <c r="AO669" s="497"/>
      <c r="AP669" s="497"/>
      <c r="AQ669" s="497"/>
      <c r="AR669" s="497"/>
      <c r="AS669" s="497"/>
      <c r="AT669" s="497"/>
      <c r="AU669" s="497"/>
      <c r="AV669" s="497"/>
      <c r="AW669" s="497"/>
      <c r="AX669" s="497"/>
      <c r="AY669" s="497"/>
      <c r="AZ669" s="497"/>
      <c r="BA669" s="497"/>
      <c r="BB669" s="497"/>
      <c r="BC669" s="497"/>
      <c r="BD669" s="497"/>
      <c r="BE669" s="497"/>
      <c r="BF669" s="497"/>
      <c r="BG669" s="497"/>
      <c r="BH669" s="497"/>
      <c r="BI669" s="497"/>
      <c r="BJ669" s="497"/>
      <c r="BK669" s="497"/>
      <c r="BL669" s="497"/>
      <c r="BM669" s="497"/>
      <c r="BN669" s="497"/>
      <c r="BO669" s="497"/>
      <c r="BP669" s="497"/>
      <c r="BQ669" s="497"/>
      <c r="BR669" s="497"/>
      <c r="BS669" s="497"/>
      <c r="BT669" s="497"/>
      <c r="BU669" s="497"/>
      <c r="BV669" s="497"/>
      <c r="BW669" s="497"/>
      <c r="BX669" s="497"/>
      <c r="BY669" s="497"/>
      <c r="BZ669" s="497"/>
      <c r="CA669" s="497"/>
      <c r="CB669" s="497"/>
      <c r="CC669" s="497"/>
      <c r="CD669" s="497"/>
      <c r="CE669" s="497"/>
      <c r="CF669" s="497"/>
      <c r="CG669" s="497"/>
      <c r="CH669" s="497"/>
    </row>
    <row r="670" spans="1:86" s="335" customFormat="1">
      <c r="A670" s="517"/>
      <c r="B670" s="517"/>
      <c r="C670" s="517"/>
      <c r="D670" s="517"/>
      <c r="E670" s="517"/>
      <c r="F670" s="517"/>
      <c r="G670" s="517"/>
      <c r="H670" s="639"/>
      <c r="I670" s="639"/>
      <c r="J670" s="336"/>
      <c r="K670" s="2056"/>
      <c r="L670" s="337"/>
      <c r="N670" s="2057"/>
      <c r="O670" s="337"/>
      <c r="P670" s="337"/>
      <c r="Q670" s="337"/>
      <c r="R670" s="337"/>
      <c r="S670" s="337"/>
      <c r="T670" s="337"/>
      <c r="U670" s="497"/>
      <c r="V670" s="497"/>
      <c r="W670" s="497"/>
      <c r="X670" s="497"/>
      <c r="Y670" s="497"/>
      <c r="Z670" s="497"/>
      <c r="AA670" s="497"/>
      <c r="AB670" s="497"/>
      <c r="AC670" s="497"/>
      <c r="AD670" s="497"/>
      <c r="AE670" s="497"/>
      <c r="AF670" s="497"/>
      <c r="AG670" s="497"/>
      <c r="AH670" s="497"/>
      <c r="AI670" s="497"/>
      <c r="AJ670" s="497"/>
      <c r="AK670" s="497"/>
      <c r="AL670" s="497"/>
      <c r="AM670" s="497"/>
      <c r="AN670" s="497"/>
      <c r="AO670" s="497"/>
      <c r="AP670" s="497"/>
      <c r="AQ670" s="497"/>
      <c r="AR670" s="497"/>
      <c r="AS670" s="497"/>
      <c r="AT670" s="497"/>
      <c r="AU670" s="497"/>
      <c r="AV670" s="497"/>
      <c r="AW670" s="497"/>
      <c r="AX670" s="497"/>
      <c r="AY670" s="497"/>
      <c r="AZ670" s="497"/>
      <c r="BA670" s="497"/>
      <c r="BB670" s="497"/>
      <c r="BC670" s="497"/>
      <c r="BD670" s="497"/>
      <c r="BE670" s="497"/>
      <c r="BF670" s="497"/>
      <c r="BG670" s="497"/>
      <c r="BH670" s="497"/>
      <c r="BI670" s="497"/>
      <c r="BJ670" s="497"/>
      <c r="BK670" s="497"/>
      <c r="BL670" s="497"/>
      <c r="BM670" s="497"/>
      <c r="BN670" s="497"/>
      <c r="BO670" s="497"/>
      <c r="BP670" s="497"/>
      <c r="BQ670" s="497"/>
      <c r="BR670" s="497"/>
      <c r="BS670" s="497"/>
      <c r="BT670" s="497"/>
      <c r="BU670" s="497"/>
      <c r="BV670" s="497"/>
      <c r="BW670" s="497"/>
      <c r="BX670" s="497"/>
      <c r="BY670" s="497"/>
      <c r="BZ670" s="497"/>
      <c r="CA670" s="497"/>
      <c r="CB670" s="497"/>
      <c r="CC670" s="497"/>
      <c r="CD670" s="497"/>
      <c r="CE670" s="497"/>
      <c r="CF670" s="497"/>
      <c r="CG670" s="497"/>
      <c r="CH670" s="497"/>
    </row>
    <row r="671" spans="1:86" s="335" customFormat="1">
      <c r="A671" s="517"/>
      <c r="B671" s="517"/>
      <c r="C671" s="517"/>
      <c r="D671" s="517"/>
      <c r="E671" s="517"/>
      <c r="F671" s="517"/>
      <c r="G671" s="517"/>
      <c r="H671" s="639"/>
      <c r="I671" s="639"/>
      <c r="J671" s="336"/>
      <c r="K671" s="2056"/>
      <c r="L671" s="337"/>
      <c r="N671" s="2057"/>
      <c r="O671" s="337"/>
      <c r="P671" s="337"/>
      <c r="Q671" s="337"/>
      <c r="R671" s="337"/>
      <c r="S671" s="337"/>
      <c r="T671" s="337"/>
      <c r="U671" s="497"/>
      <c r="V671" s="497"/>
      <c r="W671" s="497"/>
      <c r="X671" s="497"/>
      <c r="Y671" s="497"/>
      <c r="Z671" s="497"/>
      <c r="AA671" s="497"/>
      <c r="AB671" s="497"/>
      <c r="AC671" s="497"/>
      <c r="AD671" s="497"/>
      <c r="AE671" s="497"/>
      <c r="AF671" s="497"/>
      <c r="AG671" s="497"/>
      <c r="AH671" s="497"/>
      <c r="AI671" s="497"/>
      <c r="AJ671" s="497"/>
      <c r="AK671" s="497"/>
      <c r="AL671" s="497"/>
      <c r="AM671" s="497"/>
      <c r="AN671" s="497"/>
      <c r="AO671" s="497"/>
      <c r="AP671" s="497"/>
      <c r="AQ671" s="497"/>
      <c r="AR671" s="497"/>
      <c r="AS671" s="497"/>
      <c r="AT671" s="497"/>
      <c r="AU671" s="497"/>
      <c r="AV671" s="497"/>
      <c r="AW671" s="497"/>
      <c r="AX671" s="497"/>
      <c r="AY671" s="497"/>
      <c r="AZ671" s="497"/>
      <c r="BA671" s="497"/>
      <c r="BB671" s="497"/>
      <c r="BC671" s="497"/>
      <c r="BD671" s="497"/>
      <c r="BE671" s="497"/>
      <c r="BF671" s="497"/>
      <c r="BG671" s="497"/>
      <c r="BH671" s="497"/>
      <c r="BI671" s="497"/>
      <c r="BJ671" s="497"/>
      <c r="BK671" s="497"/>
      <c r="BL671" s="497"/>
      <c r="BM671" s="497"/>
      <c r="BN671" s="497"/>
      <c r="BO671" s="497"/>
      <c r="BP671" s="497"/>
      <c r="BQ671" s="497"/>
      <c r="BR671" s="497"/>
      <c r="BS671" s="497"/>
      <c r="BT671" s="497"/>
      <c r="BU671" s="497"/>
      <c r="BV671" s="497"/>
      <c r="BW671" s="497"/>
      <c r="BX671" s="497"/>
      <c r="BY671" s="497"/>
      <c r="BZ671" s="497"/>
      <c r="CA671" s="497"/>
      <c r="CB671" s="497"/>
      <c r="CC671" s="497"/>
      <c r="CD671" s="497"/>
      <c r="CE671" s="497"/>
      <c r="CF671" s="497"/>
      <c r="CG671" s="497"/>
      <c r="CH671" s="497"/>
    </row>
    <row r="672" spans="1:86" s="335" customFormat="1">
      <c r="A672" s="517"/>
      <c r="B672" s="517"/>
      <c r="C672" s="517"/>
      <c r="D672" s="517"/>
      <c r="E672" s="517"/>
      <c r="F672" s="517"/>
      <c r="G672" s="517"/>
      <c r="H672" s="639"/>
      <c r="I672" s="639"/>
      <c r="J672" s="336"/>
      <c r="K672" s="2056"/>
      <c r="L672" s="337"/>
      <c r="N672" s="2057"/>
      <c r="O672" s="337"/>
      <c r="P672" s="337"/>
      <c r="Q672" s="337"/>
      <c r="R672" s="337"/>
      <c r="S672" s="337"/>
      <c r="T672" s="337"/>
      <c r="U672" s="497"/>
      <c r="V672" s="497"/>
      <c r="W672" s="497"/>
      <c r="X672" s="497"/>
      <c r="Y672" s="497"/>
      <c r="Z672" s="497"/>
      <c r="AA672" s="497"/>
      <c r="AB672" s="497"/>
      <c r="AC672" s="497"/>
      <c r="AD672" s="497"/>
      <c r="AE672" s="497"/>
      <c r="AF672" s="497"/>
      <c r="AG672" s="497"/>
      <c r="AH672" s="497"/>
      <c r="AI672" s="497"/>
      <c r="AJ672" s="497"/>
      <c r="AK672" s="497"/>
      <c r="AL672" s="497"/>
      <c r="AM672" s="497"/>
      <c r="AN672" s="497"/>
      <c r="AO672" s="497"/>
      <c r="AP672" s="497"/>
      <c r="AQ672" s="497"/>
      <c r="AR672" s="497"/>
      <c r="AS672" s="497"/>
      <c r="AT672" s="497"/>
      <c r="AU672" s="497"/>
      <c r="AV672" s="497"/>
      <c r="AW672" s="497"/>
      <c r="AX672" s="497"/>
      <c r="AY672" s="497"/>
      <c r="AZ672" s="497"/>
      <c r="BA672" s="497"/>
      <c r="BB672" s="497"/>
      <c r="BC672" s="497"/>
      <c r="BD672" s="497"/>
      <c r="BE672" s="497"/>
      <c r="BF672" s="497"/>
      <c r="BG672" s="497"/>
      <c r="BH672" s="497"/>
      <c r="BI672" s="497"/>
      <c r="BJ672" s="497"/>
      <c r="BK672" s="497"/>
      <c r="BL672" s="497"/>
      <c r="BM672" s="497"/>
      <c r="BN672" s="497"/>
      <c r="BO672" s="497"/>
      <c r="BP672" s="497"/>
      <c r="BQ672" s="497"/>
      <c r="BR672" s="497"/>
      <c r="BS672" s="497"/>
      <c r="BT672" s="497"/>
      <c r="BU672" s="497"/>
      <c r="BV672" s="497"/>
      <c r="BW672" s="497"/>
      <c r="BX672" s="497"/>
      <c r="BY672" s="497"/>
      <c r="BZ672" s="497"/>
      <c r="CA672" s="497"/>
      <c r="CB672" s="497"/>
      <c r="CC672" s="497"/>
      <c r="CD672" s="497"/>
      <c r="CE672" s="497"/>
      <c r="CF672" s="497"/>
      <c r="CG672" s="497"/>
      <c r="CH672" s="497"/>
    </row>
    <row r="673" spans="1:86" s="335" customFormat="1">
      <c r="A673" s="517"/>
      <c r="B673" s="517"/>
      <c r="C673" s="517"/>
      <c r="D673" s="517"/>
      <c r="E673" s="517"/>
      <c r="F673" s="517"/>
      <c r="G673" s="517"/>
      <c r="H673" s="639"/>
      <c r="I673" s="639"/>
      <c r="J673" s="336"/>
      <c r="K673" s="2056"/>
      <c r="L673" s="337"/>
      <c r="N673" s="2057"/>
      <c r="O673" s="337"/>
      <c r="P673" s="337"/>
      <c r="Q673" s="337"/>
      <c r="R673" s="337"/>
      <c r="S673" s="337"/>
      <c r="T673" s="337"/>
      <c r="U673" s="497"/>
      <c r="V673" s="497"/>
      <c r="W673" s="497"/>
      <c r="X673" s="497"/>
      <c r="Y673" s="497"/>
      <c r="Z673" s="497"/>
      <c r="AA673" s="497"/>
      <c r="AB673" s="497"/>
      <c r="AC673" s="497"/>
      <c r="AD673" s="497"/>
      <c r="AE673" s="497"/>
      <c r="AF673" s="497"/>
      <c r="AG673" s="497"/>
      <c r="AH673" s="497"/>
      <c r="AI673" s="497"/>
      <c r="AJ673" s="497"/>
      <c r="AK673" s="497"/>
      <c r="AL673" s="497"/>
      <c r="AM673" s="497"/>
      <c r="AN673" s="497"/>
      <c r="AO673" s="497"/>
      <c r="AP673" s="497"/>
      <c r="AQ673" s="497"/>
      <c r="AR673" s="497"/>
      <c r="AS673" s="497"/>
      <c r="AT673" s="497"/>
      <c r="AU673" s="497"/>
      <c r="AV673" s="497"/>
      <c r="AW673" s="497"/>
      <c r="AX673" s="497"/>
      <c r="AY673" s="497"/>
      <c r="AZ673" s="497"/>
      <c r="BA673" s="497"/>
      <c r="BB673" s="497"/>
      <c r="BC673" s="497"/>
      <c r="BD673" s="497"/>
      <c r="BE673" s="497"/>
      <c r="BF673" s="497"/>
      <c r="BG673" s="497"/>
      <c r="BH673" s="497"/>
      <c r="BI673" s="497"/>
      <c r="BJ673" s="497"/>
      <c r="BK673" s="497"/>
      <c r="BL673" s="497"/>
      <c r="BM673" s="497"/>
      <c r="BN673" s="497"/>
      <c r="BO673" s="497"/>
      <c r="BP673" s="497"/>
      <c r="BQ673" s="497"/>
      <c r="BR673" s="497"/>
      <c r="BS673" s="497"/>
      <c r="BT673" s="497"/>
      <c r="BU673" s="497"/>
      <c r="BV673" s="497"/>
      <c r="BW673" s="497"/>
      <c r="BX673" s="497"/>
      <c r="BY673" s="497"/>
      <c r="BZ673" s="497"/>
      <c r="CA673" s="497"/>
      <c r="CB673" s="497"/>
      <c r="CC673" s="497"/>
      <c r="CD673" s="497"/>
      <c r="CE673" s="497"/>
      <c r="CF673" s="497"/>
      <c r="CG673" s="497"/>
      <c r="CH673" s="497"/>
    </row>
    <row r="674" spans="1:86" s="335" customFormat="1">
      <c r="A674" s="517"/>
      <c r="B674" s="517"/>
      <c r="C674" s="517"/>
      <c r="D674" s="517"/>
      <c r="E674" s="517"/>
      <c r="F674" s="517"/>
      <c r="G674" s="517"/>
      <c r="H674" s="639"/>
      <c r="I674" s="639"/>
      <c r="J674" s="336"/>
      <c r="K674" s="2056"/>
      <c r="L674" s="337"/>
      <c r="N674" s="2057"/>
      <c r="O674" s="337"/>
      <c r="P674" s="337"/>
      <c r="Q674" s="337"/>
      <c r="R674" s="337"/>
      <c r="S674" s="337"/>
      <c r="T674" s="337"/>
      <c r="U674" s="497"/>
      <c r="V674" s="497"/>
      <c r="W674" s="497"/>
      <c r="X674" s="497"/>
      <c r="Y674" s="497"/>
      <c r="Z674" s="497"/>
      <c r="AA674" s="497"/>
      <c r="AB674" s="497"/>
      <c r="AC674" s="497"/>
      <c r="AD674" s="497"/>
      <c r="AE674" s="497"/>
      <c r="AF674" s="497"/>
      <c r="AG674" s="497"/>
      <c r="AH674" s="497"/>
      <c r="AI674" s="497"/>
      <c r="AJ674" s="497"/>
      <c r="AK674" s="497"/>
      <c r="AL674" s="497"/>
      <c r="AM674" s="497"/>
      <c r="AN674" s="497"/>
      <c r="AO674" s="497"/>
      <c r="AP674" s="497"/>
      <c r="AQ674" s="497"/>
      <c r="AR674" s="497"/>
      <c r="AS674" s="497"/>
      <c r="AT674" s="497"/>
      <c r="AU674" s="497"/>
      <c r="AV674" s="497"/>
      <c r="AW674" s="497"/>
      <c r="AX674" s="497"/>
      <c r="AY674" s="497"/>
      <c r="AZ674" s="497"/>
      <c r="BA674" s="497"/>
      <c r="BB674" s="497"/>
      <c r="BC674" s="497"/>
      <c r="BD674" s="497"/>
      <c r="BE674" s="497"/>
      <c r="BF674" s="497"/>
      <c r="BG674" s="497"/>
      <c r="BH674" s="497"/>
      <c r="BI674" s="497"/>
      <c r="BJ674" s="497"/>
      <c r="BK674" s="497"/>
      <c r="BL674" s="497"/>
      <c r="BM674" s="497"/>
      <c r="BN674" s="497"/>
      <c r="BO674" s="497"/>
      <c r="BP674" s="497"/>
      <c r="BQ674" s="497"/>
      <c r="BR674" s="497"/>
      <c r="BS674" s="497"/>
      <c r="BT674" s="497"/>
      <c r="BU674" s="497"/>
      <c r="BV674" s="497"/>
      <c r="BW674" s="497"/>
      <c r="BX674" s="497"/>
      <c r="BY674" s="497"/>
      <c r="BZ674" s="497"/>
      <c r="CA674" s="497"/>
      <c r="CB674" s="497"/>
      <c r="CC674" s="497"/>
      <c r="CD674" s="497"/>
      <c r="CE674" s="497"/>
      <c r="CF674" s="497"/>
      <c r="CG674" s="497"/>
      <c r="CH674" s="497"/>
    </row>
    <row r="675" spans="1:86" s="335" customFormat="1">
      <c r="A675" s="517"/>
      <c r="B675" s="517"/>
      <c r="C675" s="517"/>
      <c r="D675" s="517"/>
      <c r="E675" s="517"/>
      <c r="F675" s="517"/>
      <c r="G675" s="517"/>
      <c r="H675" s="639"/>
      <c r="I675" s="639"/>
      <c r="J675" s="336"/>
      <c r="K675" s="2056"/>
      <c r="L675" s="337"/>
      <c r="N675" s="2057"/>
      <c r="O675" s="337"/>
      <c r="P675" s="337"/>
      <c r="Q675" s="337"/>
      <c r="R675" s="337"/>
      <c r="S675" s="337"/>
      <c r="T675" s="337"/>
      <c r="U675" s="497"/>
      <c r="V675" s="497"/>
      <c r="W675" s="497"/>
      <c r="X675" s="497"/>
      <c r="Y675" s="497"/>
      <c r="Z675" s="497"/>
      <c r="AA675" s="497"/>
      <c r="AB675" s="497"/>
      <c r="AC675" s="497"/>
      <c r="AD675" s="497"/>
      <c r="AE675" s="497"/>
      <c r="AF675" s="497"/>
      <c r="AG675" s="497"/>
      <c r="AH675" s="497"/>
      <c r="AI675" s="497"/>
      <c r="AJ675" s="497"/>
      <c r="AK675" s="497"/>
      <c r="AL675" s="497"/>
      <c r="AM675" s="497"/>
      <c r="AN675" s="497"/>
      <c r="AO675" s="497"/>
      <c r="AP675" s="497"/>
      <c r="AQ675" s="497"/>
      <c r="AR675" s="497"/>
      <c r="AS675" s="497"/>
      <c r="AT675" s="497"/>
      <c r="AU675" s="497"/>
      <c r="AV675" s="497"/>
      <c r="AW675" s="497"/>
      <c r="AX675" s="497"/>
      <c r="AY675" s="497"/>
      <c r="AZ675" s="497"/>
      <c r="BA675" s="497"/>
      <c r="BB675" s="497"/>
      <c r="BC675" s="497"/>
      <c r="BD675" s="497"/>
      <c r="BE675" s="497"/>
      <c r="BF675" s="497"/>
      <c r="BG675" s="497"/>
      <c r="BH675" s="497"/>
      <c r="BI675" s="497"/>
      <c r="BJ675" s="497"/>
      <c r="BK675" s="497"/>
      <c r="BL675" s="497"/>
      <c r="BM675" s="497"/>
      <c r="BN675" s="497"/>
      <c r="BO675" s="497"/>
      <c r="BP675" s="497"/>
      <c r="BQ675" s="497"/>
      <c r="BR675" s="497"/>
      <c r="BS675" s="497"/>
      <c r="BT675" s="497"/>
      <c r="BU675" s="497"/>
      <c r="BV675" s="497"/>
      <c r="BW675" s="497"/>
      <c r="BX675" s="497"/>
      <c r="BY675" s="497"/>
      <c r="BZ675" s="497"/>
      <c r="CA675" s="497"/>
      <c r="CB675" s="497"/>
      <c r="CC675" s="497"/>
      <c r="CD675" s="497"/>
      <c r="CE675" s="497"/>
      <c r="CF675" s="497"/>
      <c r="CG675" s="497"/>
      <c r="CH675" s="497"/>
    </row>
    <row r="676" spans="1:86" s="335" customFormat="1">
      <c r="A676" s="517"/>
      <c r="B676" s="517"/>
      <c r="C676" s="517"/>
      <c r="D676" s="517"/>
      <c r="E676" s="517"/>
      <c r="F676" s="517"/>
      <c r="G676" s="517"/>
      <c r="H676" s="639"/>
      <c r="I676" s="639"/>
      <c r="J676" s="336"/>
      <c r="K676" s="2056"/>
      <c r="L676" s="337"/>
      <c r="N676" s="2057"/>
      <c r="O676" s="337"/>
      <c r="P676" s="337"/>
      <c r="Q676" s="337"/>
      <c r="R676" s="337"/>
      <c r="S676" s="337"/>
      <c r="T676" s="337"/>
      <c r="U676" s="497"/>
      <c r="V676" s="497"/>
      <c r="W676" s="497"/>
      <c r="X676" s="497"/>
      <c r="Y676" s="497"/>
      <c r="Z676" s="497"/>
      <c r="AA676" s="497"/>
      <c r="AB676" s="497"/>
      <c r="AC676" s="497"/>
      <c r="AD676" s="497"/>
      <c r="AE676" s="497"/>
      <c r="AF676" s="497"/>
      <c r="AG676" s="497"/>
      <c r="AH676" s="497"/>
      <c r="AI676" s="497"/>
      <c r="AJ676" s="497"/>
      <c r="AK676" s="497"/>
      <c r="AL676" s="497"/>
      <c r="AM676" s="497"/>
      <c r="AN676" s="497"/>
      <c r="AO676" s="497"/>
      <c r="AP676" s="497"/>
      <c r="AQ676" s="497"/>
      <c r="AR676" s="497"/>
      <c r="AS676" s="497"/>
      <c r="AT676" s="497"/>
      <c r="AU676" s="497"/>
      <c r="AV676" s="497"/>
      <c r="AW676" s="497"/>
      <c r="AX676" s="497"/>
      <c r="AY676" s="497"/>
      <c r="AZ676" s="497"/>
      <c r="BA676" s="497"/>
      <c r="BB676" s="497"/>
      <c r="BC676" s="497"/>
      <c r="BD676" s="497"/>
      <c r="BE676" s="497"/>
      <c r="BF676" s="497"/>
      <c r="BG676" s="497"/>
      <c r="BH676" s="497"/>
      <c r="BI676" s="497"/>
      <c r="BJ676" s="497"/>
      <c r="BK676" s="497"/>
      <c r="BL676" s="497"/>
      <c r="BM676" s="497"/>
      <c r="BN676" s="497"/>
      <c r="BO676" s="497"/>
      <c r="BP676" s="497"/>
      <c r="BQ676" s="497"/>
      <c r="BR676" s="497"/>
      <c r="BS676" s="497"/>
      <c r="BT676" s="497"/>
      <c r="BU676" s="497"/>
      <c r="BV676" s="497"/>
      <c r="BW676" s="497"/>
      <c r="BX676" s="497"/>
      <c r="BY676" s="497"/>
      <c r="BZ676" s="497"/>
      <c r="CA676" s="497"/>
      <c r="CB676" s="497"/>
      <c r="CC676" s="497"/>
      <c r="CD676" s="497"/>
      <c r="CE676" s="497"/>
      <c r="CF676" s="497"/>
      <c r="CG676" s="497"/>
      <c r="CH676" s="497"/>
    </row>
    <row r="677" spans="1:86" s="335" customFormat="1">
      <c r="A677" s="517"/>
      <c r="B677" s="517"/>
      <c r="C677" s="517"/>
      <c r="D677" s="517"/>
      <c r="E677" s="517"/>
      <c r="F677" s="517"/>
      <c r="G677" s="517"/>
      <c r="H677" s="639"/>
      <c r="I677" s="639"/>
      <c r="J677" s="336"/>
      <c r="K677" s="2056"/>
      <c r="L677" s="337"/>
      <c r="N677" s="2057"/>
      <c r="O677" s="337"/>
      <c r="P677" s="337"/>
      <c r="Q677" s="337"/>
      <c r="R677" s="337"/>
      <c r="S677" s="337"/>
      <c r="T677" s="337"/>
      <c r="U677" s="497"/>
      <c r="V677" s="497"/>
      <c r="W677" s="497"/>
      <c r="X677" s="497"/>
      <c r="Y677" s="497"/>
      <c r="Z677" s="497"/>
      <c r="AA677" s="497"/>
      <c r="AB677" s="497"/>
      <c r="AC677" s="497"/>
      <c r="AD677" s="497"/>
      <c r="AE677" s="497"/>
      <c r="AF677" s="497"/>
      <c r="AG677" s="497"/>
      <c r="AH677" s="497"/>
      <c r="AI677" s="497"/>
      <c r="AJ677" s="497"/>
      <c r="AK677" s="497"/>
      <c r="AL677" s="497"/>
      <c r="AM677" s="497"/>
      <c r="AN677" s="497"/>
      <c r="AO677" s="497"/>
      <c r="AP677" s="497"/>
      <c r="AQ677" s="497"/>
      <c r="AR677" s="497"/>
      <c r="AS677" s="497"/>
      <c r="AT677" s="497"/>
      <c r="AU677" s="497"/>
      <c r="AV677" s="497"/>
      <c r="AW677" s="497"/>
      <c r="AX677" s="497"/>
      <c r="AY677" s="497"/>
      <c r="AZ677" s="497"/>
      <c r="BA677" s="497"/>
      <c r="BB677" s="497"/>
      <c r="BC677" s="497"/>
      <c r="BD677" s="497"/>
      <c r="BE677" s="497"/>
      <c r="BF677" s="497"/>
      <c r="BG677" s="497"/>
      <c r="BH677" s="497"/>
      <c r="BI677" s="497"/>
      <c r="BJ677" s="497"/>
      <c r="BK677" s="497"/>
      <c r="BL677" s="497"/>
      <c r="BM677" s="497"/>
      <c r="BN677" s="497"/>
      <c r="BO677" s="497"/>
      <c r="BP677" s="497"/>
      <c r="BQ677" s="497"/>
      <c r="BR677" s="497"/>
      <c r="BS677" s="497"/>
      <c r="BT677" s="497"/>
      <c r="BU677" s="497"/>
      <c r="BV677" s="497"/>
      <c r="BW677" s="497"/>
      <c r="BX677" s="497"/>
      <c r="BY677" s="497"/>
      <c r="BZ677" s="497"/>
      <c r="CA677" s="497"/>
      <c r="CB677" s="497"/>
      <c r="CC677" s="497"/>
      <c r="CD677" s="497"/>
      <c r="CE677" s="497"/>
      <c r="CF677" s="497"/>
      <c r="CG677" s="497"/>
      <c r="CH677" s="497"/>
    </row>
    <row r="678" spans="1:86" s="335" customFormat="1">
      <c r="A678" s="517"/>
      <c r="B678" s="517"/>
      <c r="C678" s="517"/>
      <c r="D678" s="517"/>
      <c r="E678" s="517"/>
      <c r="F678" s="517"/>
      <c r="G678" s="517"/>
      <c r="H678" s="639"/>
      <c r="I678" s="639"/>
      <c r="J678" s="336"/>
      <c r="K678" s="2056"/>
      <c r="L678" s="337"/>
      <c r="N678" s="2057"/>
      <c r="O678" s="337"/>
      <c r="P678" s="337"/>
      <c r="Q678" s="337"/>
      <c r="R678" s="337"/>
      <c r="S678" s="337"/>
      <c r="T678" s="337"/>
      <c r="U678" s="497"/>
      <c r="V678" s="497"/>
      <c r="W678" s="497"/>
      <c r="X678" s="497"/>
      <c r="Y678" s="497"/>
      <c r="Z678" s="497"/>
      <c r="AA678" s="497"/>
      <c r="AB678" s="497"/>
      <c r="AC678" s="497"/>
      <c r="AD678" s="497"/>
      <c r="AE678" s="497"/>
      <c r="AF678" s="497"/>
      <c r="AG678" s="497"/>
      <c r="AH678" s="497"/>
      <c r="AI678" s="497"/>
      <c r="AJ678" s="497"/>
      <c r="AK678" s="497"/>
      <c r="AL678" s="497"/>
      <c r="AM678" s="497"/>
      <c r="AN678" s="497"/>
      <c r="AO678" s="497"/>
      <c r="AP678" s="497"/>
      <c r="AQ678" s="497"/>
      <c r="AR678" s="497"/>
      <c r="AS678" s="497"/>
      <c r="AT678" s="497"/>
      <c r="AU678" s="497"/>
      <c r="AV678" s="497"/>
      <c r="AW678" s="497"/>
      <c r="AX678" s="497"/>
      <c r="AY678" s="497"/>
      <c r="AZ678" s="497"/>
      <c r="BA678" s="497"/>
      <c r="BB678" s="497"/>
      <c r="BC678" s="497"/>
      <c r="BD678" s="497"/>
      <c r="BE678" s="497"/>
      <c r="BF678" s="497"/>
      <c r="BG678" s="497"/>
      <c r="BH678" s="497"/>
      <c r="BI678" s="497"/>
      <c r="BJ678" s="497"/>
      <c r="BK678" s="497"/>
      <c r="BL678" s="497"/>
      <c r="BM678" s="497"/>
      <c r="BN678" s="497"/>
      <c r="BO678" s="497"/>
      <c r="BP678" s="497"/>
      <c r="BQ678" s="497"/>
      <c r="BR678" s="497"/>
      <c r="BS678" s="497"/>
      <c r="BT678" s="497"/>
      <c r="BU678" s="497"/>
      <c r="BV678" s="497"/>
      <c r="BW678" s="497"/>
      <c r="BX678" s="497"/>
      <c r="BY678" s="497"/>
      <c r="BZ678" s="497"/>
      <c r="CA678" s="497"/>
      <c r="CB678" s="497"/>
      <c r="CC678" s="497"/>
      <c r="CD678" s="497"/>
      <c r="CE678" s="497"/>
      <c r="CF678" s="497"/>
      <c r="CG678" s="497"/>
      <c r="CH678" s="497"/>
    </row>
    <row r="679" spans="1:86" s="335" customFormat="1">
      <c r="A679" s="517"/>
      <c r="B679" s="517"/>
      <c r="C679" s="517"/>
      <c r="D679" s="517"/>
      <c r="E679" s="517"/>
      <c r="F679" s="517"/>
      <c r="G679" s="517"/>
      <c r="H679" s="639"/>
      <c r="I679" s="639"/>
      <c r="J679" s="336"/>
      <c r="K679" s="2056"/>
      <c r="L679" s="337"/>
      <c r="N679" s="2057"/>
      <c r="O679" s="337"/>
      <c r="P679" s="337"/>
      <c r="Q679" s="337"/>
      <c r="R679" s="337"/>
      <c r="S679" s="337"/>
      <c r="T679" s="337"/>
      <c r="U679" s="497"/>
      <c r="V679" s="497"/>
      <c r="W679" s="497"/>
      <c r="X679" s="497"/>
      <c r="Y679" s="497"/>
      <c r="Z679" s="497"/>
      <c r="AA679" s="497"/>
      <c r="AB679" s="497"/>
      <c r="AC679" s="497"/>
      <c r="AD679" s="497"/>
      <c r="AE679" s="497"/>
      <c r="AF679" s="497"/>
      <c r="AG679" s="497"/>
      <c r="AH679" s="497"/>
      <c r="AI679" s="497"/>
      <c r="AJ679" s="497"/>
      <c r="AK679" s="497"/>
      <c r="AL679" s="497"/>
      <c r="AM679" s="497"/>
      <c r="AN679" s="497"/>
      <c r="AO679" s="497"/>
      <c r="AP679" s="497"/>
      <c r="AQ679" s="497"/>
      <c r="AR679" s="497"/>
      <c r="AS679" s="497"/>
      <c r="AT679" s="497"/>
      <c r="AU679" s="497"/>
      <c r="AV679" s="497"/>
      <c r="AW679" s="497"/>
      <c r="AX679" s="497"/>
      <c r="AY679" s="497"/>
      <c r="AZ679" s="497"/>
      <c r="BA679" s="497"/>
      <c r="BB679" s="497"/>
      <c r="BC679" s="497"/>
      <c r="BD679" s="497"/>
      <c r="BE679" s="497"/>
      <c r="BF679" s="497"/>
      <c r="BG679" s="497"/>
      <c r="BH679" s="497"/>
      <c r="BI679" s="497"/>
      <c r="BJ679" s="497"/>
      <c r="BK679" s="497"/>
      <c r="BL679" s="497"/>
      <c r="BM679" s="497"/>
      <c r="BN679" s="497"/>
      <c r="BO679" s="497"/>
      <c r="BP679" s="497"/>
      <c r="BQ679" s="497"/>
      <c r="BR679" s="497"/>
      <c r="BS679" s="497"/>
      <c r="BT679" s="497"/>
      <c r="BU679" s="497"/>
      <c r="BV679" s="497"/>
      <c r="BW679" s="497"/>
      <c r="BX679" s="497"/>
      <c r="BY679" s="497"/>
      <c r="BZ679" s="497"/>
      <c r="CA679" s="497"/>
      <c r="CB679" s="497"/>
      <c r="CC679" s="497"/>
      <c r="CD679" s="497"/>
      <c r="CE679" s="497"/>
      <c r="CF679" s="497"/>
      <c r="CG679" s="497"/>
      <c r="CH679" s="497"/>
    </row>
    <row r="680" spans="1:86" s="335" customFormat="1">
      <c r="A680" s="517"/>
      <c r="B680" s="517"/>
      <c r="C680" s="517"/>
      <c r="D680" s="517"/>
      <c r="E680" s="517"/>
      <c r="F680" s="517"/>
      <c r="G680" s="517"/>
      <c r="H680" s="639"/>
      <c r="I680" s="639"/>
      <c r="J680" s="336"/>
      <c r="K680" s="2056"/>
      <c r="L680" s="337"/>
      <c r="N680" s="2057"/>
      <c r="O680" s="337"/>
      <c r="P680" s="337"/>
      <c r="Q680" s="337"/>
      <c r="R680" s="337"/>
      <c r="S680" s="337"/>
      <c r="T680" s="337"/>
      <c r="U680" s="497"/>
      <c r="V680" s="497"/>
      <c r="W680" s="497"/>
      <c r="X680" s="497"/>
      <c r="Y680" s="497"/>
      <c r="Z680" s="497"/>
      <c r="AA680" s="497"/>
      <c r="AB680" s="497"/>
      <c r="AC680" s="497"/>
      <c r="AD680" s="497"/>
      <c r="AE680" s="497"/>
      <c r="AF680" s="497"/>
      <c r="AG680" s="497"/>
      <c r="AH680" s="497"/>
      <c r="AI680" s="497"/>
      <c r="AJ680" s="497"/>
      <c r="AK680" s="497"/>
      <c r="AL680" s="497"/>
      <c r="AM680" s="497"/>
      <c r="AN680" s="497"/>
      <c r="AO680" s="497"/>
      <c r="AP680" s="497"/>
      <c r="AQ680" s="497"/>
      <c r="AR680" s="497"/>
      <c r="AS680" s="497"/>
      <c r="AT680" s="497"/>
      <c r="AU680" s="497"/>
      <c r="AV680" s="497"/>
      <c r="AW680" s="497"/>
      <c r="AX680" s="497"/>
      <c r="AY680" s="497"/>
      <c r="AZ680" s="497"/>
      <c r="BA680" s="497"/>
      <c r="BB680" s="497"/>
      <c r="BC680" s="497"/>
      <c r="BD680" s="497"/>
      <c r="BE680" s="497"/>
      <c r="BF680" s="497"/>
      <c r="BG680" s="497"/>
      <c r="BH680" s="497"/>
      <c r="BI680" s="497"/>
      <c r="BJ680" s="497"/>
      <c r="BK680" s="497"/>
      <c r="BL680" s="497"/>
      <c r="BM680" s="497"/>
      <c r="BN680" s="497"/>
      <c r="BO680" s="497"/>
      <c r="BP680" s="497"/>
      <c r="BQ680" s="497"/>
      <c r="BR680" s="497"/>
      <c r="BS680" s="497"/>
      <c r="BT680" s="497"/>
      <c r="BU680" s="497"/>
      <c r="BV680" s="497"/>
      <c r="BW680" s="497"/>
      <c r="BX680" s="497"/>
      <c r="BY680" s="497"/>
      <c r="BZ680" s="497"/>
      <c r="CA680" s="497"/>
      <c r="CB680" s="497"/>
      <c r="CC680" s="497"/>
      <c r="CD680" s="497"/>
      <c r="CE680" s="497"/>
      <c r="CF680" s="497"/>
      <c r="CG680" s="497"/>
      <c r="CH680" s="497"/>
    </row>
    <row r="681" spans="1:86" s="335" customFormat="1">
      <c r="A681" s="517"/>
      <c r="B681" s="517"/>
      <c r="C681" s="517"/>
      <c r="D681" s="517"/>
      <c r="E681" s="517"/>
      <c r="F681" s="517"/>
      <c r="G681" s="517"/>
      <c r="H681" s="639"/>
      <c r="I681" s="639"/>
      <c r="J681" s="336"/>
      <c r="K681" s="2056"/>
      <c r="L681" s="337"/>
      <c r="N681" s="2057"/>
      <c r="O681" s="337"/>
      <c r="P681" s="337"/>
      <c r="Q681" s="337"/>
      <c r="R681" s="337"/>
      <c r="S681" s="337"/>
      <c r="T681" s="337"/>
      <c r="U681" s="497"/>
      <c r="V681" s="497"/>
      <c r="W681" s="497"/>
      <c r="X681" s="497"/>
      <c r="Y681" s="497"/>
      <c r="Z681" s="497"/>
      <c r="AA681" s="497"/>
      <c r="AB681" s="497"/>
      <c r="AC681" s="497"/>
      <c r="AD681" s="497"/>
      <c r="AE681" s="497"/>
      <c r="AF681" s="497"/>
      <c r="AG681" s="497"/>
      <c r="AH681" s="497"/>
      <c r="AI681" s="497"/>
      <c r="AJ681" s="497"/>
      <c r="AK681" s="497"/>
      <c r="AL681" s="497"/>
      <c r="AM681" s="497"/>
      <c r="AN681" s="497"/>
      <c r="AO681" s="497"/>
      <c r="AP681" s="497"/>
      <c r="AQ681" s="497"/>
      <c r="AR681" s="497"/>
      <c r="AS681" s="497"/>
      <c r="AT681" s="497"/>
      <c r="AU681" s="497"/>
      <c r="AV681" s="497"/>
      <c r="AW681" s="497"/>
      <c r="AX681" s="497"/>
      <c r="AY681" s="497"/>
      <c r="AZ681" s="497"/>
      <c r="BA681" s="497"/>
      <c r="BB681" s="497"/>
      <c r="BC681" s="497"/>
      <c r="BD681" s="497"/>
      <c r="BE681" s="497"/>
      <c r="BF681" s="497"/>
      <c r="BG681" s="497"/>
      <c r="BH681" s="497"/>
      <c r="BI681" s="497"/>
      <c r="BJ681" s="497"/>
      <c r="BK681" s="497"/>
      <c r="BL681" s="497"/>
      <c r="BM681" s="497"/>
      <c r="BN681" s="497"/>
      <c r="BO681" s="497"/>
      <c r="BP681" s="497"/>
      <c r="BQ681" s="497"/>
      <c r="BR681" s="497"/>
      <c r="BS681" s="497"/>
      <c r="BT681" s="497"/>
      <c r="BU681" s="497"/>
      <c r="BV681" s="497"/>
      <c r="BW681" s="497"/>
      <c r="BX681" s="497"/>
      <c r="BY681" s="497"/>
      <c r="BZ681" s="497"/>
      <c r="CA681" s="497"/>
      <c r="CB681" s="497"/>
      <c r="CC681" s="497"/>
      <c r="CD681" s="497"/>
      <c r="CE681" s="497"/>
      <c r="CF681" s="497"/>
      <c r="CG681" s="497"/>
      <c r="CH681" s="497"/>
    </row>
    <row r="682" spans="1:86" s="335" customFormat="1">
      <c r="A682" s="517"/>
      <c r="B682" s="517"/>
      <c r="C682" s="517"/>
      <c r="D682" s="517"/>
      <c r="E682" s="517"/>
      <c r="F682" s="517"/>
      <c r="G682" s="517"/>
      <c r="H682" s="639"/>
      <c r="I682" s="639"/>
      <c r="J682" s="336"/>
      <c r="K682" s="2056"/>
      <c r="L682" s="337"/>
      <c r="N682" s="2057"/>
      <c r="O682" s="337"/>
      <c r="P682" s="337"/>
      <c r="Q682" s="337"/>
      <c r="R682" s="337"/>
      <c r="S682" s="337"/>
      <c r="T682" s="337"/>
      <c r="U682" s="497"/>
      <c r="V682" s="497"/>
      <c r="W682" s="497"/>
      <c r="X682" s="497"/>
      <c r="Y682" s="497"/>
      <c r="Z682" s="497"/>
      <c r="AA682" s="497"/>
      <c r="AB682" s="497"/>
      <c r="AC682" s="497"/>
      <c r="AD682" s="497"/>
      <c r="AE682" s="497"/>
      <c r="AF682" s="497"/>
      <c r="AG682" s="497"/>
      <c r="AH682" s="497"/>
      <c r="AI682" s="497"/>
      <c r="AJ682" s="497"/>
      <c r="AK682" s="497"/>
      <c r="AL682" s="497"/>
      <c r="AM682" s="497"/>
      <c r="AN682" s="497"/>
      <c r="AO682" s="497"/>
      <c r="AP682" s="497"/>
      <c r="AQ682" s="497"/>
      <c r="AR682" s="497"/>
      <c r="AS682" s="497"/>
      <c r="AT682" s="497"/>
      <c r="AU682" s="497"/>
      <c r="AV682" s="497"/>
      <c r="AW682" s="497"/>
      <c r="AX682" s="497"/>
      <c r="AY682" s="497"/>
      <c r="AZ682" s="497"/>
      <c r="BA682" s="497"/>
      <c r="BB682" s="497"/>
      <c r="BC682" s="497"/>
      <c r="BD682" s="497"/>
      <c r="BE682" s="497"/>
      <c r="BF682" s="497"/>
      <c r="BG682" s="497"/>
      <c r="BH682" s="497"/>
      <c r="BI682" s="497"/>
      <c r="BJ682" s="497"/>
      <c r="BK682" s="497"/>
      <c r="BL682" s="497"/>
      <c r="BM682" s="497"/>
      <c r="BN682" s="497"/>
      <c r="BO682" s="497"/>
      <c r="BP682" s="497"/>
      <c r="BQ682" s="497"/>
      <c r="BR682" s="497"/>
      <c r="BS682" s="497"/>
      <c r="BT682" s="497"/>
      <c r="BU682" s="497"/>
      <c r="BV682" s="497"/>
      <c r="BW682" s="497"/>
      <c r="BX682" s="497"/>
      <c r="BY682" s="497"/>
      <c r="BZ682" s="497"/>
      <c r="CA682" s="497"/>
      <c r="CB682" s="497"/>
      <c r="CC682" s="497"/>
      <c r="CD682" s="497"/>
      <c r="CE682" s="497"/>
      <c r="CF682" s="497"/>
      <c r="CG682" s="497"/>
      <c r="CH682" s="497"/>
    </row>
    <row r="683" spans="1:86" s="335" customFormat="1">
      <c r="A683" s="517"/>
      <c r="B683" s="517"/>
      <c r="C683" s="517"/>
      <c r="D683" s="517"/>
      <c r="E683" s="517"/>
      <c r="F683" s="517"/>
      <c r="G683" s="517"/>
      <c r="H683" s="639"/>
      <c r="I683" s="639"/>
      <c r="J683" s="336"/>
      <c r="K683" s="2056"/>
      <c r="L683" s="337"/>
      <c r="N683" s="2057"/>
      <c r="O683" s="337"/>
      <c r="P683" s="337"/>
      <c r="Q683" s="337"/>
      <c r="R683" s="337"/>
      <c r="S683" s="337"/>
      <c r="T683" s="337"/>
      <c r="U683" s="497"/>
      <c r="V683" s="497"/>
      <c r="W683" s="497"/>
      <c r="X683" s="497"/>
      <c r="Y683" s="497"/>
      <c r="Z683" s="497"/>
      <c r="AA683" s="497"/>
      <c r="AB683" s="497"/>
      <c r="AC683" s="497"/>
      <c r="AD683" s="497"/>
      <c r="AE683" s="497"/>
      <c r="AF683" s="497"/>
      <c r="AG683" s="497"/>
      <c r="AH683" s="497"/>
      <c r="AI683" s="497"/>
      <c r="AJ683" s="497"/>
      <c r="AK683" s="497"/>
      <c r="AL683" s="497"/>
      <c r="AM683" s="497"/>
      <c r="AN683" s="497"/>
      <c r="AO683" s="497"/>
      <c r="AP683" s="497"/>
      <c r="AQ683" s="497"/>
      <c r="AR683" s="497"/>
      <c r="AS683" s="497"/>
      <c r="AT683" s="497"/>
      <c r="AU683" s="497"/>
      <c r="AV683" s="497"/>
      <c r="AW683" s="497"/>
      <c r="AX683" s="497"/>
      <c r="AY683" s="497"/>
      <c r="AZ683" s="497"/>
      <c r="BA683" s="497"/>
      <c r="BB683" s="497"/>
      <c r="BC683" s="497"/>
      <c r="BD683" s="497"/>
      <c r="BE683" s="497"/>
      <c r="BF683" s="497"/>
      <c r="BG683" s="497"/>
      <c r="BH683" s="497"/>
      <c r="BI683" s="497"/>
      <c r="BJ683" s="497"/>
      <c r="BK683" s="497"/>
      <c r="BL683" s="497"/>
      <c r="BM683" s="497"/>
      <c r="BN683" s="497"/>
      <c r="BO683" s="497"/>
      <c r="BP683" s="497"/>
      <c r="BQ683" s="497"/>
      <c r="BR683" s="497"/>
      <c r="BS683" s="497"/>
      <c r="BT683" s="497"/>
      <c r="BU683" s="497"/>
      <c r="BV683" s="497"/>
      <c r="BW683" s="497"/>
      <c r="BX683" s="497"/>
      <c r="BY683" s="497"/>
      <c r="BZ683" s="497"/>
      <c r="CA683" s="497"/>
      <c r="CB683" s="497"/>
      <c r="CC683" s="497"/>
      <c r="CD683" s="497"/>
      <c r="CE683" s="497"/>
      <c r="CF683" s="497"/>
      <c r="CG683" s="497"/>
      <c r="CH683" s="497"/>
    </row>
    <row r="684" spans="1:86" s="335" customFormat="1">
      <c r="A684" s="517"/>
      <c r="B684" s="517"/>
      <c r="C684" s="517"/>
      <c r="D684" s="517"/>
      <c r="E684" s="517"/>
      <c r="F684" s="517"/>
      <c r="G684" s="517"/>
      <c r="H684" s="639"/>
      <c r="I684" s="639"/>
      <c r="J684" s="336"/>
      <c r="K684" s="2056"/>
      <c r="L684" s="337"/>
      <c r="N684" s="2057"/>
      <c r="O684" s="337"/>
      <c r="P684" s="337"/>
      <c r="Q684" s="337"/>
      <c r="R684" s="337"/>
      <c r="S684" s="337"/>
      <c r="T684" s="337"/>
      <c r="U684" s="497"/>
      <c r="V684" s="497"/>
      <c r="W684" s="497"/>
      <c r="X684" s="497"/>
      <c r="Y684" s="497"/>
      <c r="Z684" s="497"/>
      <c r="AA684" s="497"/>
      <c r="AB684" s="497"/>
      <c r="AC684" s="497"/>
      <c r="AD684" s="497"/>
      <c r="AE684" s="497"/>
      <c r="AF684" s="497"/>
      <c r="AG684" s="497"/>
      <c r="AH684" s="497"/>
      <c r="AI684" s="497"/>
      <c r="AJ684" s="497"/>
      <c r="AK684" s="497"/>
      <c r="AL684" s="497"/>
      <c r="AM684" s="497"/>
      <c r="AN684" s="497"/>
      <c r="AO684" s="497"/>
      <c r="AP684" s="497"/>
      <c r="AQ684" s="497"/>
      <c r="AR684" s="497"/>
      <c r="AS684" s="497"/>
      <c r="AT684" s="497"/>
      <c r="AU684" s="497"/>
      <c r="AV684" s="497"/>
      <c r="AW684" s="497"/>
      <c r="AX684" s="497"/>
      <c r="AY684" s="497"/>
      <c r="AZ684" s="497"/>
      <c r="BA684" s="497"/>
      <c r="BB684" s="497"/>
      <c r="BC684" s="497"/>
      <c r="BD684" s="497"/>
      <c r="BE684" s="497"/>
      <c r="BF684" s="497"/>
      <c r="BG684" s="497"/>
      <c r="BH684" s="497"/>
      <c r="BI684" s="497"/>
      <c r="BJ684" s="497"/>
      <c r="BK684" s="497"/>
      <c r="BL684" s="497"/>
      <c r="BM684" s="497"/>
      <c r="BN684" s="497"/>
      <c r="BO684" s="497"/>
      <c r="BP684" s="497"/>
      <c r="BQ684" s="497"/>
      <c r="BR684" s="497"/>
      <c r="BS684" s="497"/>
      <c r="BT684" s="497"/>
      <c r="BU684" s="497"/>
      <c r="BV684" s="497"/>
      <c r="BW684" s="497"/>
      <c r="BX684" s="497"/>
      <c r="BY684" s="497"/>
      <c r="BZ684" s="497"/>
      <c r="CA684" s="497"/>
      <c r="CB684" s="497"/>
      <c r="CC684" s="497"/>
      <c r="CD684" s="497"/>
      <c r="CE684" s="497"/>
      <c r="CF684" s="497"/>
      <c r="CG684" s="497"/>
      <c r="CH684" s="497"/>
    </row>
    <row r="685" spans="1:86" s="335" customFormat="1">
      <c r="A685" s="517"/>
      <c r="B685" s="517"/>
      <c r="C685" s="517"/>
      <c r="D685" s="517"/>
      <c r="E685" s="517"/>
      <c r="F685" s="517"/>
      <c r="G685" s="517"/>
      <c r="H685" s="639"/>
      <c r="I685" s="639"/>
      <c r="J685" s="336"/>
      <c r="K685" s="2056"/>
      <c r="L685" s="337"/>
      <c r="N685" s="2057"/>
      <c r="O685" s="337"/>
      <c r="P685" s="337"/>
      <c r="Q685" s="337"/>
      <c r="R685" s="337"/>
      <c r="S685" s="337"/>
      <c r="T685" s="337"/>
      <c r="U685" s="497"/>
      <c r="V685" s="497"/>
      <c r="W685" s="497"/>
      <c r="X685" s="497"/>
      <c r="Y685" s="497"/>
      <c r="Z685" s="497"/>
      <c r="AA685" s="497"/>
      <c r="AB685" s="497"/>
      <c r="AC685" s="497"/>
      <c r="AD685" s="497"/>
      <c r="AE685" s="497"/>
      <c r="AF685" s="497"/>
      <c r="AG685" s="497"/>
      <c r="AH685" s="497"/>
      <c r="AI685" s="497"/>
      <c r="AJ685" s="497"/>
      <c r="AK685" s="497"/>
      <c r="AL685" s="497"/>
      <c r="AM685" s="497"/>
      <c r="AN685" s="497"/>
      <c r="AO685" s="497"/>
      <c r="AP685" s="497"/>
      <c r="AQ685" s="497"/>
      <c r="AR685" s="497"/>
      <c r="AS685" s="497"/>
      <c r="AT685" s="497"/>
      <c r="AU685" s="497"/>
      <c r="AV685" s="497"/>
      <c r="AW685" s="497"/>
      <c r="AX685" s="497"/>
      <c r="AY685" s="497"/>
      <c r="AZ685" s="497"/>
      <c r="BA685" s="497"/>
      <c r="BB685" s="497"/>
      <c r="BC685" s="497"/>
      <c r="BD685" s="497"/>
      <c r="BE685" s="497"/>
      <c r="BF685" s="497"/>
      <c r="BG685" s="497"/>
      <c r="BH685" s="497"/>
      <c r="BI685" s="497"/>
      <c r="BJ685" s="497"/>
      <c r="BK685" s="497"/>
      <c r="BL685" s="497"/>
      <c r="BM685" s="497"/>
      <c r="BN685" s="497"/>
      <c r="BO685" s="497"/>
      <c r="BP685" s="497"/>
      <c r="BQ685" s="497"/>
      <c r="BR685" s="497"/>
      <c r="BS685" s="497"/>
      <c r="BT685" s="497"/>
      <c r="BU685" s="497"/>
      <c r="BV685" s="497"/>
      <c r="BW685" s="497"/>
      <c r="BX685" s="497"/>
      <c r="BY685" s="497"/>
      <c r="BZ685" s="497"/>
      <c r="CA685" s="497"/>
      <c r="CB685" s="497"/>
      <c r="CC685" s="497"/>
      <c r="CD685" s="497"/>
      <c r="CE685" s="497"/>
      <c r="CF685" s="497"/>
      <c r="CG685" s="497"/>
      <c r="CH685" s="497"/>
    </row>
    <row r="686" spans="1:86" s="335" customFormat="1">
      <c r="A686" s="517"/>
      <c r="B686" s="517"/>
      <c r="C686" s="517"/>
      <c r="D686" s="517"/>
      <c r="E686" s="517"/>
      <c r="F686" s="517"/>
      <c r="G686" s="517"/>
      <c r="H686" s="639"/>
      <c r="I686" s="639"/>
      <c r="J686" s="336"/>
      <c r="K686" s="2056"/>
      <c r="L686" s="337"/>
      <c r="N686" s="2057"/>
      <c r="O686" s="337"/>
      <c r="P686" s="337"/>
      <c r="Q686" s="337"/>
      <c r="R686" s="337"/>
      <c r="S686" s="337"/>
      <c r="T686" s="337"/>
      <c r="U686" s="497"/>
      <c r="V686" s="497"/>
      <c r="W686" s="497"/>
      <c r="X686" s="497"/>
      <c r="Y686" s="497"/>
      <c r="Z686" s="497"/>
      <c r="AA686" s="497"/>
      <c r="AB686" s="497"/>
      <c r="AC686" s="497"/>
      <c r="AD686" s="497"/>
      <c r="AE686" s="497"/>
      <c r="AF686" s="497"/>
      <c r="AG686" s="497"/>
      <c r="AH686" s="497"/>
      <c r="AI686" s="497"/>
      <c r="AJ686" s="497"/>
      <c r="AK686" s="497"/>
      <c r="AL686" s="497"/>
      <c r="AM686" s="497"/>
      <c r="AN686" s="497"/>
      <c r="AO686" s="497"/>
      <c r="AP686" s="497"/>
      <c r="AQ686" s="497"/>
      <c r="AR686" s="497"/>
      <c r="AS686" s="497"/>
      <c r="AT686" s="497"/>
      <c r="AU686" s="497"/>
      <c r="AV686" s="497"/>
      <c r="AW686" s="497"/>
      <c r="AX686" s="497"/>
      <c r="AY686" s="497"/>
      <c r="AZ686" s="497"/>
      <c r="BA686" s="497"/>
      <c r="BB686" s="497"/>
      <c r="BC686" s="497"/>
      <c r="BD686" s="497"/>
      <c r="BE686" s="497"/>
      <c r="BF686" s="497"/>
      <c r="BG686" s="497"/>
      <c r="BH686" s="497"/>
      <c r="BI686" s="497"/>
      <c r="BJ686" s="497"/>
      <c r="BK686" s="497"/>
      <c r="BL686" s="497"/>
      <c r="BM686" s="497"/>
      <c r="BN686" s="497"/>
      <c r="BO686" s="497"/>
      <c r="BP686" s="497"/>
      <c r="BQ686" s="497"/>
      <c r="BR686" s="497"/>
      <c r="BS686" s="497"/>
      <c r="BT686" s="497"/>
      <c r="BU686" s="497"/>
      <c r="BV686" s="497"/>
      <c r="BW686" s="497"/>
      <c r="BX686" s="497"/>
      <c r="BY686" s="497"/>
      <c r="BZ686" s="497"/>
      <c r="CA686" s="497"/>
      <c r="CB686" s="497"/>
      <c r="CC686" s="497"/>
      <c r="CD686" s="497"/>
      <c r="CE686" s="497"/>
      <c r="CF686" s="497"/>
      <c r="CG686" s="497"/>
      <c r="CH686" s="497"/>
    </row>
    <row r="687" spans="1:86" s="335" customFormat="1">
      <c r="A687" s="517"/>
      <c r="B687" s="517"/>
      <c r="C687" s="517"/>
      <c r="D687" s="517"/>
      <c r="E687" s="517"/>
      <c r="F687" s="517"/>
      <c r="G687" s="517"/>
      <c r="H687" s="639"/>
      <c r="I687" s="639"/>
      <c r="J687" s="336"/>
      <c r="K687" s="2056"/>
      <c r="L687" s="337"/>
      <c r="N687" s="2057"/>
      <c r="O687" s="337"/>
      <c r="P687" s="337"/>
      <c r="Q687" s="337"/>
      <c r="R687" s="337"/>
      <c r="S687" s="337"/>
      <c r="T687" s="337"/>
      <c r="U687" s="497"/>
      <c r="V687" s="497"/>
      <c r="W687" s="497"/>
      <c r="X687" s="497"/>
      <c r="Y687" s="497"/>
      <c r="Z687" s="497"/>
      <c r="AA687" s="497"/>
      <c r="AB687" s="497"/>
      <c r="AC687" s="497"/>
      <c r="AD687" s="497"/>
      <c r="AE687" s="497"/>
      <c r="AF687" s="497"/>
      <c r="AG687" s="497"/>
      <c r="AH687" s="497"/>
      <c r="AI687" s="497"/>
      <c r="AJ687" s="497"/>
      <c r="AK687" s="497"/>
      <c r="AL687" s="497"/>
      <c r="AM687" s="497"/>
      <c r="AN687" s="497"/>
      <c r="AO687" s="497"/>
      <c r="AP687" s="497"/>
      <c r="AQ687" s="497"/>
      <c r="AR687" s="497"/>
      <c r="AS687" s="497"/>
      <c r="AT687" s="497"/>
      <c r="AU687" s="497"/>
      <c r="AV687" s="497"/>
      <c r="AW687" s="497"/>
      <c r="AX687" s="497"/>
      <c r="AY687" s="497"/>
      <c r="AZ687" s="497"/>
      <c r="BA687" s="497"/>
      <c r="BB687" s="497"/>
      <c r="BC687" s="497"/>
      <c r="BD687" s="497"/>
      <c r="BE687" s="497"/>
      <c r="BF687" s="497"/>
      <c r="BG687" s="497"/>
      <c r="BH687" s="497"/>
      <c r="BI687" s="497"/>
      <c r="BJ687" s="497"/>
      <c r="BK687" s="497"/>
      <c r="BL687" s="497"/>
      <c r="BM687" s="497"/>
      <c r="BN687" s="497"/>
      <c r="BO687" s="497"/>
      <c r="BP687" s="497"/>
      <c r="BQ687" s="497"/>
      <c r="BR687" s="497"/>
      <c r="BS687" s="497"/>
      <c r="BT687" s="497"/>
      <c r="BU687" s="497"/>
      <c r="BV687" s="497"/>
      <c r="BW687" s="497"/>
      <c r="BX687" s="497"/>
      <c r="BY687" s="497"/>
      <c r="BZ687" s="497"/>
      <c r="CA687" s="497"/>
      <c r="CB687" s="497"/>
      <c r="CC687" s="497"/>
      <c r="CD687" s="497"/>
      <c r="CE687" s="497"/>
      <c r="CF687" s="497"/>
      <c r="CG687" s="497"/>
      <c r="CH687" s="497"/>
    </row>
    <row r="688" spans="1:86" s="335" customFormat="1">
      <c r="A688" s="517"/>
      <c r="B688" s="517"/>
      <c r="C688" s="517"/>
      <c r="D688" s="517"/>
      <c r="E688" s="517"/>
      <c r="F688" s="517"/>
      <c r="G688" s="517"/>
      <c r="H688" s="639"/>
      <c r="I688" s="639"/>
      <c r="J688" s="336"/>
      <c r="K688" s="2056"/>
      <c r="L688" s="337"/>
      <c r="N688" s="2057"/>
      <c r="O688" s="337"/>
      <c r="P688" s="337"/>
      <c r="Q688" s="337"/>
      <c r="R688" s="337"/>
      <c r="S688" s="337"/>
      <c r="T688" s="337"/>
      <c r="U688" s="497"/>
      <c r="V688" s="497"/>
      <c r="W688" s="497"/>
      <c r="X688" s="497"/>
      <c r="Y688" s="497"/>
      <c r="Z688" s="497"/>
      <c r="AA688" s="497"/>
      <c r="AB688" s="497"/>
      <c r="AC688" s="497"/>
      <c r="AD688" s="497"/>
      <c r="AE688" s="497"/>
      <c r="AF688" s="497"/>
      <c r="AG688" s="497"/>
      <c r="AH688" s="497"/>
      <c r="AI688" s="497"/>
      <c r="AJ688" s="497"/>
      <c r="AK688" s="497"/>
      <c r="AL688" s="497"/>
      <c r="AM688" s="497"/>
      <c r="AN688" s="497"/>
      <c r="AO688" s="497"/>
      <c r="AP688" s="497"/>
      <c r="AQ688" s="497"/>
      <c r="AR688" s="497"/>
      <c r="AS688" s="497"/>
      <c r="AT688" s="497"/>
      <c r="AU688" s="497"/>
      <c r="AV688" s="497"/>
      <c r="AW688" s="497"/>
      <c r="AX688" s="497"/>
      <c r="AY688" s="497"/>
      <c r="AZ688" s="497"/>
      <c r="BA688" s="497"/>
      <c r="BB688" s="497"/>
      <c r="BC688" s="497"/>
      <c r="BD688" s="497"/>
      <c r="BE688" s="497"/>
      <c r="BF688" s="497"/>
      <c r="BG688" s="497"/>
      <c r="BH688" s="497"/>
      <c r="BI688" s="497"/>
      <c r="BJ688" s="497"/>
      <c r="BK688" s="497"/>
      <c r="BL688" s="497"/>
      <c r="BM688" s="497"/>
      <c r="BN688" s="497"/>
      <c r="BO688" s="497"/>
      <c r="BP688" s="497"/>
      <c r="BQ688" s="497"/>
      <c r="BR688" s="497"/>
      <c r="BS688" s="497"/>
      <c r="BT688" s="497"/>
      <c r="BU688" s="497"/>
      <c r="BV688" s="497"/>
      <c r="BW688" s="497"/>
      <c r="BX688" s="497"/>
      <c r="BY688" s="497"/>
      <c r="BZ688" s="497"/>
      <c r="CA688" s="497"/>
      <c r="CB688" s="497"/>
      <c r="CC688" s="497"/>
      <c r="CD688" s="497"/>
      <c r="CE688" s="497"/>
      <c r="CF688" s="497"/>
      <c r="CG688" s="497"/>
      <c r="CH688" s="497"/>
    </row>
    <row r="689" spans="1:86" s="335" customFormat="1">
      <c r="A689" s="517"/>
      <c r="B689" s="517"/>
      <c r="C689" s="517"/>
      <c r="D689" s="517"/>
      <c r="E689" s="517"/>
      <c r="F689" s="517"/>
      <c r="G689" s="517"/>
      <c r="H689" s="639"/>
      <c r="I689" s="639"/>
      <c r="J689" s="336"/>
      <c r="K689" s="2056"/>
      <c r="L689" s="337"/>
      <c r="N689" s="2057"/>
      <c r="O689" s="337"/>
      <c r="P689" s="337"/>
      <c r="Q689" s="337"/>
      <c r="R689" s="337"/>
      <c r="S689" s="337"/>
      <c r="T689" s="337"/>
      <c r="U689" s="497"/>
      <c r="V689" s="497"/>
      <c r="W689" s="497"/>
      <c r="X689" s="497"/>
      <c r="Y689" s="497"/>
      <c r="Z689" s="497"/>
      <c r="AA689" s="497"/>
      <c r="AB689" s="497"/>
      <c r="AC689" s="497"/>
      <c r="AD689" s="497"/>
      <c r="AE689" s="497"/>
      <c r="AF689" s="497"/>
      <c r="AG689" s="497"/>
      <c r="AH689" s="497"/>
      <c r="AI689" s="497"/>
      <c r="AJ689" s="497"/>
      <c r="AK689" s="497"/>
      <c r="AL689" s="497"/>
      <c r="AM689" s="497"/>
      <c r="AN689" s="497"/>
      <c r="AO689" s="497"/>
      <c r="AP689" s="497"/>
      <c r="AQ689" s="497"/>
      <c r="AR689" s="497"/>
      <c r="AS689" s="497"/>
      <c r="AT689" s="497"/>
      <c r="AU689" s="497"/>
      <c r="AV689" s="497"/>
      <c r="AW689" s="497"/>
      <c r="AX689" s="497"/>
      <c r="AY689" s="497"/>
      <c r="AZ689" s="497"/>
      <c r="BA689" s="497"/>
      <c r="BB689" s="497"/>
      <c r="BC689" s="497"/>
      <c r="BD689" s="497"/>
      <c r="BE689" s="497"/>
      <c r="BF689" s="497"/>
      <c r="BG689" s="497"/>
      <c r="BH689" s="497"/>
      <c r="BI689" s="497"/>
      <c r="BJ689" s="497"/>
      <c r="BK689" s="497"/>
      <c r="BL689" s="497"/>
      <c r="BM689" s="497"/>
      <c r="BN689" s="497"/>
      <c r="BO689" s="497"/>
      <c r="BP689" s="497"/>
      <c r="BQ689" s="497"/>
      <c r="BR689" s="497"/>
      <c r="BS689" s="497"/>
      <c r="BT689" s="497"/>
      <c r="BU689" s="497"/>
      <c r="BV689" s="497"/>
      <c r="BW689" s="497"/>
      <c r="BX689" s="497"/>
      <c r="BY689" s="497"/>
      <c r="BZ689" s="497"/>
      <c r="CA689" s="497"/>
      <c r="CB689" s="497"/>
      <c r="CC689" s="497"/>
      <c r="CD689" s="497"/>
      <c r="CE689" s="497"/>
      <c r="CF689" s="497"/>
      <c r="CG689" s="497"/>
      <c r="CH689" s="497"/>
    </row>
    <row r="690" spans="1:86" s="335" customFormat="1">
      <c r="A690" s="517"/>
      <c r="B690" s="517"/>
      <c r="C690" s="517"/>
      <c r="D690" s="517"/>
      <c r="E690" s="517"/>
      <c r="F690" s="517"/>
      <c r="G690" s="517"/>
      <c r="H690" s="639"/>
      <c r="I690" s="639"/>
      <c r="J690" s="336"/>
      <c r="K690" s="2056"/>
      <c r="L690" s="337"/>
      <c r="N690" s="2057"/>
      <c r="O690" s="337"/>
      <c r="P690" s="337"/>
      <c r="Q690" s="337"/>
      <c r="R690" s="337"/>
      <c r="S690" s="337"/>
      <c r="T690" s="337"/>
      <c r="U690" s="497"/>
      <c r="V690" s="497"/>
      <c r="W690" s="497"/>
      <c r="X690" s="497"/>
      <c r="Y690" s="497"/>
      <c r="Z690" s="497"/>
      <c r="AA690" s="497"/>
      <c r="AB690" s="497"/>
      <c r="AC690" s="497"/>
      <c r="AD690" s="497"/>
      <c r="AE690" s="497"/>
      <c r="AF690" s="497"/>
      <c r="AG690" s="497"/>
      <c r="AH690" s="497"/>
      <c r="AI690" s="497"/>
      <c r="AJ690" s="497"/>
      <c r="AK690" s="497"/>
      <c r="AL690" s="497"/>
      <c r="AM690" s="497"/>
      <c r="AN690" s="497"/>
      <c r="AO690" s="497"/>
      <c r="AP690" s="497"/>
      <c r="AQ690" s="497"/>
      <c r="AR690" s="497"/>
      <c r="AS690" s="497"/>
      <c r="AT690" s="497"/>
      <c r="AU690" s="497"/>
      <c r="AV690" s="497"/>
      <c r="AW690" s="497"/>
      <c r="AX690" s="497"/>
      <c r="AY690" s="497"/>
      <c r="AZ690" s="497"/>
      <c r="BA690" s="497"/>
      <c r="BB690" s="497"/>
      <c r="BC690" s="497"/>
      <c r="BD690" s="497"/>
      <c r="BE690" s="497"/>
      <c r="BF690" s="497"/>
      <c r="BG690" s="497"/>
      <c r="BH690" s="497"/>
      <c r="BI690" s="497"/>
      <c r="BJ690" s="497"/>
      <c r="BK690" s="497"/>
      <c r="BL690" s="497"/>
      <c r="BM690" s="497"/>
      <c r="BN690" s="497"/>
      <c r="BO690" s="497"/>
      <c r="BP690" s="497"/>
      <c r="BQ690" s="497"/>
      <c r="BR690" s="497"/>
      <c r="BS690" s="497"/>
      <c r="BT690" s="497"/>
      <c r="BU690" s="497"/>
      <c r="BV690" s="497"/>
      <c r="BW690" s="497"/>
      <c r="BX690" s="497"/>
      <c r="BY690" s="497"/>
      <c r="BZ690" s="497"/>
      <c r="CA690" s="497"/>
      <c r="CB690" s="497"/>
      <c r="CC690" s="497"/>
      <c r="CD690" s="497"/>
      <c r="CE690" s="497"/>
      <c r="CF690" s="497"/>
      <c r="CG690" s="497"/>
      <c r="CH690" s="497"/>
    </row>
    <row r="691" spans="1:86" s="335" customFormat="1">
      <c r="A691" s="517"/>
      <c r="B691" s="517"/>
      <c r="C691" s="517"/>
      <c r="D691" s="517"/>
      <c r="E691" s="517"/>
      <c r="F691" s="517"/>
      <c r="G691" s="517"/>
      <c r="H691" s="639"/>
      <c r="I691" s="639"/>
      <c r="J691" s="336"/>
      <c r="K691" s="2056"/>
      <c r="L691" s="337"/>
      <c r="N691" s="2057"/>
      <c r="O691" s="337"/>
      <c r="P691" s="337"/>
      <c r="Q691" s="337"/>
      <c r="R691" s="337"/>
      <c r="S691" s="337"/>
      <c r="T691" s="337"/>
      <c r="U691" s="497"/>
      <c r="V691" s="497"/>
      <c r="W691" s="497"/>
      <c r="X691" s="497"/>
      <c r="Y691" s="497"/>
      <c r="Z691" s="497"/>
      <c r="AA691" s="497"/>
      <c r="AB691" s="497"/>
      <c r="AC691" s="497"/>
      <c r="AD691" s="497"/>
      <c r="AE691" s="497"/>
      <c r="AF691" s="497"/>
      <c r="AG691" s="497"/>
      <c r="AH691" s="497"/>
      <c r="AI691" s="497"/>
      <c r="AJ691" s="497"/>
      <c r="AK691" s="497"/>
      <c r="AL691" s="497"/>
      <c r="AM691" s="497"/>
      <c r="AN691" s="497"/>
      <c r="AO691" s="497"/>
      <c r="AP691" s="497"/>
      <c r="AQ691" s="497"/>
      <c r="AR691" s="497"/>
      <c r="AS691" s="497"/>
      <c r="AT691" s="497"/>
      <c r="AU691" s="497"/>
      <c r="AV691" s="497"/>
      <c r="AW691" s="497"/>
      <c r="AX691" s="497"/>
      <c r="AY691" s="497"/>
      <c r="AZ691" s="497"/>
      <c r="BA691" s="497"/>
      <c r="BB691" s="497"/>
      <c r="BC691" s="497"/>
      <c r="BD691" s="497"/>
      <c r="BE691" s="497"/>
      <c r="BF691" s="497"/>
      <c r="BG691" s="497"/>
      <c r="BH691" s="497"/>
      <c r="BI691" s="497"/>
      <c r="BJ691" s="497"/>
      <c r="BK691" s="497"/>
      <c r="BL691" s="497"/>
      <c r="BM691" s="497"/>
      <c r="BN691" s="497"/>
      <c r="BO691" s="497"/>
      <c r="BP691" s="497"/>
      <c r="BQ691" s="497"/>
      <c r="BR691" s="497"/>
      <c r="BS691" s="497"/>
      <c r="BT691" s="497"/>
      <c r="BU691" s="497"/>
      <c r="BV691" s="497"/>
      <c r="BW691" s="497"/>
      <c r="BX691" s="497"/>
      <c r="BY691" s="497"/>
      <c r="BZ691" s="497"/>
      <c r="CA691" s="497"/>
      <c r="CB691" s="497"/>
      <c r="CC691" s="497"/>
      <c r="CD691" s="497"/>
      <c r="CE691" s="497"/>
      <c r="CF691" s="497"/>
      <c r="CG691" s="497"/>
      <c r="CH691" s="497"/>
    </row>
    <row r="692" spans="1:86" s="335" customFormat="1">
      <c r="A692" s="517"/>
      <c r="B692" s="517"/>
      <c r="C692" s="517"/>
      <c r="D692" s="517"/>
      <c r="E692" s="517"/>
      <c r="F692" s="517"/>
      <c r="G692" s="517"/>
      <c r="H692" s="639"/>
      <c r="I692" s="639"/>
      <c r="J692" s="336"/>
      <c r="K692" s="2056"/>
      <c r="L692" s="337"/>
      <c r="N692" s="2057"/>
      <c r="O692" s="337"/>
      <c r="P692" s="337"/>
      <c r="Q692" s="337"/>
      <c r="R692" s="337"/>
      <c r="S692" s="337"/>
      <c r="T692" s="337"/>
      <c r="U692" s="497"/>
      <c r="V692" s="497"/>
      <c r="W692" s="497"/>
      <c r="X692" s="497"/>
      <c r="Y692" s="497"/>
      <c r="Z692" s="497"/>
      <c r="AA692" s="497"/>
      <c r="AB692" s="497"/>
      <c r="AC692" s="497"/>
      <c r="AD692" s="497"/>
      <c r="AE692" s="497"/>
      <c r="AF692" s="497"/>
      <c r="AG692" s="497"/>
      <c r="AH692" s="497"/>
      <c r="AI692" s="497"/>
      <c r="AJ692" s="497"/>
      <c r="AK692" s="497"/>
      <c r="AL692" s="497"/>
      <c r="AM692" s="497"/>
      <c r="AN692" s="497"/>
      <c r="AO692" s="497"/>
      <c r="AP692" s="497"/>
      <c r="AQ692" s="497"/>
      <c r="AR692" s="497"/>
      <c r="AS692" s="497"/>
      <c r="AT692" s="497"/>
      <c r="AU692" s="497"/>
      <c r="AV692" s="497"/>
      <c r="AW692" s="497"/>
      <c r="AX692" s="497"/>
      <c r="AY692" s="497"/>
      <c r="AZ692" s="497"/>
      <c r="BA692" s="497"/>
      <c r="BB692" s="497"/>
      <c r="BC692" s="497"/>
      <c r="BD692" s="497"/>
      <c r="BE692" s="497"/>
      <c r="BF692" s="497"/>
      <c r="BG692" s="497"/>
      <c r="BH692" s="497"/>
      <c r="BI692" s="497"/>
      <c r="BJ692" s="497"/>
      <c r="BK692" s="497"/>
      <c r="BL692" s="497"/>
      <c r="BM692" s="497"/>
      <c r="BN692" s="497"/>
      <c r="BO692" s="497"/>
      <c r="BP692" s="497"/>
      <c r="BQ692" s="497"/>
      <c r="BR692" s="497"/>
      <c r="BS692" s="497"/>
      <c r="BT692" s="497"/>
      <c r="BU692" s="497"/>
      <c r="BV692" s="497"/>
      <c r="BW692" s="497"/>
      <c r="BX692" s="497"/>
      <c r="BY692" s="497"/>
      <c r="BZ692" s="497"/>
      <c r="CA692" s="497"/>
      <c r="CB692" s="497"/>
      <c r="CC692" s="497"/>
      <c r="CD692" s="497"/>
      <c r="CE692" s="497"/>
      <c r="CF692" s="497"/>
      <c r="CG692" s="497"/>
      <c r="CH692" s="497"/>
    </row>
    <row r="693" spans="1:86" s="335" customFormat="1">
      <c r="A693" s="517"/>
      <c r="B693" s="517"/>
      <c r="C693" s="517"/>
      <c r="D693" s="517"/>
      <c r="E693" s="517"/>
      <c r="F693" s="517"/>
      <c r="G693" s="517"/>
      <c r="H693" s="639"/>
      <c r="I693" s="639"/>
      <c r="J693" s="336"/>
      <c r="K693" s="2056"/>
      <c r="L693" s="337"/>
      <c r="N693" s="2057"/>
      <c r="O693" s="337"/>
      <c r="P693" s="337"/>
      <c r="Q693" s="337"/>
      <c r="R693" s="337"/>
      <c r="S693" s="337"/>
      <c r="T693" s="337"/>
      <c r="U693" s="497"/>
      <c r="V693" s="497"/>
      <c r="W693" s="497"/>
      <c r="X693" s="497"/>
      <c r="Y693" s="497"/>
      <c r="Z693" s="497"/>
      <c r="AA693" s="497"/>
      <c r="AB693" s="497"/>
      <c r="AC693" s="497"/>
      <c r="AD693" s="497"/>
      <c r="AE693" s="497"/>
      <c r="AF693" s="497"/>
      <c r="AG693" s="497"/>
      <c r="AH693" s="497"/>
      <c r="AI693" s="497"/>
      <c r="AJ693" s="497"/>
      <c r="AK693" s="497"/>
      <c r="AL693" s="497"/>
      <c r="AM693" s="497"/>
      <c r="AN693" s="497"/>
      <c r="AO693" s="497"/>
      <c r="AP693" s="497"/>
      <c r="AQ693" s="497"/>
      <c r="AR693" s="497"/>
      <c r="AS693" s="497"/>
      <c r="AT693" s="497"/>
      <c r="AU693" s="497"/>
      <c r="AV693" s="497"/>
      <c r="AW693" s="497"/>
      <c r="AX693" s="497"/>
      <c r="AY693" s="497"/>
      <c r="AZ693" s="497"/>
      <c r="BA693" s="497"/>
      <c r="BB693" s="497"/>
      <c r="BC693" s="497"/>
      <c r="BD693" s="497"/>
      <c r="BE693" s="497"/>
      <c r="BF693" s="497"/>
      <c r="BG693" s="497"/>
      <c r="BH693" s="497"/>
      <c r="BI693" s="497"/>
      <c r="BJ693" s="497"/>
      <c r="BK693" s="497"/>
      <c r="BL693" s="497"/>
      <c r="BM693" s="497"/>
      <c r="BN693" s="497"/>
      <c r="BO693" s="497"/>
      <c r="BP693" s="497"/>
      <c r="BQ693" s="497"/>
      <c r="BR693" s="497"/>
      <c r="BS693" s="497"/>
      <c r="BT693" s="497"/>
      <c r="BU693" s="497"/>
      <c r="BV693" s="497"/>
      <c r="BW693" s="497"/>
      <c r="BX693" s="497"/>
      <c r="BY693" s="497"/>
      <c r="BZ693" s="497"/>
      <c r="CA693" s="497"/>
      <c r="CB693" s="497"/>
      <c r="CC693" s="497"/>
      <c r="CD693" s="497"/>
      <c r="CE693" s="497"/>
      <c r="CF693" s="497"/>
      <c r="CG693" s="497"/>
      <c r="CH693" s="497"/>
    </row>
    <row r="694" spans="1:86" s="335" customFormat="1">
      <c r="A694" s="517"/>
      <c r="B694" s="517"/>
      <c r="C694" s="517"/>
      <c r="D694" s="517"/>
      <c r="E694" s="517"/>
      <c r="F694" s="517"/>
      <c r="G694" s="517"/>
      <c r="H694" s="639"/>
      <c r="I694" s="639"/>
      <c r="J694" s="336"/>
      <c r="K694" s="2056"/>
      <c r="L694" s="337"/>
      <c r="N694" s="2057"/>
      <c r="O694" s="337"/>
      <c r="P694" s="337"/>
      <c r="Q694" s="337"/>
      <c r="R694" s="337"/>
      <c r="S694" s="337"/>
      <c r="T694" s="337"/>
      <c r="U694" s="497"/>
      <c r="V694" s="497"/>
      <c r="W694" s="497"/>
      <c r="X694" s="497"/>
      <c r="Y694" s="497"/>
      <c r="Z694" s="497"/>
      <c r="AA694" s="497"/>
      <c r="AB694" s="497"/>
      <c r="AC694" s="497"/>
      <c r="AD694" s="497"/>
      <c r="AE694" s="497"/>
      <c r="AF694" s="497"/>
      <c r="AG694" s="497"/>
      <c r="AH694" s="497"/>
      <c r="AI694" s="497"/>
      <c r="AJ694" s="497"/>
      <c r="AK694" s="497"/>
      <c r="AL694" s="497"/>
      <c r="AM694" s="497"/>
      <c r="AN694" s="497"/>
      <c r="AO694" s="497"/>
      <c r="AP694" s="497"/>
      <c r="AQ694" s="497"/>
      <c r="AR694" s="497"/>
      <c r="AS694" s="497"/>
      <c r="AT694" s="497"/>
      <c r="AU694" s="497"/>
      <c r="AV694" s="497"/>
      <c r="AW694" s="497"/>
      <c r="AX694" s="497"/>
      <c r="AY694" s="497"/>
      <c r="AZ694" s="497"/>
      <c r="BA694" s="497"/>
      <c r="BB694" s="497"/>
      <c r="BC694" s="497"/>
      <c r="BD694" s="497"/>
      <c r="BE694" s="497"/>
      <c r="BF694" s="497"/>
      <c r="BG694" s="497"/>
      <c r="BH694" s="497"/>
      <c r="BI694" s="497"/>
      <c r="BJ694" s="497"/>
      <c r="BK694" s="497"/>
      <c r="BL694" s="497"/>
      <c r="BM694" s="497"/>
      <c r="BN694" s="497"/>
      <c r="BO694" s="497"/>
      <c r="BP694" s="497"/>
      <c r="BQ694" s="497"/>
      <c r="BR694" s="497"/>
      <c r="BS694" s="497"/>
      <c r="BT694" s="497"/>
      <c r="BU694" s="497"/>
      <c r="BV694" s="497"/>
      <c r="BW694" s="497"/>
      <c r="BX694" s="497"/>
      <c r="BY694" s="497"/>
      <c r="BZ694" s="497"/>
      <c r="CA694" s="497"/>
      <c r="CB694" s="497"/>
      <c r="CC694" s="497"/>
      <c r="CD694" s="497"/>
      <c r="CE694" s="497"/>
      <c r="CF694" s="497"/>
      <c r="CG694" s="497"/>
      <c r="CH694" s="497"/>
    </row>
    <row r="695" spans="1:86" s="335" customFormat="1">
      <c r="A695" s="517"/>
      <c r="B695" s="517"/>
      <c r="C695" s="517"/>
      <c r="D695" s="517"/>
      <c r="E695" s="517"/>
      <c r="F695" s="517"/>
      <c r="G695" s="517"/>
      <c r="H695" s="639"/>
      <c r="I695" s="639"/>
      <c r="J695" s="336"/>
      <c r="K695" s="2056"/>
      <c r="L695" s="337"/>
      <c r="N695" s="2057"/>
      <c r="O695" s="337"/>
      <c r="P695" s="337"/>
      <c r="Q695" s="337"/>
      <c r="R695" s="337"/>
      <c r="S695" s="337"/>
      <c r="T695" s="337"/>
      <c r="U695" s="497"/>
      <c r="V695" s="497"/>
      <c r="W695" s="497"/>
      <c r="X695" s="497"/>
      <c r="Y695" s="497"/>
      <c r="Z695" s="497"/>
      <c r="AA695" s="497"/>
      <c r="AB695" s="497"/>
      <c r="AC695" s="497"/>
      <c r="AD695" s="497"/>
      <c r="AE695" s="497"/>
      <c r="AF695" s="497"/>
      <c r="AG695" s="497"/>
      <c r="AH695" s="497"/>
      <c r="AI695" s="497"/>
      <c r="AJ695" s="497"/>
      <c r="AK695" s="497"/>
      <c r="AL695" s="497"/>
      <c r="AM695" s="497"/>
      <c r="AN695" s="497"/>
      <c r="AO695" s="497"/>
      <c r="AP695" s="497"/>
      <c r="AQ695" s="497"/>
      <c r="AR695" s="497"/>
      <c r="AS695" s="497"/>
      <c r="AT695" s="497"/>
      <c r="AU695" s="497"/>
      <c r="AV695" s="497"/>
      <c r="AW695" s="497"/>
      <c r="AX695" s="497"/>
      <c r="AY695" s="497"/>
      <c r="AZ695" s="497"/>
      <c r="BA695" s="497"/>
      <c r="BB695" s="497"/>
      <c r="BC695" s="497"/>
      <c r="BD695" s="497"/>
      <c r="BE695" s="497"/>
      <c r="BF695" s="497"/>
      <c r="BG695" s="497"/>
      <c r="BH695" s="497"/>
      <c r="BI695" s="497"/>
      <c r="BJ695" s="497"/>
      <c r="BK695" s="497"/>
      <c r="BL695" s="497"/>
      <c r="BM695" s="497"/>
      <c r="BN695" s="497"/>
      <c r="BO695" s="497"/>
      <c r="BP695" s="497"/>
      <c r="BQ695" s="497"/>
      <c r="BR695" s="497"/>
      <c r="BS695" s="497"/>
      <c r="BT695" s="497"/>
      <c r="BU695" s="497"/>
      <c r="BV695" s="497"/>
      <c r="BW695" s="497"/>
      <c r="BX695" s="497"/>
      <c r="BY695" s="497"/>
      <c r="BZ695" s="497"/>
      <c r="CA695" s="497"/>
      <c r="CB695" s="497"/>
      <c r="CC695" s="497"/>
      <c r="CD695" s="497"/>
      <c r="CE695" s="497"/>
      <c r="CF695" s="497"/>
      <c r="CG695" s="497"/>
      <c r="CH695" s="497"/>
    </row>
    <row r="696" spans="1:86" s="335" customFormat="1">
      <c r="A696" s="517"/>
      <c r="B696" s="517"/>
      <c r="C696" s="517"/>
      <c r="D696" s="517"/>
      <c r="E696" s="517"/>
      <c r="F696" s="517"/>
      <c r="G696" s="517"/>
      <c r="H696" s="639"/>
      <c r="I696" s="639"/>
      <c r="J696" s="336"/>
      <c r="K696" s="2056"/>
      <c r="L696" s="337"/>
      <c r="N696" s="2057"/>
      <c r="O696" s="337"/>
      <c r="P696" s="337"/>
      <c r="Q696" s="337"/>
      <c r="R696" s="337"/>
      <c r="S696" s="337"/>
      <c r="T696" s="337"/>
      <c r="U696" s="497"/>
      <c r="V696" s="497"/>
      <c r="W696" s="497"/>
      <c r="X696" s="497"/>
      <c r="Y696" s="497"/>
      <c r="Z696" s="497"/>
      <c r="AA696" s="497"/>
      <c r="AB696" s="497"/>
      <c r="AC696" s="497"/>
      <c r="AD696" s="497"/>
      <c r="AE696" s="497"/>
      <c r="AF696" s="497"/>
      <c r="AG696" s="497"/>
      <c r="AH696" s="497"/>
      <c r="AI696" s="497"/>
      <c r="AJ696" s="497"/>
      <c r="AK696" s="497"/>
      <c r="AL696" s="497"/>
      <c r="AM696" s="497"/>
      <c r="AN696" s="497"/>
      <c r="AO696" s="497"/>
      <c r="AP696" s="497"/>
      <c r="AQ696" s="497"/>
      <c r="AR696" s="497"/>
      <c r="AS696" s="497"/>
      <c r="AT696" s="497"/>
      <c r="AU696" s="497"/>
      <c r="AV696" s="497"/>
      <c r="AW696" s="497"/>
      <c r="AX696" s="497"/>
      <c r="AY696" s="497"/>
      <c r="AZ696" s="497"/>
      <c r="BA696" s="497"/>
      <c r="BB696" s="497"/>
      <c r="BC696" s="497"/>
      <c r="BD696" s="497"/>
      <c r="BE696" s="497"/>
      <c r="BF696" s="497"/>
      <c r="BG696" s="497"/>
      <c r="BH696" s="497"/>
      <c r="BI696" s="497"/>
      <c r="BJ696" s="497"/>
      <c r="BK696" s="497"/>
      <c r="BL696" s="497"/>
      <c r="BM696" s="497"/>
      <c r="BN696" s="497"/>
      <c r="BO696" s="497"/>
      <c r="BP696" s="497"/>
      <c r="BQ696" s="497"/>
      <c r="BR696" s="497"/>
      <c r="BS696" s="497"/>
      <c r="BT696" s="497"/>
      <c r="BU696" s="497"/>
      <c r="BV696" s="497"/>
      <c r="BW696" s="497"/>
      <c r="BX696" s="497"/>
      <c r="BY696" s="497"/>
      <c r="BZ696" s="497"/>
      <c r="CA696" s="497"/>
      <c r="CB696" s="497"/>
      <c r="CC696" s="497"/>
      <c r="CD696" s="497"/>
      <c r="CE696" s="497"/>
      <c r="CF696" s="497"/>
      <c r="CG696" s="497"/>
      <c r="CH696" s="497"/>
    </row>
    <row r="697" spans="1:86" s="335" customFormat="1">
      <c r="A697" s="517"/>
      <c r="B697" s="517"/>
      <c r="C697" s="517"/>
      <c r="D697" s="517"/>
      <c r="E697" s="517"/>
      <c r="F697" s="517"/>
      <c r="G697" s="517"/>
      <c r="H697" s="639"/>
      <c r="I697" s="639"/>
      <c r="J697" s="336"/>
      <c r="K697" s="2056"/>
      <c r="L697" s="337"/>
      <c r="N697" s="2057"/>
      <c r="O697" s="337"/>
      <c r="P697" s="337"/>
      <c r="Q697" s="337"/>
      <c r="R697" s="337"/>
      <c r="S697" s="337"/>
      <c r="T697" s="337"/>
      <c r="U697" s="497"/>
      <c r="V697" s="497"/>
      <c r="W697" s="497"/>
      <c r="X697" s="497"/>
      <c r="Y697" s="497"/>
      <c r="Z697" s="497"/>
      <c r="AA697" s="497"/>
      <c r="AB697" s="497"/>
      <c r="AC697" s="497"/>
      <c r="AD697" s="497"/>
      <c r="AE697" s="497"/>
      <c r="AF697" s="497"/>
      <c r="AG697" s="497"/>
      <c r="AH697" s="497"/>
      <c r="AI697" s="497"/>
      <c r="AJ697" s="497"/>
      <c r="AK697" s="497"/>
      <c r="AL697" s="497"/>
      <c r="AM697" s="497"/>
      <c r="AN697" s="497"/>
      <c r="AO697" s="497"/>
      <c r="AP697" s="497"/>
      <c r="AQ697" s="497"/>
      <c r="AR697" s="497"/>
      <c r="AS697" s="497"/>
      <c r="AT697" s="497"/>
      <c r="AU697" s="497"/>
      <c r="AV697" s="497"/>
      <c r="AW697" s="497"/>
      <c r="AX697" s="497"/>
      <c r="AY697" s="497"/>
      <c r="AZ697" s="497"/>
      <c r="BA697" s="497"/>
      <c r="BB697" s="497"/>
      <c r="BC697" s="497"/>
      <c r="BD697" s="497"/>
      <c r="BE697" s="497"/>
      <c r="BF697" s="497"/>
      <c r="BG697" s="497"/>
      <c r="BH697" s="497"/>
      <c r="BI697" s="497"/>
      <c r="BJ697" s="497"/>
      <c r="BK697" s="497"/>
      <c r="BL697" s="497"/>
      <c r="BM697" s="497"/>
      <c r="BN697" s="497"/>
      <c r="BO697" s="497"/>
      <c r="BP697" s="497"/>
      <c r="BQ697" s="497"/>
      <c r="BR697" s="497"/>
      <c r="BS697" s="497"/>
      <c r="BT697" s="497"/>
      <c r="BU697" s="497"/>
      <c r="BV697" s="497"/>
      <c r="BW697" s="497"/>
      <c r="BX697" s="497"/>
      <c r="BY697" s="497"/>
      <c r="BZ697" s="497"/>
      <c r="CA697" s="497"/>
      <c r="CB697" s="497"/>
      <c r="CC697" s="497"/>
      <c r="CD697" s="497"/>
      <c r="CE697" s="497"/>
      <c r="CF697" s="497"/>
      <c r="CG697" s="497"/>
      <c r="CH697" s="497"/>
    </row>
    <row r="698" spans="1:86" s="335" customFormat="1">
      <c r="A698" s="517"/>
      <c r="B698" s="517"/>
      <c r="C698" s="517"/>
      <c r="D698" s="517"/>
      <c r="E698" s="517"/>
      <c r="F698" s="517"/>
      <c r="G698" s="517"/>
      <c r="H698" s="639"/>
      <c r="I698" s="639"/>
      <c r="J698" s="336"/>
      <c r="K698" s="2056"/>
      <c r="L698" s="337"/>
      <c r="N698" s="2057"/>
      <c r="O698" s="337"/>
      <c r="P698" s="337"/>
      <c r="Q698" s="337"/>
      <c r="R698" s="337"/>
      <c r="S698" s="337"/>
      <c r="T698" s="337"/>
      <c r="U698" s="497"/>
      <c r="V698" s="497"/>
      <c r="W698" s="497"/>
      <c r="X698" s="497"/>
      <c r="Y698" s="497"/>
      <c r="Z698" s="497"/>
      <c r="AA698" s="497"/>
      <c r="AB698" s="497"/>
      <c r="AC698" s="497"/>
      <c r="AD698" s="497"/>
      <c r="AE698" s="497"/>
      <c r="AF698" s="497"/>
      <c r="AG698" s="497"/>
      <c r="AH698" s="497"/>
      <c r="AI698" s="497"/>
      <c r="AJ698" s="497"/>
      <c r="AK698" s="497"/>
      <c r="AL698" s="497"/>
      <c r="AM698" s="497"/>
      <c r="AN698" s="497"/>
      <c r="AO698" s="497"/>
      <c r="AP698" s="497"/>
      <c r="AQ698" s="497"/>
      <c r="AR698" s="497"/>
      <c r="AS698" s="497"/>
      <c r="AT698" s="497"/>
      <c r="AU698" s="497"/>
      <c r="AV698" s="497"/>
      <c r="AW698" s="497"/>
      <c r="AX698" s="497"/>
      <c r="AY698" s="497"/>
      <c r="AZ698" s="497"/>
      <c r="BA698" s="497"/>
      <c r="BB698" s="497"/>
      <c r="BC698" s="497"/>
      <c r="BD698" s="497"/>
      <c r="BE698" s="497"/>
      <c r="BF698" s="497"/>
      <c r="BG698" s="497"/>
      <c r="BH698" s="497"/>
      <c r="BI698" s="497"/>
      <c r="BJ698" s="497"/>
      <c r="BK698" s="497"/>
      <c r="BL698" s="497"/>
      <c r="BM698" s="497"/>
      <c r="BN698" s="497"/>
      <c r="BO698" s="497"/>
      <c r="BP698" s="497"/>
      <c r="BQ698" s="497"/>
      <c r="BR698" s="497"/>
      <c r="BS698" s="497"/>
      <c r="BT698" s="497"/>
      <c r="BU698" s="497"/>
      <c r="BV698" s="497"/>
      <c r="BW698" s="497"/>
      <c r="BX698" s="497"/>
      <c r="BY698" s="497"/>
      <c r="BZ698" s="497"/>
      <c r="CA698" s="497"/>
      <c r="CB698" s="497"/>
      <c r="CC698" s="497"/>
      <c r="CD698" s="497"/>
      <c r="CE698" s="497"/>
      <c r="CF698" s="497"/>
      <c r="CG698" s="497"/>
      <c r="CH698" s="497"/>
    </row>
    <row r="699" spans="1:86" s="335" customFormat="1">
      <c r="A699" s="517"/>
      <c r="B699" s="517"/>
      <c r="C699" s="517"/>
      <c r="D699" s="517"/>
      <c r="E699" s="517"/>
      <c r="F699" s="517"/>
      <c r="G699" s="517"/>
      <c r="H699" s="639"/>
      <c r="I699" s="639"/>
      <c r="J699" s="336"/>
      <c r="K699" s="2056"/>
      <c r="L699" s="337"/>
      <c r="N699" s="2057"/>
      <c r="O699" s="337"/>
      <c r="P699" s="337"/>
      <c r="Q699" s="337"/>
      <c r="R699" s="337"/>
      <c r="S699" s="337"/>
      <c r="T699" s="337"/>
      <c r="U699" s="497"/>
      <c r="V699" s="497"/>
      <c r="W699" s="497"/>
      <c r="X699" s="497"/>
      <c r="Y699" s="497"/>
      <c r="Z699" s="497"/>
      <c r="AA699" s="497"/>
      <c r="AB699" s="497"/>
      <c r="AC699" s="497"/>
      <c r="AD699" s="497"/>
      <c r="AE699" s="497"/>
      <c r="AF699" s="497"/>
      <c r="AG699" s="497"/>
      <c r="AH699" s="497"/>
      <c r="AI699" s="497"/>
      <c r="AJ699" s="497"/>
      <c r="AK699" s="497"/>
      <c r="AL699" s="497"/>
      <c r="AM699" s="497"/>
      <c r="AN699" s="497"/>
      <c r="AO699" s="497"/>
      <c r="AP699" s="497"/>
      <c r="AQ699" s="497"/>
      <c r="AR699" s="497"/>
      <c r="AS699" s="497"/>
      <c r="AT699" s="497"/>
      <c r="AU699" s="497"/>
      <c r="AV699" s="497"/>
      <c r="AW699" s="497"/>
      <c r="AX699" s="497"/>
      <c r="AY699" s="497"/>
      <c r="AZ699" s="497"/>
      <c r="BA699" s="497"/>
      <c r="BB699" s="497"/>
      <c r="BC699" s="497"/>
      <c r="BD699" s="497"/>
      <c r="BE699" s="497"/>
      <c r="BF699" s="497"/>
      <c r="BG699" s="497"/>
      <c r="BH699" s="497"/>
      <c r="BI699" s="497"/>
      <c r="BJ699" s="497"/>
      <c r="BK699" s="497"/>
      <c r="BL699" s="497"/>
      <c r="BM699" s="497"/>
      <c r="BN699" s="497"/>
      <c r="BO699" s="497"/>
      <c r="BP699" s="497"/>
      <c r="BQ699" s="497"/>
      <c r="BR699" s="497"/>
      <c r="BS699" s="497"/>
      <c r="BT699" s="497"/>
      <c r="BU699" s="497"/>
      <c r="BV699" s="497"/>
      <c r="BW699" s="497"/>
      <c r="BX699" s="497"/>
      <c r="BY699" s="497"/>
      <c r="BZ699" s="497"/>
      <c r="CA699" s="497"/>
      <c r="CB699" s="497"/>
      <c r="CC699" s="497"/>
      <c r="CD699" s="497"/>
      <c r="CE699" s="497"/>
      <c r="CF699" s="497"/>
      <c r="CG699" s="497"/>
      <c r="CH699" s="497"/>
    </row>
    <row r="700" spans="1:86" s="335" customFormat="1">
      <c r="A700" s="517"/>
      <c r="B700" s="517"/>
      <c r="C700" s="517"/>
      <c r="D700" s="517"/>
      <c r="E700" s="517"/>
      <c r="F700" s="517"/>
      <c r="G700" s="517"/>
      <c r="H700" s="639"/>
      <c r="I700" s="639"/>
      <c r="J700" s="336"/>
      <c r="K700" s="2056"/>
      <c r="L700" s="337"/>
      <c r="N700" s="2057"/>
      <c r="O700" s="337"/>
      <c r="P700" s="337"/>
      <c r="Q700" s="337"/>
      <c r="R700" s="337"/>
      <c r="S700" s="337"/>
      <c r="T700" s="337"/>
      <c r="U700" s="497"/>
      <c r="V700" s="497"/>
      <c r="W700" s="497"/>
      <c r="X700" s="497"/>
      <c r="Y700" s="497"/>
      <c r="Z700" s="497"/>
      <c r="AA700" s="497"/>
      <c r="AB700" s="497"/>
      <c r="AC700" s="497"/>
      <c r="AD700" s="497"/>
      <c r="AE700" s="497"/>
      <c r="AF700" s="497"/>
      <c r="AG700" s="497"/>
      <c r="AH700" s="497"/>
      <c r="AI700" s="497"/>
      <c r="AJ700" s="497"/>
      <c r="AK700" s="497"/>
      <c r="AL700" s="497"/>
      <c r="AM700" s="497"/>
      <c r="AN700" s="497"/>
      <c r="AO700" s="497"/>
      <c r="AP700" s="497"/>
      <c r="AQ700" s="497"/>
      <c r="AR700" s="497"/>
      <c r="AS700" s="497"/>
      <c r="AT700" s="497"/>
      <c r="AU700" s="497"/>
      <c r="AV700" s="497"/>
      <c r="AW700" s="497"/>
      <c r="AX700" s="497"/>
      <c r="AY700" s="497"/>
      <c r="AZ700" s="497"/>
      <c r="BA700" s="497"/>
      <c r="BB700" s="497"/>
      <c r="BC700" s="497"/>
      <c r="BD700" s="497"/>
      <c r="BE700" s="497"/>
      <c r="BF700" s="497"/>
      <c r="BG700" s="497"/>
      <c r="BH700" s="497"/>
      <c r="BI700" s="497"/>
      <c r="BJ700" s="497"/>
      <c r="BK700" s="497"/>
      <c r="BL700" s="497"/>
      <c r="BM700" s="497"/>
      <c r="BN700" s="497"/>
      <c r="BO700" s="497"/>
      <c r="BP700" s="497"/>
      <c r="BQ700" s="497"/>
      <c r="BR700" s="497"/>
      <c r="BS700" s="497"/>
      <c r="BT700" s="497"/>
      <c r="BU700" s="497"/>
      <c r="BV700" s="497"/>
      <c r="BW700" s="497"/>
      <c r="BX700" s="497"/>
      <c r="BY700" s="497"/>
      <c r="BZ700" s="497"/>
      <c r="CA700" s="497"/>
      <c r="CB700" s="497"/>
      <c r="CC700" s="497"/>
      <c r="CD700" s="497"/>
      <c r="CE700" s="497"/>
      <c r="CF700" s="497"/>
      <c r="CG700" s="497"/>
      <c r="CH700" s="497"/>
    </row>
    <row r="701" spans="1:86" s="335" customFormat="1">
      <c r="A701" s="517"/>
      <c r="B701" s="517"/>
      <c r="C701" s="517"/>
      <c r="D701" s="517"/>
      <c r="E701" s="517"/>
      <c r="F701" s="517"/>
      <c r="G701" s="517"/>
      <c r="H701" s="639"/>
      <c r="I701" s="639"/>
      <c r="J701" s="336"/>
      <c r="K701" s="2056"/>
      <c r="L701" s="337"/>
      <c r="N701" s="2057"/>
      <c r="O701" s="337"/>
      <c r="P701" s="337"/>
      <c r="Q701" s="337"/>
      <c r="R701" s="337"/>
      <c r="S701" s="337"/>
      <c r="T701" s="337"/>
      <c r="U701" s="497"/>
      <c r="V701" s="497"/>
      <c r="W701" s="497"/>
      <c r="X701" s="497"/>
      <c r="Y701" s="497"/>
      <c r="Z701" s="497"/>
      <c r="AA701" s="497"/>
      <c r="AB701" s="497"/>
      <c r="AC701" s="497"/>
      <c r="AD701" s="497"/>
      <c r="AE701" s="497"/>
      <c r="AF701" s="497"/>
      <c r="AG701" s="497"/>
      <c r="AH701" s="497"/>
      <c r="AI701" s="497"/>
      <c r="AJ701" s="497"/>
      <c r="AK701" s="497"/>
      <c r="AL701" s="497"/>
      <c r="AM701" s="497"/>
      <c r="AN701" s="497"/>
      <c r="AO701" s="497"/>
      <c r="AP701" s="497"/>
      <c r="AQ701" s="497"/>
      <c r="AR701" s="497"/>
      <c r="AS701" s="497"/>
      <c r="AT701" s="497"/>
      <c r="AU701" s="497"/>
      <c r="AV701" s="497"/>
      <c r="AW701" s="497"/>
      <c r="AX701" s="497"/>
      <c r="AY701" s="497"/>
      <c r="AZ701" s="497"/>
      <c r="BA701" s="497"/>
      <c r="BB701" s="497"/>
      <c r="BC701" s="497"/>
      <c r="BD701" s="497"/>
      <c r="BE701" s="497"/>
      <c r="BF701" s="497"/>
      <c r="BG701" s="497"/>
      <c r="BH701" s="497"/>
      <c r="BI701" s="497"/>
      <c r="BJ701" s="497"/>
      <c r="BK701" s="497"/>
      <c r="BL701" s="497"/>
      <c r="BM701" s="497"/>
      <c r="BN701" s="497"/>
      <c r="BO701" s="497"/>
      <c r="BP701" s="497"/>
      <c r="BQ701" s="497"/>
      <c r="BR701" s="497"/>
      <c r="BS701" s="497"/>
      <c r="BT701" s="497"/>
      <c r="BU701" s="497"/>
      <c r="BV701" s="497"/>
      <c r="BW701" s="497"/>
      <c r="BX701" s="497"/>
      <c r="BY701" s="497"/>
      <c r="BZ701" s="497"/>
      <c r="CA701" s="497"/>
      <c r="CB701" s="497"/>
      <c r="CC701" s="497"/>
      <c r="CD701" s="497"/>
      <c r="CE701" s="497"/>
      <c r="CF701" s="497"/>
      <c r="CG701" s="497"/>
      <c r="CH701" s="497"/>
    </row>
    <row r="702" spans="1:86" s="335" customFormat="1">
      <c r="A702" s="517"/>
      <c r="B702" s="517"/>
      <c r="C702" s="517"/>
      <c r="D702" s="517"/>
      <c r="E702" s="517"/>
      <c r="F702" s="517"/>
      <c r="G702" s="517"/>
      <c r="H702" s="639"/>
      <c r="I702" s="639"/>
      <c r="J702" s="336"/>
      <c r="K702" s="2056"/>
      <c r="L702" s="337"/>
      <c r="N702" s="2057"/>
      <c r="O702" s="337"/>
      <c r="P702" s="337"/>
      <c r="Q702" s="337"/>
      <c r="R702" s="337"/>
      <c r="S702" s="337"/>
      <c r="T702" s="337"/>
      <c r="U702" s="497"/>
      <c r="V702" s="497"/>
      <c r="W702" s="497"/>
      <c r="X702" s="497"/>
      <c r="Y702" s="497"/>
      <c r="Z702" s="497"/>
      <c r="AA702" s="497"/>
      <c r="AB702" s="497"/>
      <c r="AC702" s="497"/>
      <c r="AD702" s="497"/>
      <c r="AE702" s="497"/>
      <c r="AF702" s="497"/>
      <c r="AG702" s="497"/>
      <c r="AH702" s="497"/>
      <c r="AI702" s="497"/>
      <c r="AJ702" s="497"/>
      <c r="AK702" s="497"/>
      <c r="AL702" s="497"/>
      <c r="AM702" s="497"/>
      <c r="AN702" s="497"/>
      <c r="AO702" s="497"/>
      <c r="AP702" s="497"/>
      <c r="AQ702" s="497"/>
      <c r="AR702" s="497"/>
      <c r="AS702" s="497"/>
      <c r="AT702" s="497"/>
      <c r="AU702" s="497"/>
      <c r="AV702" s="497"/>
      <c r="AW702" s="497"/>
      <c r="AX702" s="497"/>
      <c r="AY702" s="497"/>
      <c r="AZ702" s="497"/>
      <c r="BA702" s="497"/>
      <c r="BB702" s="497"/>
      <c r="BC702" s="497"/>
      <c r="BD702" s="497"/>
      <c r="BE702" s="497"/>
      <c r="BF702" s="497"/>
      <c r="BG702" s="497"/>
      <c r="BH702" s="497"/>
      <c r="BI702" s="497"/>
      <c r="BJ702" s="497"/>
      <c r="BK702" s="497"/>
      <c r="BL702" s="497"/>
      <c r="BM702" s="497"/>
      <c r="BN702" s="497"/>
      <c r="BO702" s="497"/>
      <c r="BP702" s="497"/>
      <c r="BQ702" s="497"/>
      <c r="BR702" s="497"/>
      <c r="BS702" s="497"/>
      <c r="BT702" s="497"/>
      <c r="BU702" s="497"/>
      <c r="BV702" s="497"/>
      <c r="BW702" s="497"/>
      <c r="BX702" s="497"/>
      <c r="BY702" s="497"/>
      <c r="BZ702" s="497"/>
      <c r="CA702" s="497"/>
      <c r="CB702" s="497"/>
      <c r="CC702" s="497"/>
      <c r="CD702" s="497"/>
      <c r="CE702" s="497"/>
      <c r="CF702" s="497"/>
      <c r="CG702" s="497"/>
      <c r="CH702" s="497"/>
    </row>
    <row r="703" spans="1:86" s="335" customFormat="1">
      <c r="A703" s="517"/>
      <c r="B703" s="517"/>
      <c r="C703" s="517"/>
      <c r="D703" s="517"/>
      <c r="E703" s="517"/>
      <c r="F703" s="517"/>
      <c r="G703" s="517"/>
      <c r="H703" s="639"/>
      <c r="I703" s="639"/>
      <c r="J703" s="336"/>
      <c r="K703" s="2056"/>
      <c r="L703" s="337"/>
      <c r="N703" s="2057"/>
      <c r="O703" s="337"/>
      <c r="P703" s="337"/>
      <c r="Q703" s="337"/>
      <c r="R703" s="337"/>
      <c r="S703" s="337"/>
      <c r="T703" s="337"/>
      <c r="U703" s="497"/>
      <c r="V703" s="497"/>
      <c r="W703" s="497"/>
      <c r="X703" s="497"/>
      <c r="Y703" s="497"/>
      <c r="Z703" s="497"/>
      <c r="AA703" s="497"/>
      <c r="AB703" s="497"/>
      <c r="AC703" s="497"/>
      <c r="AD703" s="497"/>
      <c r="AE703" s="497"/>
      <c r="AF703" s="497"/>
      <c r="AG703" s="497"/>
      <c r="AH703" s="497"/>
      <c r="AI703" s="497"/>
      <c r="AJ703" s="497"/>
      <c r="AK703" s="497"/>
      <c r="AL703" s="497"/>
      <c r="AM703" s="497"/>
      <c r="AN703" s="497"/>
      <c r="AO703" s="497"/>
      <c r="AP703" s="497"/>
      <c r="AQ703" s="497"/>
      <c r="AR703" s="497"/>
      <c r="AS703" s="497"/>
      <c r="AT703" s="497"/>
      <c r="AU703" s="497"/>
      <c r="AV703" s="497"/>
      <c r="AW703" s="497"/>
      <c r="AX703" s="497"/>
      <c r="AY703" s="497"/>
      <c r="AZ703" s="497"/>
      <c r="BA703" s="497"/>
      <c r="BB703" s="497"/>
      <c r="BC703" s="497"/>
      <c r="BD703" s="497"/>
      <c r="BE703" s="497"/>
      <c r="BF703" s="497"/>
      <c r="BG703" s="497"/>
      <c r="BH703" s="497"/>
      <c r="BI703" s="497"/>
      <c r="BJ703" s="497"/>
      <c r="BK703" s="497"/>
      <c r="BL703" s="497"/>
      <c r="BM703" s="497"/>
      <c r="BN703" s="497"/>
      <c r="BO703" s="497"/>
      <c r="BP703" s="497"/>
      <c r="BQ703" s="497"/>
      <c r="BR703" s="497"/>
      <c r="BS703" s="497"/>
      <c r="BT703" s="497"/>
      <c r="BU703" s="497"/>
      <c r="BV703" s="497"/>
      <c r="BW703" s="497"/>
      <c r="BX703" s="497"/>
      <c r="BY703" s="497"/>
      <c r="BZ703" s="497"/>
      <c r="CA703" s="497"/>
      <c r="CB703" s="497"/>
      <c r="CC703" s="497"/>
      <c r="CD703" s="497"/>
      <c r="CE703" s="497"/>
      <c r="CF703" s="497"/>
      <c r="CG703" s="497"/>
      <c r="CH703" s="497"/>
    </row>
    <row r="704" spans="1:86" s="335" customFormat="1">
      <c r="A704" s="517"/>
      <c r="B704" s="517"/>
      <c r="C704" s="517"/>
      <c r="D704" s="517"/>
      <c r="E704" s="517"/>
      <c r="F704" s="517"/>
      <c r="G704" s="517"/>
      <c r="H704" s="639"/>
      <c r="I704" s="639"/>
      <c r="J704" s="336"/>
      <c r="K704" s="2056"/>
      <c r="L704" s="337"/>
      <c r="N704" s="2057"/>
      <c r="O704" s="337"/>
      <c r="P704" s="337"/>
      <c r="Q704" s="337"/>
      <c r="R704" s="337"/>
      <c r="S704" s="337"/>
      <c r="T704" s="337"/>
      <c r="U704" s="497"/>
      <c r="V704" s="497"/>
      <c r="W704" s="497"/>
      <c r="X704" s="497"/>
      <c r="Y704" s="497"/>
      <c r="Z704" s="497"/>
      <c r="AA704" s="497"/>
      <c r="AB704" s="497"/>
      <c r="AC704" s="497"/>
      <c r="AD704" s="497"/>
      <c r="AE704" s="497"/>
      <c r="AF704" s="497"/>
      <c r="AG704" s="497"/>
      <c r="AH704" s="497"/>
      <c r="AI704" s="497"/>
      <c r="AJ704" s="497"/>
      <c r="AK704" s="497"/>
      <c r="AL704" s="497"/>
      <c r="AM704" s="497"/>
      <c r="AN704" s="497"/>
      <c r="AO704" s="497"/>
      <c r="AP704" s="497"/>
      <c r="AQ704" s="497"/>
      <c r="AR704" s="497"/>
      <c r="AS704" s="497"/>
      <c r="AT704" s="497"/>
      <c r="AU704" s="497"/>
      <c r="AV704" s="497"/>
      <c r="AW704" s="497"/>
      <c r="AX704" s="497"/>
      <c r="AY704" s="497"/>
      <c r="AZ704" s="497"/>
      <c r="BA704" s="497"/>
      <c r="BB704" s="497"/>
      <c r="BC704" s="497"/>
      <c r="BD704" s="497"/>
      <c r="BE704" s="497"/>
      <c r="BF704" s="497"/>
      <c r="BG704" s="497"/>
      <c r="BH704" s="497"/>
      <c r="BI704" s="497"/>
      <c r="BJ704" s="497"/>
      <c r="BK704" s="497"/>
      <c r="BL704" s="497"/>
      <c r="BM704" s="497"/>
      <c r="BN704" s="497"/>
      <c r="BO704" s="497"/>
      <c r="BP704" s="497"/>
      <c r="BQ704" s="497"/>
      <c r="BR704" s="497"/>
      <c r="BS704" s="497"/>
      <c r="BT704" s="497"/>
      <c r="BU704" s="497"/>
      <c r="BV704" s="497"/>
      <c r="BW704" s="497"/>
      <c r="BX704" s="497"/>
      <c r="BY704" s="497"/>
      <c r="BZ704" s="497"/>
      <c r="CA704" s="497"/>
      <c r="CB704" s="497"/>
      <c r="CC704" s="497"/>
      <c r="CD704" s="497"/>
      <c r="CE704" s="497"/>
      <c r="CF704" s="497"/>
      <c r="CG704" s="497"/>
      <c r="CH704" s="497"/>
    </row>
    <row r="705" spans="1:86" s="335" customFormat="1">
      <c r="A705" s="517"/>
      <c r="B705" s="517"/>
      <c r="C705" s="517"/>
      <c r="D705" s="517"/>
      <c r="E705" s="517"/>
      <c r="F705" s="517"/>
      <c r="G705" s="517"/>
      <c r="H705" s="639"/>
      <c r="I705" s="639"/>
      <c r="J705" s="336"/>
      <c r="K705" s="2056"/>
      <c r="L705" s="337"/>
      <c r="N705" s="2057"/>
      <c r="O705" s="337"/>
      <c r="P705" s="337"/>
      <c r="Q705" s="337"/>
      <c r="R705" s="337"/>
      <c r="S705" s="337"/>
      <c r="T705" s="337"/>
      <c r="U705" s="497"/>
      <c r="V705" s="497"/>
      <c r="W705" s="497"/>
      <c r="X705" s="497"/>
      <c r="Y705" s="497"/>
      <c r="Z705" s="497"/>
      <c r="AA705" s="497"/>
      <c r="AB705" s="497"/>
      <c r="AC705" s="497"/>
      <c r="AD705" s="497"/>
      <c r="AE705" s="497"/>
      <c r="AF705" s="497"/>
      <c r="AG705" s="497"/>
      <c r="AH705" s="497"/>
      <c r="AI705" s="497"/>
      <c r="AJ705" s="497"/>
      <c r="AK705" s="497"/>
      <c r="AL705" s="497"/>
      <c r="AM705" s="497"/>
      <c r="AN705" s="497"/>
      <c r="AO705" s="497"/>
      <c r="AP705" s="497"/>
      <c r="AQ705" s="497"/>
      <c r="AR705" s="497"/>
      <c r="AS705" s="497"/>
      <c r="AT705" s="497"/>
      <c r="AU705" s="497"/>
      <c r="AV705" s="497"/>
      <c r="AW705" s="497"/>
      <c r="AX705" s="497"/>
      <c r="AY705" s="497"/>
      <c r="AZ705" s="497"/>
      <c r="BA705" s="497"/>
      <c r="BB705" s="497"/>
      <c r="BC705" s="497"/>
      <c r="BD705" s="497"/>
      <c r="BE705" s="497"/>
      <c r="BF705" s="497"/>
      <c r="BG705" s="497"/>
      <c r="BH705" s="497"/>
      <c r="BI705" s="497"/>
      <c r="BJ705" s="497"/>
      <c r="BK705" s="497"/>
      <c r="BL705" s="497"/>
      <c r="BM705" s="497"/>
      <c r="BN705" s="497"/>
      <c r="BO705" s="497"/>
      <c r="BP705" s="497"/>
      <c r="BQ705" s="497"/>
      <c r="BR705" s="497"/>
      <c r="BS705" s="497"/>
      <c r="BT705" s="497"/>
      <c r="BU705" s="497"/>
      <c r="BV705" s="497"/>
      <c r="BW705" s="497"/>
      <c r="BX705" s="497"/>
      <c r="BY705" s="497"/>
      <c r="BZ705" s="497"/>
      <c r="CA705" s="497"/>
      <c r="CB705" s="497"/>
      <c r="CC705" s="497"/>
      <c r="CD705" s="497"/>
      <c r="CE705" s="497"/>
      <c r="CF705" s="497"/>
      <c r="CG705" s="497"/>
      <c r="CH705" s="497"/>
    </row>
    <row r="706" spans="1:86" s="335" customFormat="1">
      <c r="A706" s="517"/>
      <c r="B706" s="517"/>
      <c r="C706" s="517"/>
      <c r="D706" s="517"/>
      <c r="E706" s="517"/>
      <c r="F706" s="517"/>
      <c r="G706" s="517"/>
      <c r="H706" s="639"/>
      <c r="I706" s="639"/>
      <c r="J706" s="336"/>
      <c r="K706" s="2056"/>
      <c r="L706" s="337"/>
      <c r="N706" s="2057"/>
      <c r="O706" s="337"/>
      <c r="P706" s="337"/>
      <c r="Q706" s="337"/>
      <c r="R706" s="337"/>
      <c r="S706" s="337"/>
      <c r="T706" s="337"/>
      <c r="U706" s="497"/>
      <c r="V706" s="497"/>
      <c r="W706" s="497"/>
      <c r="X706" s="497"/>
      <c r="Y706" s="497"/>
      <c r="Z706" s="497"/>
      <c r="AA706" s="497"/>
      <c r="AB706" s="497"/>
      <c r="AC706" s="497"/>
      <c r="AD706" s="497"/>
      <c r="AE706" s="497"/>
      <c r="AF706" s="497"/>
      <c r="AG706" s="497"/>
      <c r="AH706" s="497"/>
      <c r="AI706" s="497"/>
      <c r="AJ706" s="497"/>
      <c r="AK706" s="497"/>
      <c r="AL706" s="497"/>
      <c r="AM706" s="497"/>
      <c r="AN706" s="497"/>
      <c r="AO706" s="497"/>
      <c r="AP706" s="497"/>
      <c r="AQ706" s="497"/>
      <c r="AR706" s="497"/>
      <c r="AS706" s="497"/>
      <c r="AT706" s="497"/>
      <c r="AU706" s="497"/>
      <c r="AV706" s="497"/>
      <c r="AW706" s="497"/>
      <c r="AX706" s="497"/>
      <c r="AY706" s="497"/>
      <c r="AZ706" s="497"/>
      <c r="BA706" s="497"/>
      <c r="BB706" s="497"/>
      <c r="BC706" s="497"/>
      <c r="BD706" s="497"/>
      <c r="BE706" s="497"/>
      <c r="BF706" s="497"/>
      <c r="BG706" s="497"/>
      <c r="BH706" s="497"/>
      <c r="BI706" s="497"/>
      <c r="BJ706" s="497"/>
      <c r="BK706" s="497"/>
      <c r="BL706" s="497"/>
      <c r="BM706" s="497"/>
      <c r="BN706" s="497"/>
      <c r="BO706" s="497"/>
      <c r="BP706" s="497"/>
      <c r="BQ706" s="497"/>
      <c r="BR706" s="497"/>
      <c r="BS706" s="497"/>
      <c r="BT706" s="497"/>
      <c r="BU706" s="497"/>
      <c r="BV706" s="497"/>
      <c r="BW706" s="497"/>
      <c r="BX706" s="497"/>
      <c r="BY706" s="497"/>
      <c r="BZ706" s="497"/>
      <c r="CA706" s="497"/>
      <c r="CB706" s="497"/>
      <c r="CC706" s="497"/>
      <c r="CD706" s="497"/>
      <c r="CE706" s="497"/>
      <c r="CF706" s="497"/>
      <c r="CG706" s="497"/>
      <c r="CH706" s="497"/>
    </row>
    <row r="707" spans="1:86" s="335" customFormat="1">
      <c r="A707" s="517"/>
      <c r="B707" s="517"/>
      <c r="C707" s="517"/>
      <c r="D707" s="517"/>
      <c r="E707" s="517"/>
      <c r="F707" s="517"/>
      <c r="G707" s="517"/>
      <c r="H707" s="639"/>
      <c r="I707" s="639"/>
      <c r="J707" s="336"/>
      <c r="K707" s="2056"/>
      <c r="L707" s="337"/>
      <c r="N707" s="2057"/>
      <c r="O707" s="337"/>
      <c r="P707" s="337"/>
      <c r="Q707" s="337"/>
      <c r="R707" s="337"/>
      <c r="S707" s="337"/>
      <c r="T707" s="337"/>
      <c r="U707" s="497"/>
      <c r="V707" s="497"/>
      <c r="W707" s="497"/>
      <c r="X707" s="497"/>
      <c r="Y707" s="497"/>
      <c r="Z707" s="497"/>
      <c r="AA707" s="497"/>
      <c r="AB707" s="497"/>
      <c r="AC707" s="497"/>
      <c r="AD707" s="497"/>
      <c r="AE707" s="497"/>
      <c r="AF707" s="497"/>
      <c r="AG707" s="497"/>
      <c r="AH707" s="497"/>
      <c r="AI707" s="497"/>
      <c r="AJ707" s="497"/>
      <c r="AK707" s="497"/>
      <c r="AL707" s="497"/>
      <c r="AM707" s="497"/>
      <c r="AN707" s="497"/>
      <c r="AO707" s="497"/>
      <c r="AP707" s="497"/>
      <c r="AQ707" s="497"/>
      <c r="AR707" s="497"/>
      <c r="AS707" s="497"/>
      <c r="AT707" s="497"/>
      <c r="AU707" s="497"/>
      <c r="AV707" s="497"/>
      <c r="AW707" s="497"/>
      <c r="AX707" s="497"/>
      <c r="AY707" s="497"/>
      <c r="AZ707" s="497"/>
      <c r="BA707" s="497"/>
      <c r="BB707" s="497"/>
      <c r="BC707" s="497"/>
      <c r="BD707" s="497"/>
      <c r="BE707" s="497"/>
      <c r="BF707" s="497"/>
      <c r="BG707" s="497"/>
      <c r="BH707" s="497"/>
      <c r="BI707" s="497"/>
      <c r="BJ707" s="497"/>
      <c r="BK707" s="497"/>
      <c r="BL707" s="497"/>
      <c r="BM707" s="497"/>
      <c r="BN707" s="497"/>
      <c r="BO707" s="497"/>
      <c r="BP707" s="497"/>
      <c r="BQ707" s="497"/>
      <c r="BR707" s="497"/>
      <c r="BS707" s="497"/>
      <c r="BT707" s="497"/>
      <c r="BU707" s="497"/>
      <c r="BV707" s="497"/>
      <c r="BW707" s="497"/>
      <c r="BX707" s="497"/>
      <c r="BY707" s="497"/>
      <c r="BZ707" s="497"/>
      <c r="CA707" s="497"/>
      <c r="CB707" s="497"/>
      <c r="CC707" s="497"/>
      <c r="CD707" s="497"/>
      <c r="CE707" s="497"/>
      <c r="CF707" s="497"/>
      <c r="CG707" s="497"/>
      <c r="CH707" s="497"/>
    </row>
    <row r="708" spans="1:86" s="335" customFormat="1">
      <c r="A708" s="517"/>
      <c r="B708" s="517"/>
      <c r="C708" s="517"/>
      <c r="D708" s="517"/>
      <c r="E708" s="517"/>
      <c r="F708" s="517"/>
      <c r="G708" s="517"/>
      <c r="H708" s="639"/>
      <c r="I708" s="639"/>
      <c r="J708" s="336"/>
      <c r="K708" s="2056"/>
      <c r="L708" s="337"/>
      <c r="N708" s="2057"/>
      <c r="O708" s="337"/>
      <c r="P708" s="337"/>
      <c r="Q708" s="337"/>
      <c r="R708" s="337"/>
      <c r="S708" s="337"/>
      <c r="T708" s="337"/>
      <c r="U708" s="497"/>
      <c r="V708" s="497"/>
      <c r="W708" s="497"/>
      <c r="X708" s="497"/>
      <c r="Y708" s="497"/>
      <c r="Z708" s="497"/>
      <c r="AA708" s="497"/>
      <c r="AB708" s="497"/>
      <c r="AC708" s="497"/>
      <c r="AD708" s="497"/>
      <c r="AE708" s="497"/>
      <c r="AF708" s="497"/>
      <c r="AG708" s="497"/>
      <c r="AH708" s="497"/>
      <c r="AI708" s="497"/>
      <c r="AJ708" s="497"/>
      <c r="AK708" s="497"/>
      <c r="AL708" s="497"/>
      <c r="AM708" s="497"/>
      <c r="AN708" s="497"/>
      <c r="AO708" s="497"/>
      <c r="AP708" s="497"/>
      <c r="AQ708" s="497"/>
      <c r="AR708" s="497"/>
      <c r="AS708" s="497"/>
      <c r="AT708" s="497"/>
      <c r="AU708" s="497"/>
      <c r="AV708" s="497"/>
      <c r="AW708" s="497"/>
      <c r="AX708" s="497"/>
      <c r="AY708" s="497"/>
      <c r="AZ708" s="497"/>
      <c r="BA708" s="497"/>
      <c r="BB708" s="497"/>
      <c r="BC708" s="497"/>
      <c r="BD708" s="497"/>
      <c r="BE708" s="497"/>
      <c r="BF708" s="497"/>
      <c r="BG708" s="497"/>
      <c r="BH708" s="497"/>
      <c r="BI708" s="497"/>
      <c r="BJ708" s="497"/>
      <c r="BK708" s="497"/>
      <c r="BL708" s="497"/>
      <c r="BM708" s="497"/>
      <c r="BN708" s="497"/>
      <c r="BO708" s="497"/>
      <c r="BP708" s="497"/>
      <c r="BQ708" s="497"/>
      <c r="BR708" s="497"/>
      <c r="BS708" s="497"/>
      <c r="BT708" s="497"/>
      <c r="BU708" s="497"/>
      <c r="BV708" s="497"/>
      <c r="BW708" s="497"/>
      <c r="BX708" s="497"/>
      <c r="BY708" s="497"/>
      <c r="BZ708" s="497"/>
      <c r="CA708" s="497"/>
      <c r="CB708" s="497"/>
      <c r="CC708" s="497"/>
      <c r="CD708" s="497"/>
      <c r="CE708" s="497"/>
      <c r="CF708" s="497"/>
      <c r="CG708" s="497"/>
      <c r="CH708" s="497"/>
    </row>
    <row r="709" spans="1:86" s="335" customFormat="1">
      <c r="A709" s="517"/>
      <c r="B709" s="517"/>
      <c r="C709" s="517"/>
      <c r="D709" s="517"/>
      <c r="E709" s="517"/>
      <c r="F709" s="517"/>
      <c r="G709" s="517"/>
      <c r="H709" s="639"/>
      <c r="I709" s="639"/>
      <c r="J709" s="336"/>
      <c r="K709" s="2056"/>
      <c r="L709" s="337"/>
      <c r="N709" s="2057"/>
      <c r="O709" s="337"/>
      <c r="P709" s="337"/>
      <c r="Q709" s="337"/>
      <c r="R709" s="337"/>
      <c r="S709" s="337"/>
      <c r="T709" s="337"/>
      <c r="U709" s="497"/>
      <c r="V709" s="497"/>
      <c r="W709" s="497"/>
      <c r="X709" s="497"/>
      <c r="Y709" s="497"/>
      <c r="Z709" s="497"/>
      <c r="AA709" s="497"/>
      <c r="AB709" s="497"/>
      <c r="AC709" s="497"/>
      <c r="AD709" s="497"/>
      <c r="AE709" s="497"/>
      <c r="AF709" s="497"/>
      <c r="AG709" s="497"/>
      <c r="AH709" s="497"/>
      <c r="AI709" s="497"/>
      <c r="AJ709" s="497"/>
      <c r="AK709" s="497"/>
      <c r="AL709" s="497"/>
      <c r="AM709" s="497"/>
      <c r="AN709" s="497"/>
      <c r="AO709" s="497"/>
      <c r="AP709" s="497"/>
      <c r="AQ709" s="497"/>
      <c r="AR709" s="497"/>
      <c r="AS709" s="497"/>
      <c r="AT709" s="497"/>
      <c r="AU709" s="497"/>
      <c r="AV709" s="497"/>
      <c r="AW709" s="497"/>
      <c r="AX709" s="497"/>
      <c r="AY709" s="497"/>
      <c r="AZ709" s="497"/>
      <c r="BA709" s="497"/>
      <c r="BB709" s="497"/>
      <c r="BC709" s="497"/>
      <c r="BD709" s="497"/>
      <c r="BE709" s="497"/>
      <c r="BF709" s="497"/>
      <c r="BG709" s="497"/>
      <c r="BH709" s="497"/>
      <c r="BI709" s="497"/>
      <c r="BJ709" s="497"/>
      <c r="BK709" s="497"/>
      <c r="BL709" s="497"/>
      <c r="BM709" s="497"/>
      <c r="BN709" s="497"/>
      <c r="BO709" s="497"/>
      <c r="BP709" s="497"/>
      <c r="BQ709" s="497"/>
      <c r="BR709" s="497"/>
      <c r="BS709" s="497"/>
      <c r="BT709" s="497"/>
      <c r="BU709" s="497"/>
      <c r="BV709" s="497"/>
      <c r="BW709" s="497"/>
      <c r="BX709" s="497"/>
      <c r="BY709" s="497"/>
      <c r="BZ709" s="497"/>
      <c r="CA709" s="497"/>
      <c r="CB709" s="497"/>
      <c r="CC709" s="497"/>
      <c r="CD709" s="497"/>
      <c r="CE709" s="497"/>
      <c r="CF709" s="497"/>
      <c r="CG709" s="497"/>
      <c r="CH709" s="497"/>
    </row>
    <row r="710" spans="1:86" s="335" customFormat="1">
      <c r="A710" s="517"/>
      <c r="B710" s="517"/>
      <c r="C710" s="517"/>
      <c r="D710" s="517"/>
      <c r="E710" s="517"/>
      <c r="F710" s="517"/>
      <c r="G710" s="517"/>
      <c r="H710" s="639"/>
      <c r="I710" s="639"/>
      <c r="J710" s="336"/>
      <c r="K710" s="2056"/>
      <c r="L710" s="337"/>
      <c r="N710" s="2057"/>
      <c r="O710" s="337"/>
      <c r="P710" s="337"/>
      <c r="Q710" s="337"/>
      <c r="R710" s="337"/>
      <c r="S710" s="337"/>
      <c r="T710" s="337"/>
      <c r="U710" s="497"/>
      <c r="V710" s="497"/>
      <c r="W710" s="497"/>
      <c r="X710" s="497"/>
      <c r="Y710" s="497"/>
      <c r="Z710" s="497"/>
      <c r="AA710" s="497"/>
      <c r="AB710" s="497"/>
      <c r="AC710" s="497"/>
      <c r="AD710" s="497"/>
      <c r="AE710" s="497"/>
      <c r="AF710" s="497"/>
      <c r="AG710" s="497"/>
      <c r="AH710" s="497"/>
      <c r="AI710" s="497"/>
      <c r="AJ710" s="497"/>
      <c r="AK710" s="497"/>
      <c r="AL710" s="497"/>
      <c r="AM710" s="497"/>
      <c r="AN710" s="497"/>
      <c r="AO710" s="497"/>
      <c r="AP710" s="497"/>
      <c r="AQ710" s="497"/>
      <c r="AR710" s="497"/>
      <c r="AS710" s="497"/>
      <c r="AT710" s="497"/>
      <c r="AU710" s="497"/>
      <c r="AV710" s="497"/>
      <c r="AW710" s="497"/>
      <c r="AX710" s="497"/>
      <c r="AY710" s="497"/>
      <c r="AZ710" s="497"/>
      <c r="BA710" s="497"/>
      <c r="BB710" s="497"/>
      <c r="BC710" s="497"/>
      <c r="BD710" s="497"/>
      <c r="BE710" s="497"/>
      <c r="BF710" s="497"/>
      <c r="BG710" s="497"/>
      <c r="BH710" s="497"/>
      <c r="BI710" s="497"/>
      <c r="BJ710" s="497"/>
      <c r="BK710" s="497"/>
      <c r="BL710" s="497"/>
      <c r="BM710" s="497"/>
      <c r="BN710" s="497"/>
      <c r="BO710" s="497"/>
      <c r="BP710" s="497"/>
      <c r="BQ710" s="497"/>
      <c r="BR710" s="497"/>
      <c r="BS710" s="497"/>
      <c r="BT710" s="497"/>
      <c r="BU710" s="497"/>
      <c r="BV710" s="497"/>
      <c r="BW710" s="497"/>
      <c r="BX710" s="497"/>
      <c r="BY710" s="497"/>
      <c r="BZ710" s="497"/>
      <c r="CA710" s="497"/>
      <c r="CB710" s="497"/>
      <c r="CC710" s="497"/>
      <c r="CD710" s="497"/>
      <c r="CE710" s="497"/>
      <c r="CF710" s="497"/>
      <c r="CG710" s="497"/>
      <c r="CH710" s="497"/>
    </row>
    <row r="711" spans="1:86" s="335" customFormat="1">
      <c r="A711" s="517"/>
      <c r="B711" s="517"/>
      <c r="C711" s="517"/>
      <c r="D711" s="517"/>
      <c r="E711" s="517"/>
      <c r="F711" s="517"/>
      <c r="G711" s="517"/>
      <c r="H711" s="639"/>
      <c r="I711" s="639"/>
      <c r="J711" s="336"/>
      <c r="K711" s="2056"/>
      <c r="L711" s="337"/>
      <c r="N711" s="2057"/>
      <c r="O711" s="337"/>
      <c r="P711" s="337"/>
      <c r="Q711" s="337"/>
      <c r="R711" s="337"/>
      <c r="S711" s="337"/>
      <c r="T711" s="337"/>
      <c r="U711" s="497"/>
      <c r="V711" s="497"/>
      <c r="W711" s="497"/>
      <c r="X711" s="497"/>
      <c r="Y711" s="497"/>
      <c r="Z711" s="497"/>
      <c r="AA711" s="497"/>
      <c r="AB711" s="497"/>
      <c r="AC711" s="497"/>
      <c r="AD711" s="497"/>
      <c r="AE711" s="497"/>
      <c r="AF711" s="497"/>
      <c r="AG711" s="497"/>
      <c r="AH711" s="497"/>
      <c r="AI711" s="497"/>
      <c r="AJ711" s="497"/>
      <c r="AK711" s="497"/>
      <c r="AL711" s="497"/>
      <c r="AM711" s="497"/>
      <c r="AN711" s="497"/>
      <c r="AO711" s="497"/>
      <c r="AP711" s="497"/>
      <c r="AQ711" s="497"/>
      <c r="AR711" s="497"/>
      <c r="AS711" s="497"/>
      <c r="AT711" s="497"/>
      <c r="AU711" s="497"/>
      <c r="AV711" s="497"/>
      <c r="AW711" s="497"/>
      <c r="AX711" s="497"/>
      <c r="AY711" s="497"/>
      <c r="AZ711" s="497"/>
      <c r="BA711" s="497"/>
      <c r="BB711" s="497"/>
      <c r="BC711" s="497"/>
      <c r="BD711" s="497"/>
      <c r="BE711" s="497"/>
      <c r="BF711" s="497"/>
      <c r="BG711" s="497"/>
      <c r="BH711" s="497"/>
      <c r="BI711" s="497"/>
      <c r="BJ711" s="497"/>
      <c r="BK711" s="497"/>
      <c r="BL711" s="497"/>
      <c r="BM711" s="497"/>
      <c r="BN711" s="497"/>
      <c r="BO711" s="497"/>
      <c r="BP711" s="497"/>
      <c r="BQ711" s="497"/>
      <c r="BR711" s="497"/>
      <c r="BS711" s="497"/>
      <c r="BT711" s="497"/>
      <c r="BU711" s="497"/>
      <c r="BV711" s="497"/>
      <c r="BW711" s="497"/>
      <c r="BX711" s="497"/>
      <c r="BY711" s="497"/>
      <c r="BZ711" s="497"/>
      <c r="CA711" s="497"/>
      <c r="CB711" s="497"/>
      <c r="CC711" s="497"/>
      <c r="CD711" s="497"/>
      <c r="CE711" s="497"/>
      <c r="CF711" s="497"/>
      <c r="CG711" s="497"/>
      <c r="CH711" s="497"/>
    </row>
    <row r="712" spans="1:86" s="335" customFormat="1">
      <c r="A712" s="517"/>
      <c r="B712" s="517"/>
      <c r="C712" s="517"/>
      <c r="D712" s="517"/>
      <c r="E712" s="517"/>
      <c r="F712" s="517"/>
      <c r="G712" s="517"/>
      <c r="H712" s="639"/>
      <c r="I712" s="639"/>
      <c r="J712" s="336"/>
      <c r="K712" s="2056"/>
      <c r="L712" s="337"/>
      <c r="N712" s="2057"/>
      <c r="O712" s="337"/>
      <c r="P712" s="337"/>
      <c r="Q712" s="337"/>
      <c r="R712" s="337"/>
      <c r="S712" s="337"/>
      <c r="T712" s="337"/>
      <c r="U712" s="497"/>
      <c r="V712" s="497"/>
      <c r="W712" s="497"/>
      <c r="X712" s="497"/>
      <c r="Y712" s="497"/>
      <c r="Z712" s="497"/>
      <c r="AA712" s="497"/>
      <c r="AB712" s="497"/>
      <c r="AC712" s="497"/>
      <c r="AD712" s="497"/>
      <c r="AE712" s="497"/>
      <c r="AF712" s="497"/>
      <c r="AG712" s="497"/>
      <c r="AH712" s="497"/>
      <c r="AI712" s="497"/>
      <c r="AJ712" s="497"/>
      <c r="AK712" s="497"/>
      <c r="AL712" s="497"/>
      <c r="AM712" s="497"/>
      <c r="AN712" s="497"/>
      <c r="AO712" s="497"/>
      <c r="AP712" s="497"/>
      <c r="AQ712" s="497"/>
      <c r="AR712" s="497"/>
      <c r="AS712" s="497"/>
      <c r="AT712" s="497"/>
      <c r="AU712" s="497"/>
      <c r="AV712" s="497"/>
      <c r="AW712" s="497"/>
      <c r="AX712" s="497"/>
      <c r="AY712" s="497"/>
      <c r="AZ712" s="497"/>
      <c r="BA712" s="497"/>
      <c r="BB712" s="497"/>
      <c r="BC712" s="497"/>
      <c r="BD712" s="497"/>
      <c r="BE712" s="497"/>
      <c r="BF712" s="497"/>
      <c r="BG712" s="497"/>
      <c r="BH712" s="497"/>
      <c r="BI712" s="497"/>
      <c r="BJ712" s="497"/>
      <c r="BK712" s="497"/>
      <c r="BL712" s="497"/>
      <c r="BM712" s="497"/>
      <c r="BN712" s="497"/>
      <c r="BO712" s="497"/>
      <c r="BP712" s="497"/>
      <c r="BQ712" s="497"/>
      <c r="BR712" s="497"/>
      <c r="BS712" s="497"/>
      <c r="BT712" s="497"/>
      <c r="BU712" s="497"/>
      <c r="BV712" s="497"/>
      <c r="BW712" s="497"/>
      <c r="BX712" s="497"/>
      <c r="BY712" s="497"/>
      <c r="BZ712" s="497"/>
      <c r="CA712" s="497"/>
      <c r="CB712" s="497"/>
      <c r="CC712" s="497"/>
      <c r="CD712" s="497"/>
      <c r="CE712" s="497"/>
      <c r="CF712" s="497"/>
      <c r="CG712" s="497"/>
      <c r="CH712" s="497"/>
    </row>
    <row r="713" spans="1:86" s="335" customFormat="1">
      <c r="A713" s="517"/>
      <c r="B713" s="517"/>
      <c r="C713" s="517"/>
      <c r="D713" s="517"/>
      <c r="E713" s="517"/>
      <c r="F713" s="517"/>
      <c r="G713" s="517"/>
      <c r="H713" s="639"/>
      <c r="I713" s="639"/>
      <c r="J713" s="336"/>
      <c r="K713" s="2056"/>
      <c r="L713" s="337"/>
      <c r="N713" s="2057"/>
      <c r="O713" s="337"/>
      <c r="P713" s="337"/>
      <c r="Q713" s="337"/>
      <c r="R713" s="337"/>
      <c r="S713" s="337"/>
      <c r="T713" s="337"/>
      <c r="U713" s="497"/>
      <c r="V713" s="497"/>
      <c r="W713" s="497"/>
      <c r="X713" s="497"/>
      <c r="Y713" s="497"/>
      <c r="Z713" s="497"/>
      <c r="AA713" s="497"/>
      <c r="AB713" s="497"/>
      <c r="AC713" s="497"/>
      <c r="AD713" s="497"/>
      <c r="AE713" s="497"/>
      <c r="AF713" s="497"/>
      <c r="AG713" s="497"/>
      <c r="AH713" s="497"/>
      <c r="AI713" s="497"/>
      <c r="AJ713" s="497"/>
      <c r="AK713" s="497"/>
      <c r="AL713" s="497"/>
      <c r="AM713" s="497"/>
      <c r="AN713" s="497"/>
      <c r="AO713" s="497"/>
      <c r="AP713" s="497"/>
      <c r="AQ713" s="497"/>
      <c r="AR713" s="497"/>
      <c r="AS713" s="497"/>
      <c r="AT713" s="497"/>
      <c r="AU713" s="497"/>
      <c r="AV713" s="497"/>
      <c r="AW713" s="497"/>
      <c r="AX713" s="497"/>
      <c r="AY713" s="497"/>
      <c r="AZ713" s="497"/>
      <c r="BA713" s="497"/>
      <c r="BB713" s="497"/>
      <c r="BC713" s="497"/>
      <c r="BD713" s="497"/>
      <c r="BE713" s="497"/>
      <c r="BF713" s="497"/>
      <c r="BG713" s="497"/>
      <c r="BH713" s="497"/>
      <c r="BI713" s="497"/>
      <c r="BJ713" s="497"/>
      <c r="BK713" s="497"/>
      <c r="BL713" s="497"/>
      <c r="BM713" s="497"/>
      <c r="BN713" s="497"/>
      <c r="BO713" s="497"/>
      <c r="BP713" s="497"/>
      <c r="BQ713" s="497"/>
      <c r="BR713" s="497"/>
      <c r="BS713" s="497"/>
      <c r="BT713" s="497"/>
      <c r="BU713" s="497"/>
      <c r="BV713" s="497"/>
      <c r="BW713" s="497"/>
      <c r="BX713" s="497"/>
      <c r="BY713" s="497"/>
      <c r="BZ713" s="497"/>
      <c r="CA713" s="497"/>
      <c r="CB713" s="497"/>
      <c r="CC713" s="497"/>
      <c r="CD713" s="497"/>
      <c r="CE713" s="497"/>
      <c r="CF713" s="497"/>
      <c r="CG713" s="497"/>
      <c r="CH713" s="497"/>
    </row>
    <row r="714" spans="1:86" s="335" customFormat="1">
      <c r="A714" s="517"/>
      <c r="B714" s="517"/>
      <c r="C714" s="517"/>
      <c r="D714" s="517"/>
      <c r="E714" s="517"/>
      <c r="F714" s="517"/>
      <c r="G714" s="517"/>
      <c r="H714" s="639"/>
      <c r="I714" s="639"/>
      <c r="J714" s="336"/>
      <c r="K714" s="2056"/>
      <c r="L714" s="337"/>
      <c r="N714" s="2057"/>
      <c r="O714" s="337"/>
      <c r="P714" s="337"/>
      <c r="Q714" s="337"/>
      <c r="R714" s="337"/>
      <c r="S714" s="337"/>
      <c r="T714" s="337"/>
      <c r="U714" s="497"/>
      <c r="V714" s="497"/>
      <c r="W714" s="497"/>
      <c r="X714" s="497"/>
      <c r="Y714" s="497"/>
      <c r="Z714" s="497"/>
      <c r="AA714" s="497"/>
      <c r="AB714" s="497"/>
      <c r="AC714" s="497"/>
      <c r="AD714" s="497"/>
      <c r="AE714" s="497"/>
      <c r="AF714" s="497"/>
      <c r="AG714" s="497"/>
      <c r="AH714" s="497"/>
      <c r="AI714" s="497"/>
      <c r="AJ714" s="497"/>
      <c r="AK714" s="497"/>
      <c r="AL714" s="497"/>
      <c r="AM714" s="497"/>
      <c r="AN714" s="497"/>
      <c r="AO714" s="497"/>
      <c r="AP714" s="497"/>
      <c r="AQ714" s="497"/>
      <c r="AR714" s="497"/>
      <c r="AS714" s="497"/>
      <c r="AT714" s="497"/>
      <c r="AU714" s="497"/>
      <c r="AV714" s="497"/>
      <c r="AW714" s="497"/>
      <c r="AX714" s="497"/>
      <c r="AY714" s="497"/>
      <c r="AZ714" s="497"/>
      <c r="BA714" s="497"/>
      <c r="BB714" s="497"/>
      <c r="BC714" s="497"/>
      <c r="BD714" s="497"/>
      <c r="BE714" s="497"/>
      <c r="BF714" s="497"/>
      <c r="BG714" s="497"/>
      <c r="BH714" s="497"/>
      <c r="BI714" s="497"/>
      <c r="BJ714" s="497"/>
      <c r="BK714" s="497"/>
      <c r="BL714" s="497"/>
      <c r="BM714" s="497"/>
      <c r="BN714" s="497"/>
      <c r="BO714" s="497"/>
      <c r="BP714" s="497"/>
      <c r="BQ714" s="497"/>
      <c r="BR714" s="497"/>
      <c r="BS714" s="497"/>
      <c r="BT714" s="497"/>
      <c r="BU714" s="497"/>
      <c r="BV714" s="497"/>
      <c r="BW714" s="497"/>
      <c r="BX714" s="497"/>
      <c r="BY714" s="497"/>
      <c r="BZ714" s="497"/>
      <c r="CA714" s="497"/>
      <c r="CB714" s="497"/>
      <c r="CC714" s="497"/>
      <c r="CD714" s="497"/>
      <c r="CE714" s="497"/>
      <c r="CF714" s="497"/>
      <c r="CG714" s="497"/>
      <c r="CH714" s="497"/>
    </row>
    <row r="715" spans="1:86" s="335" customFormat="1">
      <c r="A715" s="517"/>
      <c r="B715" s="517"/>
      <c r="C715" s="517"/>
      <c r="D715" s="517"/>
      <c r="E715" s="517"/>
      <c r="F715" s="517"/>
      <c r="G715" s="517"/>
      <c r="H715" s="639"/>
      <c r="I715" s="639"/>
      <c r="J715" s="336"/>
      <c r="K715" s="2056"/>
      <c r="L715" s="337"/>
      <c r="N715" s="2057"/>
      <c r="O715" s="337"/>
      <c r="P715" s="337"/>
      <c r="Q715" s="337"/>
      <c r="R715" s="337"/>
      <c r="S715" s="337"/>
      <c r="T715" s="337"/>
      <c r="U715" s="497"/>
      <c r="V715" s="497"/>
      <c r="W715" s="497"/>
      <c r="X715" s="497"/>
      <c r="Y715" s="497"/>
      <c r="Z715" s="497"/>
      <c r="AA715" s="497"/>
      <c r="AB715" s="497"/>
      <c r="AC715" s="497"/>
      <c r="AD715" s="497"/>
      <c r="AE715" s="497"/>
      <c r="AF715" s="497"/>
      <c r="AG715" s="497"/>
      <c r="AH715" s="497"/>
      <c r="AI715" s="497"/>
      <c r="AJ715" s="497"/>
      <c r="AK715" s="497"/>
      <c r="AL715" s="497"/>
      <c r="AM715" s="497"/>
      <c r="AN715" s="497"/>
      <c r="AO715" s="497"/>
      <c r="AP715" s="497"/>
      <c r="AQ715" s="497"/>
      <c r="AR715" s="497"/>
      <c r="AS715" s="497"/>
      <c r="AT715" s="497"/>
      <c r="AU715" s="497"/>
      <c r="AV715" s="497"/>
      <c r="AW715" s="497"/>
      <c r="AX715" s="497"/>
      <c r="AY715" s="497"/>
      <c r="AZ715" s="497"/>
      <c r="BA715" s="497"/>
      <c r="BB715" s="497"/>
      <c r="BC715" s="497"/>
      <c r="BD715" s="497"/>
      <c r="BE715" s="497"/>
      <c r="BF715" s="497"/>
      <c r="BG715" s="497"/>
      <c r="BH715" s="497"/>
      <c r="BI715" s="497"/>
      <c r="BJ715" s="497"/>
      <c r="BK715" s="497"/>
      <c r="BL715" s="497"/>
      <c r="BM715" s="497"/>
      <c r="BN715" s="497"/>
      <c r="BO715" s="497"/>
      <c r="BP715" s="497"/>
      <c r="BQ715" s="497"/>
      <c r="BR715" s="497"/>
      <c r="BS715" s="497"/>
      <c r="BT715" s="497"/>
      <c r="BU715" s="497"/>
      <c r="BV715" s="497"/>
      <c r="BW715" s="497"/>
      <c r="BX715" s="497"/>
      <c r="BY715" s="497"/>
      <c r="BZ715" s="497"/>
      <c r="CA715" s="497"/>
      <c r="CB715" s="497"/>
      <c r="CC715" s="497"/>
      <c r="CD715" s="497"/>
      <c r="CE715" s="497"/>
      <c r="CF715" s="497"/>
      <c r="CG715" s="497"/>
      <c r="CH715" s="497"/>
    </row>
    <row r="716" spans="1:86" s="335" customFormat="1">
      <c r="A716" s="517"/>
      <c r="B716" s="517"/>
      <c r="C716" s="517"/>
      <c r="D716" s="517"/>
      <c r="E716" s="517"/>
      <c r="F716" s="517"/>
      <c r="G716" s="517"/>
      <c r="H716" s="639"/>
      <c r="I716" s="639"/>
      <c r="J716" s="336"/>
      <c r="K716" s="2056"/>
      <c r="L716" s="337"/>
      <c r="N716" s="2057"/>
      <c r="O716" s="337"/>
      <c r="P716" s="337"/>
      <c r="Q716" s="337"/>
      <c r="R716" s="337"/>
      <c r="S716" s="337"/>
      <c r="T716" s="337"/>
      <c r="U716" s="497"/>
      <c r="V716" s="497"/>
      <c r="W716" s="497"/>
      <c r="X716" s="497"/>
      <c r="Y716" s="497"/>
      <c r="Z716" s="497"/>
      <c r="AA716" s="497"/>
      <c r="AB716" s="497"/>
      <c r="AC716" s="497"/>
      <c r="AD716" s="497"/>
      <c r="AE716" s="497"/>
      <c r="AF716" s="497"/>
      <c r="AG716" s="497"/>
      <c r="AH716" s="497"/>
      <c r="AI716" s="497"/>
      <c r="AJ716" s="497"/>
      <c r="AK716" s="497"/>
      <c r="AL716" s="497"/>
      <c r="AM716" s="497"/>
      <c r="AN716" s="497"/>
      <c r="AO716" s="497"/>
      <c r="AP716" s="497"/>
      <c r="AQ716" s="497"/>
      <c r="AR716" s="497"/>
      <c r="AS716" s="497"/>
      <c r="AT716" s="497"/>
      <c r="AU716" s="497"/>
      <c r="AV716" s="497"/>
      <c r="AW716" s="497"/>
      <c r="AX716" s="497"/>
      <c r="AY716" s="497"/>
      <c r="AZ716" s="497"/>
      <c r="BA716" s="497"/>
      <c r="BB716" s="497"/>
      <c r="BC716" s="497"/>
      <c r="BD716" s="497"/>
      <c r="BE716" s="497"/>
      <c r="BF716" s="497"/>
      <c r="BG716" s="497"/>
      <c r="BH716" s="497"/>
      <c r="BI716" s="497"/>
      <c r="BJ716" s="497"/>
      <c r="BK716" s="497"/>
      <c r="BL716" s="497"/>
      <c r="BM716" s="497"/>
      <c r="BN716" s="497"/>
      <c r="BO716" s="497"/>
      <c r="BP716" s="497"/>
      <c r="BQ716" s="497"/>
      <c r="BR716" s="497"/>
      <c r="BS716" s="497"/>
      <c r="BT716" s="497"/>
      <c r="BU716" s="497"/>
      <c r="BV716" s="497"/>
      <c r="BW716" s="497"/>
      <c r="BX716" s="497"/>
      <c r="BY716" s="497"/>
      <c r="BZ716" s="497"/>
      <c r="CA716" s="497"/>
      <c r="CB716" s="497"/>
      <c r="CC716" s="497"/>
      <c r="CD716" s="497"/>
      <c r="CE716" s="497"/>
      <c r="CF716" s="497"/>
      <c r="CG716" s="497"/>
      <c r="CH716" s="497"/>
    </row>
    <row r="717" spans="1:86" s="335" customFormat="1">
      <c r="A717" s="517"/>
      <c r="B717" s="517"/>
      <c r="C717" s="517"/>
      <c r="D717" s="517"/>
      <c r="E717" s="517"/>
      <c r="F717" s="517"/>
      <c r="G717" s="517"/>
      <c r="H717" s="639"/>
      <c r="I717" s="639"/>
      <c r="J717" s="336"/>
      <c r="K717" s="2056"/>
      <c r="L717" s="337"/>
      <c r="N717" s="2057"/>
      <c r="O717" s="337"/>
      <c r="P717" s="337"/>
      <c r="Q717" s="337"/>
      <c r="R717" s="337"/>
      <c r="S717" s="337"/>
      <c r="T717" s="337"/>
      <c r="U717" s="497"/>
      <c r="V717" s="497"/>
      <c r="W717" s="497"/>
      <c r="X717" s="497"/>
      <c r="Y717" s="497"/>
      <c r="Z717" s="497"/>
      <c r="AA717" s="497"/>
      <c r="AB717" s="497"/>
      <c r="AC717" s="497"/>
      <c r="AD717" s="497"/>
      <c r="AE717" s="497"/>
      <c r="AF717" s="497"/>
      <c r="AG717" s="497"/>
      <c r="AH717" s="497"/>
      <c r="AI717" s="497"/>
      <c r="AJ717" s="497"/>
      <c r="AK717" s="497"/>
      <c r="AL717" s="497"/>
      <c r="AM717" s="497"/>
      <c r="AN717" s="497"/>
      <c r="AO717" s="497"/>
      <c r="AP717" s="497"/>
      <c r="AQ717" s="497"/>
      <c r="AR717" s="497"/>
      <c r="AS717" s="497"/>
      <c r="AT717" s="497"/>
      <c r="AU717" s="497"/>
      <c r="AV717" s="497"/>
      <c r="AW717" s="497"/>
      <c r="AX717" s="497"/>
      <c r="AY717" s="497"/>
      <c r="AZ717" s="497"/>
      <c r="BA717" s="497"/>
      <c r="BB717" s="497"/>
      <c r="BC717" s="497"/>
      <c r="BD717" s="497"/>
      <c r="BE717" s="497"/>
      <c r="BF717" s="497"/>
      <c r="BG717" s="497"/>
      <c r="BH717" s="497"/>
      <c r="BI717" s="497"/>
      <c r="BJ717" s="497"/>
      <c r="BK717" s="497"/>
      <c r="BL717" s="497"/>
      <c r="BM717" s="497"/>
      <c r="BN717" s="497"/>
      <c r="BO717" s="497"/>
      <c r="BP717" s="497"/>
      <c r="BQ717" s="497"/>
      <c r="BR717" s="497"/>
      <c r="BS717" s="497"/>
      <c r="BT717" s="497"/>
      <c r="BU717" s="497"/>
      <c r="BV717" s="497"/>
      <c r="BW717" s="497"/>
      <c r="BX717" s="497"/>
      <c r="BY717" s="497"/>
      <c r="BZ717" s="497"/>
      <c r="CA717" s="497"/>
      <c r="CB717" s="497"/>
      <c r="CC717" s="497"/>
      <c r="CD717" s="497"/>
      <c r="CE717" s="497"/>
      <c r="CF717" s="497"/>
      <c r="CG717" s="497"/>
      <c r="CH717" s="497"/>
    </row>
    <row r="718" spans="1:86" s="335" customFormat="1">
      <c r="A718" s="517"/>
      <c r="B718" s="517"/>
      <c r="C718" s="517"/>
      <c r="D718" s="517"/>
      <c r="E718" s="517"/>
      <c r="F718" s="517"/>
      <c r="G718" s="517"/>
      <c r="H718" s="639"/>
      <c r="I718" s="639"/>
      <c r="J718" s="336"/>
      <c r="K718" s="2056"/>
      <c r="L718" s="337"/>
      <c r="N718" s="2057"/>
      <c r="O718" s="337"/>
      <c r="P718" s="337"/>
      <c r="Q718" s="337"/>
      <c r="R718" s="337"/>
      <c r="S718" s="337"/>
      <c r="T718" s="337"/>
      <c r="U718" s="497"/>
      <c r="V718" s="497"/>
      <c r="W718" s="497"/>
      <c r="X718" s="497"/>
      <c r="Y718" s="497"/>
      <c r="Z718" s="497"/>
      <c r="AA718" s="497"/>
      <c r="AB718" s="497"/>
      <c r="AC718" s="497"/>
      <c r="AD718" s="497"/>
      <c r="AE718" s="497"/>
      <c r="AF718" s="497"/>
      <c r="AG718" s="497"/>
      <c r="AH718" s="497"/>
      <c r="AI718" s="497"/>
      <c r="AJ718" s="497"/>
      <c r="AK718" s="497"/>
      <c r="AL718" s="497"/>
      <c r="AM718" s="497"/>
      <c r="AN718" s="497"/>
      <c r="AO718" s="497"/>
      <c r="AP718" s="497"/>
      <c r="AQ718" s="497"/>
      <c r="AR718" s="497"/>
      <c r="AS718" s="497"/>
      <c r="AT718" s="497"/>
      <c r="AU718" s="497"/>
      <c r="AV718" s="497"/>
      <c r="AW718" s="497"/>
      <c r="AX718" s="497"/>
      <c r="AY718" s="497"/>
      <c r="AZ718" s="497"/>
      <c r="BA718" s="497"/>
      <c r="BB718" s="497"/>
      <c r="BC718" s="497"/>
      <c r="BD718" s="497"/>
      <c r="BE718" s="497"/>
      <c r="BF718" s="497"/>
      <c r="BG718" s="497"/>
      <c r="BH718" s="497"/>
      <c r="BI718" s="497"/>
      <c r="BJ718" s="497"/>
      <c r="BK718" s="497"/>
      <c r="BL718" s="497"/>
      <c r="BM718" s="497"/>
      <c r="BN718" s="497"/>
      <c r="BO718" s="497"/>
      <c r="BP718" s="497"/>
      <c r="BQ718" s="497"/>
      <c r="BR718" s="497"/>
      <c r="BS718" s="497"/>
      <c r="BT718" s="497"/>
      <c r="BU718" s="497"/>
      <c r="BV718" s="497"/>
      <c r="BW718" s="497"/>
      <c r="BX718" s="497"/>
      <c r="BY718" s="497"/>
      <c r="BZ718" s="497"/>
      <c r="CA718" s="497"/>
      <c r="CB718" s="497"/>
      <c r="CC718" s="497"/>
      <c r="CD718" s="497"/>
      <c r="CE718" s="497"/>
      <c r="CF718" s="497"/>
      <c r="CG718" s="497"/>
      <c r="CH718" s="497"/>
    </row>
    <row r="719" spans="1:86" s="335" customFormat="1">
      <c r="A719" s="517"/>
      <c r="B719" s="517"/>
      <c r="C719" s="517"/>
      <c r="D719" s="517"/>
      <c r="E719" s="517"/>
      <c r="F719" s="517"/>
      <c r="G719" s="517"/>
      <c r="H719" s="639"/>
      <c r="I719" s="639"/>
      <c r="J719" s="336"/>
      <c r="K719" s="2056"/>
      <c r="L719" s="337"/>
      <c r="N719" s="2057"/>
      <c r="O719" s="337"/>
      <c r="P719" s="337"/>
      <c r="Q719" s="337"/>
      <c r="R719" s="337"/>
      <c r="S719" s="337"/>
      <c r="T719" s="337"/>
      <c r="U719" s="497"/>
      <c r="V719" s="497"/>
      <c r="W719" s="497"/>
      <c r="X719" s="497"/>
      <c r="Y719" s="497"/>
      <c r="Z719" s="497"/>
      <c r="AA719" s="497"/>
      <c r="AB719" s="497"/>
      <c r="AC719" s="497"/>
      <c r="AD719" s="497"/>
      <c r="AE719" s="497"/>
      <c r="AF719" s="497"/>
      <c r="AG719" s="497"/>
      <c r="AH719" s="497"/>
      <c r="AI719" s="497"/>
      <c r="AJ719" s="497"/>
      <c r="AK719" s="497"/>
      <c r="AL719" s="497"/>
      <c r="AM719" s="497"/>
      <c r="AN719" s="497"/>
      <c r="AO719" s="497"/>
      <c r="AP719" s="497"/>
      <c r="AQ719" s="497"/>
      <c r="AR719" s="497"/>
      <c r="AS719" s="497"/>
      <c r="AT719" s="497"/>
      <c r="AU719" s="497"/>
      <c r="AV719" s="497"/>
      <c r="AW719" s="497"/>
      <c r="AX719" s="497"/>
      <c r="AY719" s="497"/>
      <c r="AZ719" s="497"/>
      <c r="BA719" s="497"/>
      <c r="BB719" s="497"/>
      <c r="BC719" s="497"/>
      <c r="BD719" s="497"/>
      <c r="BE719" s="497"/>
      <c r="BF719" s="497"/>
      <c r="BG719" s="497"/>
      <c r="BH719" s="497"/>
      <c r="BI719" s="497"/>
      <c r="BJ719" s="497"/>
      <c r="BK719" s="497"/>
      <c r="BL719" s="497"/>
      <c r="BM719" s="497"/>
      <c r="BN719" s="497"/>
      <c r="BO719" s="497"/>
      <c r="BP719" s="497"/>
      <c r="BQ719" s="497"/>
      <c r="BR719" s="497"/>
      <c r="BS719" s="497"/>
      <c r="BT719" s="497"/>
      <c r="BU719" s="497"/>
      <c r="BV719" s="497"/>
      <c r="BW719" s="497"/>
      <c r="BX719" s="497"/>
      <c r="BY719" s="497"/>
      <c r="BZ719" s="497"/>
      <c r="CA719" s="497"/>
      <c r="CB719" s="497"/>
      <c r="CC719" s="497"/>
      <c r="CD719" s="497"/>
      <c r="CE719" s="497"/>
      <c r="CF719" s="497"/>
      <c r="CG719" s="497"/>
      <c r="CH719" s="497"/>
    </row>
    <row r="720" spans="1:86" s="335" customFormat="1">
      <c r="A720" s="517"/>
      <c r="B720" s="517"/>
      <c r="C720" s="517"/>
      <c r="D720" s="517"/>
      <c r="E720" s="517"/>
      <c r="F720" s="517"/>
      <c r="G720" s="517"/>
      <c r="H720" s="639"/>
      <c r="I720" s="639"/>
      <c r="J720" s="336"/>
      <c r="K720" s="2056"/>
      <c r="L720" s="337"/>
      <c r="N720" s="2057"/>
      <c r="O720" s="337"/>
      <c r="P720" s="337"/>
      <c r="Q720" s="337"/>
      <c r="R720" s="337"/>
      <c r="S720" s="337"/>
      <c r="T720" s="337"/>
      <c r="U720" s="497"/>
      <c r="V720" s="497"/>
      <c r="W720" s="497"/>
      <c r="X720" s="497"/>
      <c r="Y720" s="497"/>
      <c r="Z720" s="497"/>
      <c r="AA720" s="497"/>
      <c r="AB720" s="497"/>
      <c r="AC720" s="497"/>
      <c r="AD720" s="497"/>
      <c r="AE720" s="497"/>
      <c r="AF720" s="497"/>
      <c r="AG720" s="497"/>
      <c r="AH720" s="497"/>
      <c r="AI720" s="497"/>
      <c r="AJ720" s="497"/>
      <c r="AK720" s="497"/>
      <c r="AL720" s="497"/>
      <c r="AM720" s="497"/>
      <c r="AN720" s="497"/>
      <c r="AO720" s="497"/>
      <c r="AP720" s="497"/>
      <c r="AQ720" s="497"/>
      <c r="AR720" s="497"/>
      <c r="AS720" s="497"/>
      <c r="AT720" s="497"/>
      <c r="AU720" s="497"/>
      <c r="AV720" s="497"/>
      <c r="AW720" s="497"/>
      <c r="AX720" s="497"/>
      <c r="AY720" s="497"/>
      <c r="AZ720" s="497"/>
      <c r="BA720" s="497"/>
      <c r="BB720" s="497"/>
      <c r="BC720" s="497"/>
      <c r="BD720" s="497"/>
      <c r="BE720" s="497"/>
      <c r="BF720" s="497"/>
      <c r="BG720" s="497"/>
      <c r="BH720" s="497"/>
      <c r="BI720" s="497"/>
      <c r="BJ720" s="497"/>
      <c r="BK720" s="497"/>
      <c r="BL720" s="497"/>
      <c r="BM720" s="497"/>
      <c r="BN720" s="497"/>
      <c r="BO720" s="497"/>
      <c r="BP720" s="497"/>
      <c r="BQ720" s="497"/>
      <c r="BR720" s="497"/>
      <c r="BS720" s="497"/>
      <c r="BT720" s="497"/>
      <c r="BU720" s="497"/>
      <c r="BV720" s="497"/>
      <c r="BW720" s="497"/>
      <c r="BX720" s="497"/>
      <c r="BY720" s="497"/>
      <c r="BZ720" s="497"/>
      <c r="CA720" s="497"/>
      <c r="CB720" s="497"/>
      <c r="CC720" s="497"/>
      <c r="CD720" s="497"/>
      <c r="CE720" s="497"/>
      <c r="CF720" s="497"/>
      <c r="CG720" s="497"/>
      <c r="CH720" s="497"/>
    </row>
    <row r="721" spans="1:86" s="335" customFormat="1">
      <c r="A721" s="517"/>
      <c r="B721" s="517"/>
      <c r="C721" s="517"/>
      <c r="D721" s="517"/>
      <c r="E721" s="517"/>
      <c r="F721" s="517"/>
      <c r="G721" s="517"/>
      <c r="H721" s="639"/>
      <c r="I721" s="639"/>
      <c r="J721" s="336"/>
      <c r="K721" s="2056"/>
      <c r="L721" s="337"/>
      <c r="N721" s="2057"/>
      <c r="O721" s="337"/>
      <c r="P721" s="337"/>
      <c r="Q721" s="337"/>
      <c r="R721" s="337"/>
      <c r="S721" s="337"/>
      <c r="T721" s="337"/>
      <c r="U721" s="497"/>
      <c r="V721" s="497"/>
      <c r="W721" s="497"/>
      <c r="X721" s="497"/>
      <c r="Y721" s="497"/>
      <c r="Z721" s="497"/>
      <c r="AA721" s="497"/>
      <c r="AB721" s="497"/>
      <c r="AC721" s="497"/>
      <c r="AD721" s="497"/>
      <c r="AE721" s="497"/>
      <c r="AF721" s="497"/>
      <c r="AG721" s="497"/>
      <c r="AH721" s="497"/>
      <c r="AI721" s="497"/>
      <c r="AJ721" s="497"/>
      <c r="AK721" s="497"/>
      <c r="AL721" s="497"/>
      <c r="AM721" s="497"/>
      <c r="AN721" s="497"/>
      <c r="AO721" s="497"/>
      <c r="AP721" s="497"/>
      <c r="AQ721" s="497"/>
      <c r="AR721" s="497"/>
      <c r="AS721" s="497"/>
      <c r="AT721" s="497"/>
      <c r="AU721" s="497"/>
      <c r="AV721" s="497"/>
      <c r="AW721" s="497"/>
      <c r="AX721" s="497"/>
      <c r="AY721" s="497"/>
      <c r="AZ721" s="497"/>
      <c r="BA721" s="497"/>
      <c r="BB721" s="497"/>
      <c r="BC721" s="497"/>
      <c r="BD721" s="497"/>
      <c r="BE721" s="497"/>
      <c r="BF721" s="497"/>
      <c r="BG721" s="497"/>
      <c r="BH721" s="497"/>
      <c r="BI721" s="497"/>
      <c r="BJ721" s="497"/>
      <c r="BK721" s="497"/>
      <c r="BL721" s="497"/>
      <c r="BM721" s="497"/>
      <c r="BN721" s="497"/>
      <c r="BO721" s="497"/>
      <c r="BP721" s="497"/>
      <c r="BQ721" s="497"/>
      <c r="BR721" s="497"/>
      <c r="BS721" s="497"/>
      <c r="BT721" s="497"/>
      <c r="BU721" s="497"/>
      <c r="BV721" s="497"/>
      <c r="BW721" s="497"/>
      <c r="BX721" s="497"/>
      <c r="BY721" s="497"/>
      <c r="BZ721" s="497"/>
      <c r="CA721" s="497"/>
      <c r="CB721" s="497"/>
      <c r="CC721" s="497"/>
      <c r="CD721" s="497"/>
      <c r="CE721" s="497"/>
      <c r="CF721" s="497"/>
      <c r="CG721" s="497"/>
      <c r="CH721" s="497"/>
    </row>
    <row r="722" spans="1:86" s="335" customFormat="1">
      <c r="A722" s="517"/>
      <c r="B722" s="517"/>
      <c r="C722" s="517"/>
      <c r="D722" s="517"/>
      <c r="E722" s="517"/>
      <c r="F722" s="517"/>
      <c r="G722" s="517"/>
      <c r="H722" s="639"/>
      <c r="I722" s="639"/>
      <c r="J722" s="336"/>
      <c r="K722" s="2056"/>
      <c r="L722" s="337"/>
      <c r="N722" s="2057"/>
      <c r="O722" s="337"/>
      <c r="P722" s="337"/>
      <c r="Q722" s="337"/>
      <c r="R722" s="337"/>
      <c r="S722" s="337"/>
      <c r="T722" s="337"/>
      <c r="U722" s="497"/>
      <c r="V722" s="497"/>
      <c r="W722" s="497"/>
      <c r="X722" s="497"/>
      <c r="Y722" s="497"/>
      <c r="Z722" s="497"/>
      <c r="AA722" s="497"/>
      <c r="AB722" s="497"/>
      <c r="AC722" s="497"/>
      <c r="AD722" s="497"/>
      <c r="AE722" s="497"/>
      <c r="AF722" s="497"/>
      <c r="AG722" s="497"/>
      <c r="AH722" s="497"/>
      <c r="AI722" s="497"/>
      <c r="AJ722" s="497"/>
      <c r="AK722" s="497"/>
      <c r="AL722" s="497"/>
      <c r="AM722" s="497"/>
      <c r="AN722" s="497"/>
      <c r="AO722" s="497"/>
      <c r="AP722" s="497"/>
      <c r="AQ722" s="497"/>
      <c r="AR722" s="497"/>
      <c r="AS722" s="497"/>
      <c r="AT722" s="497"/>
      <c r="AU722" s="497"/>
      <c r="AV722" s="497"/>
      <c r="AW722" s="497"/>
      <c r="AX722" s="497"/>
      <c r="AY722" s="497"/>
      <c r="AZ722" s="497"/>
      <c r="BA722" s="497"/>
      <c r="BB722" s="497"/>
      <c r="BC722" s="497"/>
      <c r="BD722" s="497"/>
      <c r="BE722" s="497"/>
      <c r="BF722" s="497"/>
      <c r="BG722" s="497"/>
      <c r="BH722" s="497"/>
      <c r="BI722" s="497"/>
      <c r="BJ722" s="497"/>
      <c r="BK722" s="497"/>
      <c r="BL722" s="497"/>
      <c r="BM722" s="497"/>
      <c r="BN722" s="497"/>
      <c r="BO722" s="497"/>
      <c r="BP722" s="497"/>
      <c r="BQ722" s="497"/>
      <c r="BR722" s="497"/>
      <c r="BS722" s="497"/>
      <c r="BT722" s="497"/>
      <c r="BU722" s="497"/>
      <c r="BV722" s="497"/>
      <c r="BW722" s="497"/>
      <c r="BX722" s="497"/>
      <c r="BY722" s="497"/>
      <c r="BZ722" s="497"/>
      <c r="CA722" s="497"/>
      <c r="CB722" s="497"/>
      <c r="CC722" s="497"/>
      <c r="CD722" s="497"/>
      <c r="CE722" s="497"/>
      <c r="CF722" s="497"/>
      <c r="CG722" s="497"/>
      <c r="CH722" s="497"/>
    </row>
    <row r="723" spans="1:86" s="335" customFormat="1">
      <c r="A723" s="517"/>
      <c r="B723" s="517"/>
      <c r="C723" s="517"/>
      <c r="D723" s="517"/>
      <c r="E723" s="517"/>
      <c r="F723" s="517"/>
      <c r="G723" s="517"/>
      <c r="H723" s="639"/>
      <c r="I723" s="639"/>
      <c r="J723" s="336"/>
      <c r="K723" s="2056"/>
      <c r="L723" s="337"/>
      <c r="N723" s="2057"/>
      <c r="O723" s="337"/>
      <c r="P723" s="337"/>
      <c r="Q723" s="337"/>
      <c r="R723" s="337"/>
      <c r="S723" s="337"/>
      <c r="T723" s="337"/>
      <c r="U723" s="497"/>
      <c r="V723" s="497"/>
      <c r="W723" s="497"/>
      <c r="X723" s="497"/>
      <c r="Y723" s="497"/>
      <c r="Z723" s="497"/>
      <c r="AA723" s="497"/>
      <c r="AB723" s="497"/>
      <c r="AC723" s="497"/>
      <c r="AD723" s="497"/>
      <c r="AE723" s="497"/>
      <c r="AF723" s="497"/>
      <c r="AG723" s="497"/>
      <c r="AH723" s="497"/>
      <c r="AI723" s="497"/>
      <c r="AJ723" s="497"/>
      <c r="AK723" s="497"/>
      <c r="AL723" s="497"/>
      <c r="AM723" s="497"/>
      <c r="AN723" s="497"/>
      <c r="AO723" s="497"/>
      <c r="AP723" s="497"/>
      <c r="AQ723" s="497"/>
      <c r="AR723" s="497"/>
      <c r="AS723" s="497"/>
      <c r="AT723" s="497"/>
      <c r="AU723" s="497"/>
      <c r="AV723" s="497"/>
      <c r="AW723" s="497"/>
      <c r="AX723" s="497"/>
      <c r="AY723" s="497"/>
      <c r="AZ723" s="497"/>
      <c r="BA723" s="497"/>
      <c r="BB723" s="497"/>
      <c r="BC723" s="497"/>
      <c r="BD723" s="497"/>
      <c r="BE723" s="497"/>
      <c r="BF723" s="497"/>
      <c r="BG723" s="497"/>
      <c r="BH723" s="497"/>
      <c r="BI723" s="497"/>
      <c r="BJ723" s="497"/>
      <c r="BK723" s="497"/>
      <c r="BL723" s="497"/>
      <c r="BM723" s="497"/>
      <c r="BN723" s="497"/>
      <c r="BO723" s="497"/>
      <c r="BP723" s="497"/>
      <c r="BQ723" s="497"/>
      <c r="BR723" s="497"/>
      <c r="BS723" s="497"/>
      <c r="BT723" s="497"/>
      <c r="BU723" s="497"/>
      <c r="BV723" s="497"/>
      <c r="BW723" s="497"/>
      <c r="BX723" s="497"/>
      <c r="BY723" s="497"/>
      <c r="BZ723" s="497"/>
      <c r="CA723" s="497"/>
      <c r="CB723" s="497"/>
      <c r="CC723" s="497"/>
      <c r="CD723" s="497"/>
      <c r="CE723" s="497"/>
      <c r="CF723" s="497"/>
      <c r="CG723" s="497"/>
      <c r="CH723" s="497"/>
    </row>
    <row r="724" spans="1:86" s="335" customFormat="1">
      <c r="A724" s="517"/>
      <c r="B724" s="517"/>
      <c r="C724" s="517"/>
      <c r="D724" s="517"/>
      <c r="E724" s="517"/>
      <c r="F724" s="517"/>
      <c r="G724" s="517"/>
      <c r="H724" s="639"/>
      <c r="I724" s="639"/>
      <c r="J724" s="336"/>
      <c r="K724" s="2056"/>
      <c r="L724" s="337"/>
      <c r="N724" s="2057"/>
      <c r="O724" s="337"/>
      <c r="P724" s="337"/>
      <c r="Q724" s="337"/>
      <c r="R724" s="337"/>
      <c r="S724" s="337"/>
      <c r="T724" s="337"/>
      <c r="U724" s="497"/>
      <c r="V724" s="497"/>
      <c r="W724" s="497"/>
      <c r="X724" s="497"/>
      <c r="Y724" s="497"/>
      <c r="Z724" s="497"/>
      <c r="AA724" s="497"/>
      <c r="AB724" s="497"/>
      <c r="AC724" s="497"/>
      <c r="AD724" s="497"/>
      <c r="AE724" s="497"/>
      <c r="AF724" s="497"/>
      <c r="AG724" s="497"/>
      <c r="AH724" s="497"/>
      <c r="AI724" s="497"/>
      <c r="AJ724" s="497"/>
      <c r="AK724" s="497"/>
      <c r="AL724" s="497"/>
      <c r="AM724" s="497"/>
      <c r="AN724" s="497"/>
      <c r="AO724" s="497"/>
      <c r="AP724" s="497"/>
      <c r="AQ724" s="497"/>
      <c r="AR724" s="497"/>
      <c r="AS724" s="497"/>
      <c r="AT724" s="497"/>
      <c r="AU724" s="497"/>
      <c r="AV724" s="497"/>
      <c r="AW724" s="497"/>
      <c r="AX724" s="497"/>
      <c r="AY724" s="497"/>
      <c r="AZ724" s="497"/>
      <c r="BA724" s="497"/>
      <c r="BB724" s="497"/>
      <c r="BC724" s="497"/>
      <c r="BD724" s="497"/>
      <c r="BE724" s="497"/>
      <c r="BF724" s="497"/>
      <c r="BG724" s="497"/>
      <c r="BH724" s="497"/>
      <c r="BI724" s="497"/>
      <c r="BJ724" s="497"/>
      <c r="BK724" s="497"/>
      <c r="BL724" s="497"/>
      <c r="BM724" s="497"/>
      <c r="BN724" s="497"/>
      <c r="BO724" s="497"/>
      <c r="BP724" s="497"/>
      <c r="BQ724" s="497"/>
      <c r="BR724" s="497"/>
      <c r="BS724" s="497"/>
      <c r="BT724" s="497"/>
      <c r="BU724" s="497"/>
      <c r="BV724" s="497"/>
      <c r="BW724" s="497"/>
      <c r="BX724" s="497"/>
      <c r="BY724" s="497"/>
      <c r="BZ724" s="497"/>
      <c r="CA724" s="497"/>
      <c r="CB724" s="497"/>
      <c r="CC724" s="497"/>
      <c r="CD724" s="497"/>
      <c r="CE724" s="497"/>
      <c r="CF724" s="497"/>
      <c r="CG724" s="497"/>
      <c r="CH724" s="497"/>
    </row>
    <row r="725" spans="1:86" s="335" customFormat="1">
      <c r="A725" s="517"/>
      <c r="B725" s="517"/>
      <c r="C725" s="517"/>
      <c r="D725" s="517"/>
      <c r="E725" s="517"/>
      <c r="F725" s="517"/>
      <c r="G725" s="517"/>
      <c r="H725" s="639"/>
      <c r="I725" s="639"/>
      <c r="J725" s="336"/>
      <c r="K725" s="2056"/>
      <c r="L725" s="337"/>
      <c r="N725" s="2057"/>
      <c r="O725" s="337"/>
      <c r="P725" s="337"/>
      <c r="Q725" s="337"/>
      <c r="R725" s="337"/>
      <c r="S725" s="337"/>
      <c r="T725" s="337"/>
      <c r="U725" s="497"/>
      <c r="V725" s="497"/>
      <c r="W725" s="497"/>
      <c r="X725" s="497"/>
      <c r="Y725" s="497"/>
      <c r="Z725" s="497"/>
      <c r="AA725" s="497"/>
      <c r="AB725" s="497"/>
      <c r="AC725" s="497"/>
      <c r="AD725" s="497"/>
      <c r="AE725" s="497"/>
      <c r="AF725" s="497"/>
      <c r="AG725" s="497"/>
      <c r="AH725" s="497"/>
      <c r="AI725" s="497"/>
      <c r="AJ725" s="497"/>
      <c r="AK725" s="497"/>
      <c r="AL725" s="497"/>
      <c r="AM725" s="497"/>
      <c r="AN725" s="497"/>
      <c r="AO725" s="497"/>
      <c r="AP725" s="497"/>
      <c r="AQ725" s="497"/>
      <c r="AR725" s="497"/>
      <c r="AS725" s="497"/>
      <c r="AT725" s="497"/>
      <c r="AU725" s="497"/>
      <c r="AV725" s="497"/>
      <c r="AW725" s="497"/>
      <c r="AX725" s="497"/>
      <c r="AY725" s="497"/>
      <c r="AZ725" s="497"/>
      <c r="BA725" s="497"/>
      <c r="BB725" s="497"/>
      <c r="BC725" s="497"/>
      <c r="BD725" s="497"/>
      <c r="BE725" s="497"/>
      <c r="BF725" s="497"/>
      <c r="BG725" s="497"/>
      <c r="BH725" s="497"/>
      <c r="BI725" s="497"/>
      <c r="BJ725" s="497"/>
      <c r="BK725" s="497"/>
      <c r="BL725" s="497"/>
      <c r="BM725" s="497"/>
      <c r="BN725" s="497"/>
      <c r="BO725" s="497"/>
      <c r="BP725" s="497"/>
      <c r="BQ725" s="497"/>
      <c r="BR725" s="497"/>
      <c r="BS725" s="497"/>
      <c r="BT725" s="497"/>
      <c r="BU725" s="497"/>
      <c r="BV725" s="497"/>
      <c r="BW725" s="497"/>
      <c r="BX725" s="497"/>
      <c r="BY725" s="497"/>
      <c r="BZ725" s="497"/>
      <c r="CA725" s="497"/>
      <c r="CB725" s="497"/>
      <c r="CC725" s="497"/>
      <c r="CD725" s="497"/>
      <c r="CE725" s="497"/>
      <c r="CF725" s="497"/>
      <c r="CG725" s="497"/>
      <c r="CH725" s="497"/>
    </row>
    <row r="726" spans="1:86" s="335" customFormat="1">
      <c r="A726" s="517"/>
      <c r="B726" s="517"/>
      <c r="C726" s="517"/>
      <c r="D726" s="517"/>
      <c r="E726" s="517"/>
      <c r="F726" s="517"/>
      <c r="G726" s="517"/>
      <c r="H726" s="639"/>
      <c r="I726" s="639"/>
      <c r="J726" s="336"/>
      <c r="K726" s="2056"/>
      <c r="L726" s="337"/>
      <c r="N726" s="2057"/>
      <c r="O726" s="337"/>
      <c r="P726" s="337"/>
      <c r="Q726" s="337"/>
      <c r="R726" s="337"/>
      <c r="S726" s="337"/>
      <c r="T726" s="337"/>
      <c r="U726" s="497"/>
      <c r="V726" s="497"/>
      <c r="W726" s="497"/>
      <c r="X726" s="497"/>
      <c r="Y726" s="497"/>
      <c r="Z726" s="497"/>
      <c r="AA726" s="497"/>
      <c r="AB726" s="497"/>
      <c r="AC726" s="497"/>
      <c r="AD726" s="497"/>
      <c r="AE726" s="497"/>
      <c r="AF726" s="497"/>
      <c r="AG726" s="497"/>
      <c r="AH726" s="497"/>
      <c r="AI726" s="497"/>
      <c r="AJ726" s="497"/>
      <c r="AK726" s="497"/>
      <c r="AL726" s="497"/>
      <c r="AM726" s="497"/>
      <c r="AN726" s="497"/>
      <c r="AO726" s="497"/>
      <c r="AP726" s="497"/>
      <c r="AQ726" s="497"/>
      <c r="AR726" s="497"/>
      <c r="AS726" s="497"/>
      <c r="AT726" s="497"/>
      <c r="AU726" s="497"/>
      <c r="AV726" s="497"/>
      <c r="AW726" s="497"/>
      <c r="AX726" s="497"/>
      <c r="AY726" s="497"/>
      <c r="AZ726" s="497"/>
      <c r="BA726" s="497"/>
      <c r="BB726" s="497"/>
      <c r="BC726" s="497"/>
      <c r="BD726" s="497"/>
      <c r="BE726" s="497"/>
      <c r="BF726" s="497"/>
      <c r="BG726" s="497"/>
      <c r="BH726" s="497"/>
      <c r="BI726" s="497"/>
      <c r="BJ726" s="497"/>
      <c r="BK726" s="497"/>
      <c r="BL726" s="497"/>
      <c r="BM726" s="497"/>
      <c r="BN726" s="497"/>
      <c r="BO726" s="497"/>
      <c r="BP726" s="497"/>
      <c r="BQ726" s="497"/>
      <c r="BR726" s="497"/>
      <c r="BS726" s="497"/>
      <c r="BT726" s="497"/>
      <c r="BU726" s="497"/>
      <c r="BV726" s="497"/>
      <c r="BW726" s="497"/>
      <c r="BX726" s="497"/>
      <c r="BY726" s="497"/>
      <c r="BZ726" s="497"/>
      <c r="CA726" s="497"/>
      <c r="CB726" s="497"/>
      <c r="CC726" s="497"/>
      <c r="CD726" s="497"/>
      <c r="CE726" s="497"/>
      <c r="CF726" s="497"/>
      <c r="CG726" s="497"/>
      <c r="CH726" s="497"/>
    </row>
    <row r="727" spans="1:86" s="335" customFormat="1">
      <c r="A727" s="517"/>
      <c r="B727" s="517"/>
      <c r="C727" s="517"/>
      <c r="D727" s="517"/>
      <c r="E727" s="517"/>
      <c r="F727" s="517"/>
      <c r="G727" s="517"/>
      <c r="H727" s="639"/>
      <c r="I727" s="639"/>
      <c r="J727" s="336"/>
      <c r="K727" s="2056"/>
      <c r="L727" s="337"/>
      <c r="N727" s="2057"/>
      <c r="O727" s="337"/>
      <c r="P727" s="337"/>
      <c r="Q727" s="337"/>
      <c r="R727" s="337"/>
      <c r="S727" s="337"/>
      <c r="T727" s="337"/>
      <c r="U727" s="497"/>
      <c r="V727" s="497"/>
      <c r="W727" s="497"/>
      <c r="X727" s="497"/>
      <c r="Y727" s="497"/>
      <c r="Z727" s="497"/>
      <c r="AA727" s="497"/>
      <c r="AB727" s="497"/>
      <c r="AC727" s="497"/>
      <c r="AD727" s="497"/>
      <c r="AE727" s="497"/>
      <c r="AF727" s="497"/>
      <c r="AG727" s="497"/>
      <c r="AH727" s="497"/>
      <c r="AI727" s="497"/>
      <c r="AJ727" s="497"/>
      <c r="AK727" s="497"/>
      <c r="AL727" s="497"/>
      <c r="AM727" s="497"/>
      <c r="AN727" s="497"/>
      <c r="AO727" s="497"/>
      <c r="AP727" s="497"/>
      <c r="AQ727" s="497"/>
      <c r="AR727" s="497"/>
      <c r="AS727" s="497"/>
      <c r="AT727" s="497"/>
      <c r="AU727" s="497"/>
      <c r="AV727" s="497"/>
      <c r="AW727" s="497"/>
      <c r="AX727" s="497"/>
      <c r="AY727" s="497"/>
      <c r="AZ727" s="497"/>
      <c r="BA727" s="497"/>
      <c r="BB727" s="497"/>
      <c r="BC727" s="497"/>
      <c r="BD727" s="497"/>
      <c r="BE727" s="497"/>
      <c r="BF727" s="497"/>
      <c r="BG727" s="497"/>
      <c r="BH727" s="497"/>
      <c r="BI727" s="497"/>
      <c r="BJ727" s="497"/>
      <c r="BK727" s="497"/>
      <c r="BL727" s="497"/>
      <c r="BM727" s="497"/>
      <c r="BN727" s="497"/>
      <c r="BO727" s="497"/>
      <c r="BP727" s="497"/>
      <c r="BQ727" s="497"/>
      <c r="BR727" s="497"/>
      <c r="BS727" s="497"/>
      <c r="BT727" s="497"/>
      <c r="BU727" s="497"/>
      <c r="BV727" s="497"/>
      <c r="BW727" s="497"/>
      <c r="BX727" s="497"/>
      <c r="BY727" s="497"/>
      <c r="BZ727" s="497"/>
      <c r="CA727" s="497"/>
      <c r="CB727" s="497"/>
      <c r="CC727" s="497"/>
      <c r="CD727" s="497"/>
      <c r="CE727" s="497"/>
      <c r="CF727" s="497"/>
      <c r="CG727" s="497"/>
      <c r="CH727" s="497"/>
    </row>
    <row r="728" spans="1:86" s="335" customFormat="1">
      <c r="A728" s="517"/>
      <c r="B728" s="517"/>
      <c r="C728" s="517"/>
      <c r="D728" s="517"/>
      <c r="E728" s="517"/>
      <c r="F728" s="517"/>
      <c r="G728" s="517"/>
      <c r="H728" s="639"/>
      <c r="I728" s="639"/>
      <c r="J728" s="336"/>
      <c r="K728" s="2056"/>
      <c r="L728" s="337"/>
      <c r="N728" s="2057"/>
      <c r="O728" s="337"/>
      <c r="P728" s="337"/>
      <c r="Q728" s="337"/>
      <c r="R728" s="337"/>
      <c r="S728" s="337"/>
      <c r="T728" s="337"/>
      <c r="U728" s="497"/>
      <c r="V728" s="497"/>
      <c r="W728" s="497"/>
      <c r="X728" s="497"/>
      <c r="Y728" s="497"/>
      <c r="Z728" s="497"/>
      <c r="AA728" s="497"/>
      <c r="AB728" s="497"/>
      <c r="AC728" s="497"/>
      <c r="AD728" s="497"/>
      <c r="AE728" s="497"/>
      <c r="AF728" s="497"/>
      <c r="AG728" s="497"/>
      <c r="AH728" s="497"/>
      <c r="AI728" s="497"/>
      <c r="AJ728" s="497"/>
      <c r="AK728" s="497"/>
      <c r="AL728" s="497"/>
      <c r="AM728" s="497"/>
      <c r="AN728" s="497"/>
      <c r="AO728" s="497"/>
      <c r="AP728" s="497"/>
      <c r="AQ728" s="497"/>
      <c r="AR728" s="497"/>
      <c r="AS728" s="497"/>
      <c r="AT728" s="497"/>
      <c r="AU728" s="497"/>
      <c r="AV728" s="497"/>
      <c r="AW728" s="497"/>
      <c r="AX728" s="497"/>
      <c r="AY728" s="497"/>
      <c r="AZ728" s="497"/>
      <c r="BA728" s="497"/>
      <c r="BB728" s="497"/>
      <c r="BC728" s="497"/>
      <c r="BD728" s="497"/>
      <c r="BE728" s="497"/>
      <c r="BF728" s="497"/>
      <c r="BG728" s="497"/>
      <c r="BH728" s="497"/>
      <c r="BI728" s="497"/>
      <c r="BJ728" s="497"/>
      <c r="BK728" s="497"/>
      <c r="BL728" s="497"/>
      <c r="BM728" s="497"/>
      <c r="BN728" s="497"/>
      <c r="BO728" s="497"/>
      <c r="BP728" s="497"/>
      <c r="BQ728" s="497"/>
      <c r="BR728" s="497"/>
      <c r="BS728" s="497"/>
      <c r="BT728" s="497"/>
      <c r="BU728" s="497"/>
      <c r="BV728" s="497"/>
      <c r="BW728" s="497"/>
      <c r="BX728" s="497"/>
      <c r="BY728" s="497"/>
      <c r="BZ728" s="497"/>
      <c r="CA728" s="497"/>
      <c r="CB728" s="497"/>
      <c r="CC728" s="497"/>
      <c r="CD728" s="497"/>
      <c r="CE728" s="497"/>
      <c r="CF728" s="497"/>
      <c r="CG728" s="497"/>
      <c r="CH728" s="497"/>
    </row>
    <row r="729" spans="1:86" s="335" customFormat="1">
      <c r="A729" s="517"/>
      <c r="B729" s="517"/>
      <c r="C729" s="517"/>
      <c r="D729" s="517"/>
      <c r="E729" s="517"/>
      <c r="F729" s="517"/>
      <c r="G729" s="517"/>
      <c r="H729" s="639"/>
      <c r="I729" s="639"/>
      <c r="J729" s="336"/>
      <c r="K729" s="2056"/>
      <c r="L729" s="337"/>
      <c r="N729" s="2057"/>
      <c r="O729" s="337"/>
      <c r="P729" s="337"/>
      <c r="Q729" s="337"/>
      <c r="R729" s="337"/>
      <c r="S729" s="337"/>
      <c r="T729" s="337"/>
      <c r="U729" s="497"/>
      <c r="V729" s="497"/>
      <c r="W729" s="497"/>
      <c r="X729" s="497"/>
      <c r="Y729" s="497"/>
      <c r="Z729" s="497"/>
      <c r="AA729" s="497"/>
      <c r="AB729" s="497"/>
      <c r="AC729" s="497"/>
      <c r="AD729" s="497"/>
      <c r="AE729" s="497"/>
      <c r="AF729" s="497"/>
      <c r="AG729" s="497"/>
      <c r="AH729" s="497"/>
      <c r="AI729" s="497"/>
      <c r="AJ729" s="497"/>
      <c r="AK729" s="497"/>
      <c r="AL729" s="497"/>
      <c r="AM729" s="497"/>
      <c r="AN729" s="497"/>
      <c r="AO729" s="497"/>
      <c r="AP729" s="497"/>
      <c r="AQ729" s="497"/>
      <c r="AR729" s="497"/>
      <c r="AS729" s="497"/>
      <c r="AT729" s="497"/>
      <c r="AU729" s="497"/>
      <c r="AV729" s="497"/>
      <c r="AW729" s="497"/>
      <c r="AX729" s="497"/>
      <c r="AY729" s="497"/>
      <c r="AZ729" s="497"/>
      <c r="BA729" s="497"/>
      <c r="BB729" s="497"/>
      <c r="BC729" s="497"/>
      <c r="BD729" s="497"/>
      <c r="BE729" s="497"/>
      <c r="BF729" s="497"/>
      <c r="BG729" s="497"/>
      <c r="BH729" s="497"/>
      <c r="BI729" s="497"/>
      <c r="BJ729" s="497"/>
      <c r="BK729" s="497"/>
      <c r="BL729" s="497"/>
      <c r="BM729" s="497"/>
      <c r="BN729" s="497"/>
      <c r="BO729" s="497"/>
      <c r="BP729" s="497"/>
      <c r="BQ729" s="497"/>
      <c r="BR729" s="497"/>
      <c r="BS729" s="497"/>
      <c r="BT729" s="497"/>
      <c r="BU729" s="497"/>
      <c r="BV729" s="497"/>
      <c r="BW729" s="497"/>
      <c r="BX729" s="497"/>
      <c r="BY729" s="497"/>
      <c r="BZ729" s="497"/>
      <c r="CA729" s="497"/>
      <c r="CB729" s="497"/>
      <c r="CC729" s="497"/>
      <c r="CD729" s="497"/>
      <c r="CE729" s="497"/>
      <c r="CF729" s="497"/>
      <c r="CG729" s="497"/>
      <c r="CH729" s="497"/>
    </row>
    <row r="730" spans="1:86" s="335" customFormat="1">
      <c r="A730" s="517"/>
      <c r="B730" s="517"/>
      <c r="C730" s="517"/>
      <c r="D730" s="517"/>
      <c r="E730" s="517"/>
      <c r="F730" s="517"/>
      <c r="G730" s="517"/>
      <c r="H730" s="639"/>
      <c r="I730" s="639"/>
      <c r="J730" s="336"/>
      <c r="K730" s="2056"/>
      <c r="L730" s="337"/>
      <c r="N730" s="2057"/>
      <c r="O730" s="337"/>
      <c r="P730" s="337"/>
      <c r="Q730" s="337"/>
      <c r="R730" s="337"/>
      <c r="S730" s="337"/>
      <c r="T730" s="337"/>
      <c r="U730" s="497"/>
      <c r="V730" s="497"/>
      <c r="W730" s="497"/>
      <c r="X730" s="497"/>
      <c r="Y730" s="497"/>
      <c r="Z730" s="497"/>
      <c r="AA730" s="497"/>
      <c r="AB730" s="497"/>
      <c r="AC730" s="497"/>
      <c r="AD730" s="497"/>
      <c r="AE730" s="497"/>
      <c r="AF730" s="497"/>
      <c r="AG730" s="497"/>
      <c r="AH730" s="497"/>
      <c r="AI730" s="497"/>
      <c r="AJ730" s="497"/>
      <c r="AK730" s="497"/>
      <c r="AL730" s="497"/>
      <c r="AM730" s="497"/>
      <c r="AN730" s="497"/>
      <c r="AO730" s="497"/>
      <c r="AP730" s="497"/>
      <c r="AQ730" s="497"/>
      <c r="AR730" s="497"/>
      <c r="AS730" s="497"/>
      <c r="AT730" s="497"/>
      <c r="AU730" s="497"/>
      <c r="AV730" s="497"/>
      <c r="AW730" s="497"/>
      <c r="AX730" s="497"/>
      <c r="AY730" s="497"/>
      <c r="AZ730" s="497"/>
      <c r="BA730" s="497"/>
      <c r="BB730" s="497"/>
      <c r="BC730" s="497"/>
      <c r="BD730" s="497"/>
      <c r="BE730" s="497"/>
      <c r="BF730" s="497"/>
      <c r="BG730" s="497"/>
      <c r="BH730" s="497"/>
      <c r="BI730" s="497"/>
      <c r="BJ730" s="497"/>
      <c r="BK730" s="497"/>
      <c r="BL730" s="497"/>
      <c r="BM730" s="497"/>
      <c r="BN730" s="497"/>
      <c r="BO730" s="497"/>
      <c r="BP730" s="497"/>
      <c r="BQ730" s="497"/>
      <c r="BR730" s="497"/>
      <c r="BS730" s="497"/>
      <c r="BT730" s="497"/>
      <c r="BU730" s="497"/>
      <c r="BV730" s="497"/>
      <c r="BW730" s="497"/>
      <c r="BX730" s="497"/>
      <c r="BY730" s="497"/>
      <c r="BZ730" s="497"/>
      <c r="CA730" s="497"/>
      <c r="CB730" s="497"/>
      <c r="CC730" s="497"/>
      <c r="CD730" s="497"/>
      <c r="CE730" s="497"/>
      <c r="CF730" s="497"/>
      <c r="CG730" s="497"/>
      <c r="CH730" s="497"/>
    </row>
    <row r="731" spans="1:86" s="335" customFormat="1">
      <c r="A731" s="517"/>
      <c r="B731" s="517"/>
      <c r="C731" s="517"/>
      <c r="D731" s="517"/>
      <c r="E731" s="517"/>
      <c r="F731" s="517"/>
      <c r="G731" s="517"/>
      <c r="H731" s="639"/>
      <c r="I731" s="639"/>
      <c r="J731" s="336"/>
      <c r="K731" s="2056"/>
      <c r="L731" s="337"/>
      <c r="N731" s="2057"/>
      <c r="O731" s="337"/>
      <c r="P731" s="337"/>
      <c r="Q731" s="337"/>
      <c r="R731" s="337"/>
      <c r="S731" s="337"/>
      <c r="T731" s="337"/>
      <c r="U731" s="497"/>
      <c r="V731" s="497"/>
      <c r="W731" s="497"/>
      <c r="X731" s="497"/>
      <c r="Y731" s="497"/>
      <c r="Z731" s="497"/>
      <c r="AA731" s="497"/>
      <c r="AB731" s="497"/>
      <c r="AC731" s="497"/>
      <c r="AD731" s="497"/>
      <c r="AE731" s="497"/>
      <c r="AF731" s="497"/>
      <c r="AG731" s="497"/>
      <c r="AH731" s="497"/>
      <c r="AI731" s="497"/>
      <c r="AJ731" s="497"/>
      <c r="AK731" s="497"/>
      <c r="AL731" s="497"/>
      <c r="AM731" s="497"/>
      <c r="AN731" s="497"/>
      <c r="AO731" s="497"/>
      <c r="AP731" s="497"/>
      <c r="AQ731" s="497"/>
      <c r="AR731" s="497"/>
      <c r="AS731" s="497"/>
      <c r="AT731" s="497"/>
      <c r="AU731" s="497"/>
      <c r="AV731" s="497"/>
      <c r="AW731" s="497"/>
      <c r="AX731" s="497"/>
      <c r="AY731" s="497"/>
      <c r="AZ731" s="497"/>
      <c r="BA731" s="497"/>
      <c r="BB731" s="497"/>
      <c r="BC731" s="497"/>
      <c r="BD731" s="497"/>
      <c r="BE731" s="497"/>
      <c r="BF731" s="497"/>
      <c r="BG731" s="497"/>
      <c r="BH731" s="497"/>
      <c r="BI731" s="497"/>
      <c r="BJ731" s="497"/>
      <c r="BK731" s="497"/>
      <c r="BL731" s="497"/>
      <c r="BM731" s="497"/>
      <c r="BN731" s="497"/>
      <c r="BO731" s="497"/>
      <c r="BP731" s="497"/>
      <c r="BQ731" s="497"/>
      <c r="BR731" s="497"/>
      <c r="BS731" s="497"/>
      <c r="BT731" s="497"/>
      <c r="BU731" s="497"/>
      <c r="BV731" s="497"/>
      <c r="BW731" s="497"/>
      <c r="BX731" s="497"/>
      <c r="BY731" s="497"/>
      <c r="BZ731" s="497"/>
      <c r="CA731" s="497"/>
      <c r="CB731" s="497"/>
      <c r="CC731" s="497"/>
      <c r="CD731" s="497"/>
      <c r="CE731" s="497"/>
      <c r="CF731" s="497"/>
      <c r="CG731" s="497"/>
      <c r="CH731" s="497"/>
    </row>
    <row r="732" spans="1:86" s="335" customFormat="1">
      <c r="A732" s="517"/>
      <c r="B732" s="517"/>
      <c r="C732" s="517"/>
      <c r="D732" s="517"/>
      <c r="E732" s="517"/>
      <c r="F732" s="517"/>
      <c r="G732" s="517"/>
      <c r="H732" s="639"/>
      <c r="I732" s="639"/>
      <c r="J732" s="336"/>
      <c r="K732" s="2056"/>
      <c r="L732" s="337"/>
      <c r="N732" s="2057"/>
      <c r="O732" s="337"/>
      <c r="P732" s="337"/>
      <c r="Q732" s="337"/>
      <c r="R732" s="337"/>
      <c r="S732" s="337"/>
      <c r="T732" s="337"/>
      <c r="U732" s="497"/>
      <c r="V732" s="497"/>
      <c r="W732" s="497"/>
      <c r="X732" s="497"/>
      <c r="Y732" s="497"/>
      <c r="Z732" s="497"/>
      <c r="AA732" s="497"/>
      <c r="AB732" s="497"/>
      <c r="AC732" s="497"/>
      <c r="AD732" s="497"/>
      <c r="AE732" s="497"/>
      <c r="AF732" s="497"/>
      <c r="AG732" s="497"/>
      <c r="AH732" s="497"/>
      <c r="AI732" s="497"/>
      <c r="AJ732" s="497"/>
      <c r="AK732" s="497"/>
      <c r="AL732" s="497"/>
      <c r="AM732" s="497"/>
      <c r="AN732" s="497"/>
      <c r="AO732" s="497"/>
      <c r="AP732" s="497"/>
      <c r="AQ732" s="497"/>
      <c r="AR732" s="497"/>
      <c r="AS732" s="497"/>
      <c r="AT732" s="497"/>
      <c r="AU732" s="497"/>
      <c r="AV732" s="497"/>
      <c r="AW732" s="497"/>
      <c r="AX732" s="497"/>
      <c r="AY732" s="497"/>
      <c r="AZ732" s="497"/>
      <c r="BA732" s="497"/>
      <c r="BB732" s="497"/>
      <c r="BC732" s="497"/>
      <c r="BD732" s="497"/>
      <c r="BE732" s="497"/>
      <c r="BF732" s="497"/>
      <c r="BG732" s="497"/>
      <c r="BH732" s="497"/>
      <c r="BI732" s="497"/>
      <c r="BJ732" s="497"/>
      <c r="BK732" s="497"/>
      <c r="BL732" s="497"/>
      <c r="BM732" s="497"/>
      <c r="BN732" s="497"/>
      <c r="BO732" s="497"/>
      <c r="BP732" s="497"/>
      <c r="BQ732" s="497"/>
      <c r="BR732" s="497"/>
      <c r="BS732" s="497"/>
      <c r="BT732" s="497"/>
      <c r="BU732" s="497"/>
      <c r="BV732" s="497"/>
      <c r="BW732" s="497"/>
      <c r="BX732" s="497"/>
      <c r="BY732" s="497"/>
      <c r="BZ732" s="497"/>
      <c r="CA732" s="497"/>
      <c r="CB732" s="497"/>
      <c r="CC732" s="497"/>
      <c r="CD732" s="497"/>
      <c r="CE732" s="497"/>
      <c r="CF732" s="497"/>
      <c r="CG732" s="497"/>
      <c r="CH732" s="497"/>
    </row>
    <row r="733" spans="1:86" s="335" customFormat="1">
      <c r="A733" s="517"/>
      <c r="B733" s="517"/>
      <c r="C733" s="517"/>
      <c r="D733" s="517"/>
      <c r="E733" s="517"/>
      <c r="F733" s="517"/>
      <c r="G733" s="517"/>
      <c r="H733" s="639"/>
      <c r="I733" s="639"/>
      <c r="J733" s="336"/>
      <c r="K733" s="2056"/>
      <c r="L733" s="337"/>
      <c r="N733" s="2057"/>
      <c r="O733" s="337"/>
      <c r="P733" s="337"/>
      <c r="Q733" s="337"/>
      <c r="R733" s="337"/>
      <c r="S733" s="337"/>
      <c r="T733" s="337"/>
      <c r="U733" s="497"/>
      <c r="V733" s="497"/>
      <c r="W733" s="497"/>
      <c r="X733" s="497"/>
      <c r="Y733" s="497"/>
      <c r="Z733" s="497"/>
      <c r="AA733" s="497"/>
      <c r="AB733" s="497"/>
      <c r="AC733" s="497"/>
      <c r="AD733" s="497"/>
      <c r="AE733" s="497"/>
      <c r="AF733" s="497"/>
      <c r="AG733" s="497"/>
      <c r="AH733" s="497"/>
      <c r="AI733" s="497"/>
      <c r="AJ733" s="497"/>
      <c r="AK733" s="497"/>
      <c r="AL733" s="497"/>
      <c r="AM733" s="497"/>
      <c r="AN733" s="497"/>
      <c r="AO733" s="497"/>
      <c r="AP733" s="497"/>
      <c r="AQ733" s="497"/>
      <c r="AR733" s="497"/>
      <c r="AS733" s="497"/>
      <c r="AT733" s="497"/>
      <c r="AU733" s="497"/>
      <c r="AV733" s="497"/>
      <c r="AW733" s="497"/>
      <c r="AX733" s="497"/>
      <c r="AY733" s="497"/>
      <c r="AZ733" s="497"/>
      <c r="BA733" s="497"/>
      <c r="BB733" s="497"/>
      <c r="BC733" s="497"/>
      <c r="BD733" s="497"/>
      <c r="BE733" s="497"/>
      <c r="BF733" s="497"/>
      <c r="BG733" s="497"/>
      <c r="BH733" s="497"/>
      <c r="BI733" s="497"/>
      <c r="BJ733" s="497"/>
      <c r="BK733" s="497"/>
      <c r="BL733" s="497"/>
      <c r="BM733" s="497"/>
      <c r="BN733" s="497"/>
      <c r="BO733" s="497"/>
      <c r="BP733" s="497"/>
      <c r="BQ733" s="497"/>
      <c r="BR733" s="497"/>
      <c r="BS733" s="497"/>
      <c r="BT733" s="497"/>
      <c r="BU733" s="497"/>
      <c r="BV733" s="497"/>
      <c r="BW733" s="497"/>
      <c r="BX733" s="497"/>
      <c r="BY733" s="497"/>
      <c r="BZ733" s="497"/>
      <c r="CA733" s="497"/>
      <c r="CB733" s="497"/>
      <c r="CC733" s="497"/>
      <c r="CD733" s="497"/>
      <c r="CE733" s="497"/>
      <c r="CF733" s="497"/>
      <c r="CG733" s="497"/>
      <c r="CH733" s="497"/>
    </row>
    <row r="734" spans="1:86" s="335" customFormat="1">
      <c r="A734" s="517"/>
      <c r="B734" s="517"/>
      <c r="C734" s="517"/>
      <c r="D734" s="517"/>
      <c r="E734" s="517"/>
      <c r="F734" s="517"/>
      <c r="G734" s="517"/>
      <c r="H734" s="639"/>
      <c r="I734" s="639"/>
      <c r="J734" s="336"/>
      <c r="K734" s="2056"/>
      <c r="L734" s="337"/>
      <c r="N734" s="2057"/>
      <c r="O734" s="337"/>
      <c r="P734" s="337"/>
      <c r="Q734" s="337"/>
      <c r="R734" s="337"/>
      <c r="S734" s="337"/>
      <c r="T734" s="337"/>
      <c r="U734" s="497"/>
      <c r="V734" s="497"/>
      <c r="W734" s="497"/>
      <c r="X734" s="497"/>
      <c r="Y734" s="497"/>
      <c r="Z734" s="497"/>
      <c r="AA734" s="497"/>
      <c r="AB734" s="497"/>
      <c r="AC734" s="497"/>
      <c r="AD734" s="497"/>
      <c r="AE734" s="497"/>
      <c r="AF734" s="497"/>
      <c r="AG734" s="497"/>
      <c r="AH734" s="497"/>
      <c r="AI734" s="497"/>
      <c r="AJ734" s="497"/>
      <c r="AK734" s="497"/>
      <c r="AL734" s="497"/>
      <c r="AM734" s="497"/>
      <c r="AN734" s="497"/>
      <c r="AO734" s="497"/>
      <c r="AP734" s="497"/>
      <c r="AQ734" s="497"/>
      <c r="AR734" s="497"/>
      <c r="AS734" s="497"/>
      <c r="AT734" s="497"/>
      <c r="AU734" s="497"/>
      <c r="AV734" s="497"/>
      <c r="AW734" s="497"/>
      <c r="AX734" s="497"/>
      <c r="AY734" s="497"/>
      <c r="AZ734" s="497"/>
      <c r="BA734" s="497"/>
      <c r="BB734" s="497"/>
      <c r="BC734" s="497"/>
      <c r="BD734" s="497"/>
      <c r="BE734" s="497"/>
      <c r="BF734" s="497"/>
      <c r="BG734" s="497"/>
      <c r="BH734" s="497"/>
      <c r="BI734" s="497"/>
      <c r="BJ734" s="497"/>
      <c r="BK734" s="497"/>
      <c r="BL734" s="497"/>
      <c r="BM734" s="497"/>
      <c r="BN734" s="497"/>
      <c r="BO734" s="497"/>
      <c r="BP734" s="497"/>
      <c r="BQ734" s="497"/>
      <c r="BR734" s="497"/>
      <c r="BS734" s="497"/>
      <c r="BT734" s="497"/>
      <c r="BU734" s="497"/>
      <c r="BV734" s="497"/>
      <c r="BW734" s="497"/>
      <c r="BX734" s="497"/>
      <c r="BY734" s="497"/>
      <c r="BZ734" s="497"/>
      <c r="CA734" s="497"/>
      <c r="CB734" s="497"/>
      <c r="CC734" s="497"/>
      <c r="CD734" s="497"/>
      <c r="CE734" s="497"/>
      <c r="CF734" s="497"/>
      <c r="CG734" s="497"/>
      <c r="CH734" s="497"/>
    </row>
    <row r="735" spans="1:86" s="335" customFormat="1">
      <c r="A735" s="517"/>
      <c r="B735" s="517"/>
      <c r="C735" s="517"/>
      <c r="D735" s="517"/>
      <c r="E735" s="517"/>
      <c r="F735" s="517"/>
      <c r="G735" s="517"/>
      <c r="H735" s="639"/>
      <c r="I735" s="639"/>
      <c r="J735" s="336"/>
      <c r="K735" s="2056"/>
      <c r="L735" s="337"/>
      <c r="N735" s="2057"/>
      <c r="O735" s="337"/>
      <c r="P735" s="337"/>
      <c r="Q735" s="337"/>
      <c r="R735" s="337"/>
      <c r="S735" s="337"/>
      <c r="T735" s="337"/>
      <c r="U735" s="497"/>
      <c r="V735" s="497"/>
      <c r="W735" s="497"/>
      <c r="X735" s="497"/>
      <c r="Y735" s="497"/>
      <c r="Z735" s="497"/>
      <c r="AA735" s="497"/>
      <c r="AB735" s="497"/>
      <c r="AC735" s="497"/>
      <c r="AD735" s="497"/>
      <c r="AE735" s="497"/>
      <c r="AF735" s="497"/>
      <c r="AG735" s="497"/>
      <c r="AH735" s="497"/>
      <c r="AI735" s="497"/>
      <c r="AJ735" s="497"/>
      <c r="AK735" s="497"/>
      <c r="AL735" s="497"/>
      <c r="AM735" s="497"/>
      <c r="AN735" s="497"/>
      <c r="AO735" s="497"/>
      <c r="AP735" s="497"/>
      <c r="AQ735" s="497"/>
      <c r="AR735" s="497"/>
      <c r="AS735" s="497"/>
      <c r="AT735" s="497"/>
      <c r="AU735" s="497"/>
      <c r="AV735" s="497"/>
      <c r="AW735" s="497"/>
      <c r="AX735" s="497"/>
      <c r="AY735" s="497"/>
      <c r="AZ735" s="497"/>
      <c r="BA735" s="497"/>
      <c r="BB735" s="497"/>
      <c r="BC735" s="497"/>
      <c r="BD735" s="497"/>
      <c r="BE735" s="497"/>
      <c r="BF735" s="497"/>
      <c r="BG735" s="497"/>
      <c r="BH735" s="497"/>
      <c r="BI735" s="497"/>
      <c r="BJ735" s="497"/>
      <c r="BK735" s="497"/>
      <c r="BL735" s="497"/>
      <c r="BM735" s="497"/>
      <c r="BN735" s="497"/>
      <c r="BO735" s="497"/>
      <c r="BP735" s="497"/>
      <c r="BQ735" s="497"/>
      <c r="BR735" s="497"/>
      <c r="BS735" s="497"/>
      <c r="BT735" s="497"/>
      <c r="BU735" s="497"/>
      <c r="BV735" s="497"/>
      <c r="BW735" s="497"/>
      <c r="BX735" s="497"/>
      <c r="BY735" s="497"/>
      <c r="BZ735" s="497"/>
      <c r="CA735" s="497"/>
      <c r="CB735" s="497"/>
      <c r="CC735" s="497"/>
      <c r="CD735" s="497"/>
      <c r="CE735" s="497"/>
      <c r="CF735" s="497"/>
      <c r="CG735" s="497"/>
      <c r="CH735" s="497"/>
    </row>
    <row r="736" spans="1:86" s="335" customFormat="1">
      <c r="A736" s="517"/>
      <c r="B736" s="517"/>
      <c r="C736" s="517"/>
      <c r="D736" s="517"/>
      <c r="E736" s="517"/>
      <c r="F736" s="517"/>
      <c r="G736" s="517"/>
      <c r="H736" s="639"/>
      <c r="I736" s="639"/>
      <c r="J736" s="336"/>
      <c r="K736" s="2056"/>
      <c r="L736" s="337"/>
      <c r="N736" s="2057"/>
      <c r="O736" s="337"/>
      <c r="P736" s="337"/>
      <c r="Q736" s="337"/>
      <c r="R736" s="337"/>
      <c r="S736" s="337"/>
      <c r="T736" s="337"/>
      <c r="U736" s="497"/>
      <c r="V736" s="497"/>
      <c r="W736" s="497"/>
      <c r="X736" s="497"/>
      <c r="Y736" s="497"/>
      <c r="Z736" s="497"/>
      <c r="AA736" s="497"/>
      <c r="AB736" s="497"/>
      <c r="AC736" s="497"/>
      <c r="AD736" s="497"/>
      <c r="AE736" s="497"/>
      <c r="AF736" s="497"/>
      <c r="AG736" s="497"/>
      <c r="AH736" s="497"/>
      <c r="AI736" s="497"/>
      <c r="AJ736" s="497"/>
      <c r="AK736" s="497"/>
      <c r="AL736" s="497"/>
      <c r="AM736" s="497"/>
      <c r="AN736" s="497"/>
      <c r="AO736" s="497"/>
      <c r="AP736" s="497"/>
      <c r="AQ736" s="497"/>
      <c r="AR736" s="497"/>
      <c r="AS736" s="497"/>
      <c r="AT736" s="497"/>
      <c r="AU736" s="497"/>
      <c r="AV736" s="497"/>
      <c r="AW736" s="497"/>
      <c r="AX736" s="497"/>
      <c r="AY736" s="497"/>
      <c r="AZ736" s="497"/>
      <c r="BA736" s="497"/>
      <c r="BB736" s="497"/>
      <c r="BC736" s="497"/>
      <c r="BD736" s="497"/>
      <c r="BE736" s="497"/>
      <c r="BF736" s="497"/>
      <c r="BG736" s="497"/>
      <c r="BH736" s="497"/>
      <c r="BI736" s="497"/>
      <c r="BJ736" s="497"/>
      <c r="BK736" s="497"/>
      <c r="BL736" s="497"/>
      <c r="BM736" s="497"/>
      <c r="BN736" s="497"/>
      <c r="BO736" s="497"/>
      <c r="BP736" s="497"/>
      <c r="BQ736" s="497"/>
      <c r="BR736" s="497"/>
      <c r="BS736" s="497"/>
      <c r="BT736" s="497"/>
      <c r="BU736" s="497"/>
      <c r="BV736" s="497"/>
      <c r="BW736" s="497"/>
      <c r="BX736" s="497"/>
      <c r="BY736" s="497"/>
      <c r="BZ736" s="497"/>
      <c r="CA736" s="497"/>
      <c r="CB736" s="497"/>
      <c r="CC736" s="497"/>
      <c r="CD736" s="497"/>
      <c r="CE736" s="497"/>
      <c r="CF736" s="497"/>
      <c r="CG736" s="497"/>
      <c r="CH736" s="497"/>
    </row>
    <row r="737" spans="1:86" s="335" customFormat="1">
      <c r="A737" s="517"/>
      <c r="B737" s="517"/>
      <c r="C737" s="517"/>
      <c r="D737" s="517"/>
      <c r="E737" s="517"/>
      <c r="F737" s="517"/>
      <c r="G737" s="517"/>
      <c r="H737" s="639"/>
      <c r="I737" s="639"/>
      <c r="J737" s="336"/>
      <c r="K737" s="2056"/>
      <c r="L737" s="337"/>
      <c r="N737" s="2057"/>
      <c r="O737" s="337"/>
      <c r="P737" s="337"/>
      <c r="Q737" s="337"/>
      <c r="R737" s="337"/>
      <c r="S737" s="337"/>
      <c r="T737" s="337"/>
      <c r="U737" s="497"/>
      <c r="V737" s="497"/>
      <c r="W737" s="497"/>
      <c r="X737" s="497"/>
      <c r="Y737" s="497"/>
      <c r="Z737" s="497"/>
      <c r="AA737" s="497"/>
      <c r="AB737" s="497"/>
      <c r="AC737" s="497"/>
      <c r="AD737" s="497"/>
      <c r="AE737" s="497"/>
      <c r="AF737" s="497"/>
      <c r="AG737" s="497"/>
      <c r="AH737" s="497"/>
      <c r="AI737" s="497"/>
      <c r="AJ737" s="497"/>
      <c r="AK737" s="497"/>
      <c r="AL737" s="497"/>
      <c r="AM737" s="497"/>
      <c r="AN737" s="497"/>
      <c r="AO737" s="497"/>
      <c r="AP737" s="497"/>
      <c r="AQ737" s="497"/>
      <c r="AR737" s="497"/>
      <c r="AS737" s="497"/>
      <c r="AT737" s="497"/>
      <c r="AU737" s="497"/>
      <c r="AV737" s="497"/>
      <c r="AW737" s="497"/>
      <c r="AX737" s="497"/>
      <c r="AY737" s="497"/>
      <c r="AZ737" s="497"/>
      <c r="BA737" s="497"/>
      <c r="BB737" s="497"/>
      <c r="BC737" s="497"/>
      <c r="BD737" s="497"/>
      <c r="BE737" s="497"/>
      <c r="BF737" s="497"/>
      <c r="BG737" s="497"/>
      <c r="BH737" s="497"/>
      <c r="BI737" s="497"/>
      <c r="BJ737" s="497"/>
      <c r="BK737" s="497"/>
      <c r="BL737" s="497"/>
      <c r="BM737" s="497"/>
      <c r="BN737" s="497"/>
      <c r="BO737" s="497"/>
      <c r="BP737" s="497"/>
      <c r="BQ737" s="497"/>
      <c r="BR737" s="497"/>
      <c r="BS737" s="497"/>
      <c r="BT737" s="497"/>
      <c r="BU737" s="497"/>
      <c r="BV737" s="497"/>
      <c r="BW737" s="497"/>
      <c r="BX737" s="497"/>
      <c r="BY737" s="497"/>
      <c r="BZ737" s="497"/>
      <c r="CA737" s="497"/>
      <c r="CB737" s="497"/>
      <c r="CC737" s="497"/>
      <c r="CD737" s="497"/>
      <c r="CE737" s="497"/>
      <c r="CF737" s="497"/>
      <c r="CG737" s="497"/>
      <c r="CH737" s="497"/>
    </row>
    <row r="738" spans="1:86" s="335" customFormat="1">
      <c r="A738" s="517"/>
      <c r="B738" s="517"/>
      <c r="C738" s="517"/>
      <c r="D738" s="517"/>
      <c r="E738" s="517"/>
      <c r="F738" s="517"/>
      <c r="G738" s="517"/>
      <c r="H738" s="639"/>
      <c r="I738" s="639"/>
      <c r="J738" s="336"/>
      <c r="K738" s="2056"/>
      <c r="L738" s="337"/>
      <c r="N738" s="2057"/>
      <c r="O738" s="337"/>
      <c r="P738" s="337"/>
      <c r="Q738" s="337"/>
      <c r="R738" s="337"/>
      <c r="S738" s="337"/>
      <c r="T738" s="337"/>
      <c r="U738" s="497"/>
      <c r="V738" s="497"/>
      <c r="W738" s="497"/>
      <c r="X738" s="497"/>
      <c r="Y738" s="497"/>
      <c r="Z738" s="497"/>
      <c r="AA738" s="497"/>
      <c r="AB738" s="497"/>
      <c r="AC738" s="497"/>
      <c r="AD738" s="497"/>
      <c r="AE738" s="497"/>
      <c r="AF738" s="497"/>
      <c r="AG738" s="497"/>
      <c r="AH738" s="497"/>
      <c r="AI738" s="497"/>
      <c r="AJ738" s="497"/>
      <c r="AK738" s="497"/>
      <c r="AL738" s="497"/>
      <c r="AM738" s="497"/>
      <c r="AN738" s="497"/>
      <c r="AO738" s="497"/>
      <c r="AP738" s="497"/>
      <c r="AQ738" s="497"/>
      <c r="AR738" s="497"/>
      <c r="AS738" s="497"/>
      <c r="AT738" s="497"/>
      <c r="AU738" s="497"/>
      <c r="AV738" s="497"/>
      <c r="AW738" s="497"/>
      <c r="AX738" s="497"/>
      <c r="AY738" s="497"/>
      <c r="AZ738" s="497"/>
      <c r="BA738" s="497"/>
      <c r="BB738" s="497"/>
      <c r="BC738" s="497"/>
      <c r="BD738" s="497"/>
      <c r="BE738" s="497"/>
      <c r="BF738" s="497"/>
      <c r="BG738" s="497"/>
      <c r="BH738" s="497"/>
      <c r="BI738" s="497"/>
      <c r="BJ738" s="497"/>
      <c r="BK738" s="497"/>
      <c r="BL738" s="497"/>
      <c r="BM738" s="497"/>
      <c r="BN738" s="497"/>
      <c r="BO738" s="497"/>
      <c r="BP738" s="497"/>
      <c r="BQ738" s="497"/>
      <c r="BR738" s="497"/>
      <c r="BS738" s="497"/>
      <c r="BT738" s="497"/>
      <c r="BU738" s="497"/>
      <c r="BV738" s="497"/>
      <c r="BW738" s="497"/>
      <c r="BX738" s="497"/>
      <c r="BY738" s="497"/>
      <c r="BZ738" s="497"/>
      <c r="CA738" s="497"/>
      <c r="CB738" s="497"/>
      <c r="CC738" s="497"/>
      <c r="CD738" s="497"/>
      <c r="CE738" s="497"/>
      <c r="CF738" s="497"/>
      <c r="CG738" s="497"/>
      <c r="CH738" s="497"/>
    </row>
    <row r="739" spans="1:86" s="335" customFormat="1">
      <c r="A739" s="517"/>
      <c r="B739" s="517"/>
      <c r="C739" s="517"/>
      <c r="D739" s="517"/>
      <c r="E739" s="517"/>
      <c r="F739" s="517"/>
      <c r="G739" s="517"/>
      <c r="H739" s="639"/>
      <c r="I739" s="639"/>
      <c r="J739" s="336"/>
      <c r="K739" s="2056"/>
      <c r="L739" s="337"/>
      <c r="N739" s="2057"/>
      <c r="O739" s="337"/>
      <c r="P739" s="337"/>
      <c r="Q739" s="337"/>
      <c r="R739" s="337"/>
      <c r="S739" s="337"/>
      <c r="T739" s="337"/>
      <c r="U739" s="497"/>
      <c r="V739" s="497"/>
      <c r="W739" s="497"/>
      <c r="X739" s="497"/>
      <c r="Y739" s="497"/>
      <c r="Z739" s="497"/>
      <c r="AA739" s="497"/>
      <c r="AB739" s="497"/>
      <c r="AC739" s="497"/>
      <c r="AD739" s="497"/>
      <c r="AE739" s="497"/>
      <c r="AF739" s="497"/>
      <c r="AG739" s="497"/>
      <c r="AH739" s="497"/>
      <c r="AI739" s="497"/>
      <c r="AJ739" s="497"/>
      <c r="AK739" s="497"/>
      <c r="AL739" s="497"/>
      <c r="AM739" s="497"/>
      <c r="AN739" s="497"/>
      <c r="AO739" s="497"/>
      <c r="AP739" s="497"/>
      <c r="AQ739" s="497"/>
      <c r="AR739" s="497"/>
      <c r="AS739" s="497"/>
      <c r="AT739" s="497"/>
      <c r="AU739" s="497"/>
      <c r="AV739" s="497"/>
      <c r="AW739" s="497"/>
      <c r="AX739" s="497"/>
      <c r="AY739" s="497"/>
      <c r="AZ739" s="497"/>
      <c r="BA739" s="497"/>
      <c r="BB739" s="497"/>
      <c r="BC739" s="497"/>
      <c r="BD739" s="497"/>
      <c r="BE739" s="497"/>
      <c r="BF739" s="497"/>
      <c r="BG739" s="497"/>
      <c r="BH739" s="497"/>
      <c r="BI739" s="497"/>
      <c r="BJ739" s="497"/>
      <c r="BK739" s="497"/>
      <c r="BL739" s="497"/>
      <c r="BM739" s="497"/>
      <c r="BN739" s="497"/>
      <c r="BO739" s="497"/>
      <c r="BP739" s="497"/>
      <c r="BQ739" s="497"/>
      <c r="BR739" s="497"/>
      <c r="BS739" s="497"/>
      <c r="BT739" s="497"/>
      <c r="BU739" s="497"/>
      <c r="BV739" s="497"/>
      <c r="BW739" s="497"/>
      <c r="BX739" s="497"/>
      <c r="BY739" s="497"/>
      <c r="BZ739" s="497"/>
      <c r="CA739" s="497"/>
      <c r="CB739" s="497"/>
      <c r="CC739" s="497"/>
      <c r="CD739" s="497"/>
      <c r="CE739" s="497"/>
      <c r="CF739" s="497"/>
      <c r="CG739" s="497"/>
      <c r="CH739" s="497"/>
    </row>
    <row r="740" spans="1:86" s="335" customFormat="1">
      <c r="A740" s="517"/>
      <c r="B740" s="517"/>
      <c r="C740" s="517"/>
      <c r="D740" s="517"/>
      <c r="E740" s="517"/>
      <c r="F740" s="517"/>
      <c r="G740" s="517"/>
      <c r="H740" s="639"/>
      <c r="I740" s="639"/>
      <c r="J740" s="336"/>
      <c r="K740" s="2056"/>
      <c r="L740" s="337"/>
      <c r="N740" s="2057"/>
      <c r="O740" s="337"/>
      <c r="P740" s="337"/>
      <c r="Q740" s="337"/>
      <c r="R740" s="337"/>
      <c r="S740" s="337"/>
      <c r="T740" s="337"/>
      <c r="U740" s="497"/>
      <c r="V740" s="497"/>
      <c r="W740" s="497"/>
      <c r="X740" s="497"/>
      <c r="Y740" s="497"/>
      <c r="Z740" s="497"/>
      <c r="AA740" s="497"/>
      <c r="AB740" s="497"/>
      <c r="AC740" s="497"/>
      <c r="AD740" s="497"/>
      <c r="AE740" s="497"/>
      <c r="AF740" s="497"/>
      <c r="AG740" s="497"/>
      <c r="AH740" s="497"/>
      <c r="AI740" s="497"/>
      <c r="AJ740" s="497"/>
      <c r="AK740" s="497"/>
      <c r="AL740" s="497"/>
      <c r="AM740" s="497"/>
      <c r="AN740" s="497"/>
      <c r="AO740" s="497"/>
      <c r="AP740" s="497"/>
      <c r="AQ740" s="497"/>
      <c r="AR740" s="497"/>
      <c r="AS740" s="497"/>
      <c r="AT740" s="497"/>
      <c r="AU740" s="497"/>
      <c r="AV740" s="497"/>
      <c r="AW740" s="497"/>
      <c r="AX740" s="497"/>
      <c r="AY740" s="497"/>
      <c r="AZ740" s="497"/>
      <c r="BA740" s="497"/>
      <c r="BB740" s="497"/>
      <c r="BC740" s="497"/>
      <c r="BD740" s="497"/>
      <c r="BE740" s="497"/>
      <c r="BF740" s="497"/>
      <c r="BG740" s="497"/>
      <c r="BH740" s="497"/>
      <c r="BI740" s="497"/>
      <c r="BJ740" s="497"/>
      <c r="BK740" s="497"/>
      <c r="BL740" s="497"/>
      <c r="BM740" s="497"/>
      <c r="BN740" s="497"/>
      <c r="BO740" s="497"/>
      <c r="BP740" s="497"/>
      <c r="BQ740" s="497"/>
      <c r="BR740" s="497"/>
      <c r="BS740" s="497"/>
      <c r="BT740" s="497"/>
      <c r="BU740" s="497"/>
      <c r="BV740" s="497"/>
      <c r="BW740" s="497"/>
      <c r="BX740" s="497"/>
      <c r="BY740" s="497"/>
      <c r="BZ740" s="497"/>
      <c r="CA740" s="497"/>
      <c r="CB740" s="497"/>
      <c r="CC740" s="497"/>
      <c r="CD740" s="497"/>
      <c r="CE740" s="497"/>
      <c r="CF740" s="497"/>
      <c r="CG740" s="497"/>
      <c r="CH740" s="497"/>
    </row>
    <row r="741" spans="1:86" s="335" customFormat="1">
      <c r="A741" s="517"/>
      <c r="B741" s="517"/>
      <c r="C741" s="517"/>
      <c r="D741" s="517"/>
      <c r="E741" s="517"/>
      <c r="F741" s="517"/>
      <c r="G741" s="517"/>
      <c r="H741" s="639"/>
      <c r="I741" s="639"/>
      <c r="J741" s="336"/>
      <c r="K741" s="2056"/>
      <c r="L741" s="337"/>
      <c r="N741" s="2057"/>
      <c r="O741" s="337"/>
      <c r="P741" s="337"/>
      <c r="Q741" s="337"/>
      <c r="R741" s="337"/>
      <c r="S741" s="337"/>
      <c r="T741" s="337"/>
      <c r="U741" s="497"/>
      <c r="V741" s="497"/>
      <c r="W741" s="497"/>
      <c r="X741" s="497"/>
      <c r="Y741" s="497"/>
      <c r="Z741" s="497"/>
      <c r="AA741" s="497"/>
      <c r="AB741" s="497"/>
      <c r="AC741" s="497"/>
      <c r="AD741" s="497"/>
      <c r="AE741" s="497"/>
      <c r="AF741" s="497"/>
      <c r="AG741" s="497"/>
      <c r="AH741" s="497"/>
      <c r="AI741" s="497"/>
      <c r="AJ741" s="497"/>
      <c r="AK741" s="497"/>
      <c r="AL741" s="497"/>
      <c r="AM741" s="497"/>
      <c r="AN741" s="497"/>
      <c r="AO741" s="497"/>
      <c r="AP741" s="497"/>
      <c r="AQ741" s="497"/>
      <c r="AR741" s="497"/>
      <c r="AS741" s="497"/>
      <c r="AT741" s="497"/>
      <c r="AU741" s="497"/>
      <c r="AV741" s="497"/>
      <c r="AW741" s="497"/>
      <c r="AX741" s="497"/>
      <c r="AY741" s="497"/>
      <c r="AZ741" s="497"/>
      <c r="BA741" s="497"/>
      <c r="BB741" s="497"/>
      <c r="BC741" s="497"/>
      <c r="BD741" s="497"/>
      <c r="BE741" s="497"/>
      <c r="BF741" s="497"/>
      <c r="BG741" s="497"/>
      <c r="BH741" s="497"/>
      <c r="BI741" s="497"/>
      <c r="BJ741" s="497"/>
      <c r="BK741" s="497"/>
      <c r="BL741" s="497"/>
      <c r="BM741" s="497"/>
      <c r="BN741" s="497"/>
      <c r="BO741" s="497"/>
      <c r="BP741" s="497"/>
      <c r="BQ741" s="497"/>
      <c r="BR741" s="497"/>
      <c r="BS741" s="497"/>
      <c r="BT741" s="497"/>
      <c r="BU741" s="497"/>
      <c r="BV741" s="497"/>
      <c r="BW741" s="497"/>
      <c r="BX741" s="497"/>
      <c r="BY741" s="497"/>
      <c r="BZ741" s="497"/>
      <c r="CA741" s="497"/>
      <c r="CB741" s="497"/>
      <c r="CC741" s="497"/>
      <c r="CD741" s="497"/>
      <c r="CE741" s="497"/>
      <c r="CF741" s="497"/>
      <c r="CG741" s="497"/>
      <c r="CH741" s="497"/>
    </row>
    <row r="742" spans="1:86" s="335" customFormat="1">
      <c r="A742" s="517"/>
      <c r="B742" s="517"/>
      <c r="C742" s="517"/>
      <c r="D742" s="517"/>
      <c r="E742" s="517"/>
      <c r="F742" s="517"/>
      <c r="G742" s="517"/>
      <c r="H742" s="639"/>
      <c r="I742" s="639"/>
      <c r="J742" s="336"/>
      <c r="K742" s="2056"/>
      <c r="L742" s="337"/>
      <c r="N742" s="2057"/>
      <c r="O742" s="337"/>
      <c r="P742" s="337"/>
      <c r="Q742" s="337"/>
      <c r="R742" s="337"/>
      <c r="S742" s="337"/>
      <c r="T742" s="337"/>
      <c r="U742" s="497"/>
      <c r="V742" s="497"/>
      <c r="W742" s="497"/>
      <c r="X742" s="497"/>
      <c r="Y742" s="497"/>
      <c r="Z742" s="497"/>
      <c r="AA742" s="497"/>
      <c r="AB742" s="497"/>
      <c r="AC742" s="497"/>
      <c r="AD742" s="497"/>
      <c r="AE742" s="497"/>
      <c r="AF742" s="497"/>
      <c r="AG742" s="497"/>
      <c r="AH742" s="497"/>
      <c r="AI742" s="497"/>
      <c r="AJ742" s="497"/>
      <c r="AK742" s="497"/>
      <c r="AL742" s="497"/>
      <c r="AM742" s="497"/>
      <c r="AN742" s="497"/>
      <c r="AO742" s="497"/>
      <c r="AP742" s="497"/>
      <c r="AQ742" s="497"/>
      <c r="AR742" s="497"/>
      <c r="AS742" s="497"/>
      <c r="AT742" s="497"/>
      <c r="AU742" s="497"/>
      <c r="AV742" s="497"/>
      <c r="AW742" s="497"/>
      <c r="AX742" s="497"/>
      <c r="AY742" s="497"/>
      <c r="AZ742" s="497"/>
      <c r="BA742" s="497"/>
      <c r="BB742" s="497"/>
      <c r="BC742" s="497"/>
      <c r="BD742" s="497"/>
      <c r="BE742" s="497"/>
      <c r="BF742" s="497"/>
      <c r="BG742" s="497"/>
      <c r="BH742" s="497"/>
      <c r="BI742" s="497"/>
      <c r="BJ742" s="497"/>
      <c r="BK742" s="497"/>
      <c r="BL742" s="497"/>
      <c r="BM742" s="497"/>
      <c r="BN742" s="497"/>
      <c r="BO742" s="497"/>
      <c r="BP742" s="497"/>
      <c r="BQ742" s="497"/>
      <c r="BR742" s="497"/>
      <c r="BS742" s="497"/>
      <c r="BT742" s="497"/>
      <c r="BU742" s="497"/>
      <c r="BV742" s="497"/>
      <c r="BW742" s="497"/>
      <c r="BX742" s="497"/>
      <c r="BY742" s="497"/>
      <c r="BZ742" s="497"/>
      <c r="CA742" s="497"/>
      <c r="CB742" s="497"/>
      <c r="CC742" s="497"/>
      <c r="CD742" s="497"/>
      <c r="CE742" s="497"/>
      <c r="CF742" s="497"/>
      <c r="CG742" s="497"/>
      <c r="CH742" s="497"/>
    </row>
    <row r="743" spans="1:86" s="335" customFormat="1">
      <c r="A743" s="517"/>
      <c r="B743" s="517"/>
      <c r="C743" s="517"/>
      <c r="D743" s="517"/>
      <c r="E743" s="517"/>
      <c r="F743" s="517"/>
      <c r="G743" s="517"/>
      <c r="H743" s="639"/>
      <c r="I743" s="639"/>
      <c r="J743" s="336"/>
      <c r="K743" s="2056"/>
      <c r="L743" s="337"/>
      <c r="N743" s="2057"/>
      <c r="O743" s="337"/>
      <c r="P743" s="337"/>
      <c r="Q743" s="337"/>
      <c r="R743" s="337"/>
      <c r="S743" s="337"/>
      <c r="T743" s="337"/>
      <c r="U743" s="497"/>
      <c r="V743" s="497"/>
      <c r="W743" s="497"/>
      <c r="X743" s="497"/>
      <c r="Y743" s="497"/>
      <c r="Z743" s="497"/>
      <c r="AA743" s="497"/>
      <c r="AB743" s="497"/>
      <c r="AC743" s="497"/>
      <c r="AD743" s="497"/>
      <c r="AE743" s="497"/>
      <c r="AF743" s="497"/>
      <c r="AG743" s="497"/>
      <c r="AH743" s="497"/>
      <c r="AI743" s="497"/>
      <c r="AJ743" s="497"/>
      <c r="AK743" s="497"/>
      <c r="AL743" s="497"/>
      <c r="AM743" s="497"/>
      <c r="AN743" s="497"/>
      <c r="AO743" s="497"/>
      <c r="AP743" s="497"/>
      <c r="AQ743" s="497"/>
      <c r="AR743" s="497"/>
      <c r="AS743" s="497"/>
      <c r="AT743" s="497"/>
      <c r="AU743" s="497"/>
      <c r="AV743" s="497"/>
      <c r="AW743" s="497"/>
      <c r="AX743" s="497"/>
      <c r="AY743" s="497"/>
      <c r="AZ743" s="497"/>
      <c r="BA743" s="497"/>
      <c r="BB743" s="497"/>
      <c r="BC743" s="497"/>
      <c r="BD743" s="497"/>
      <c r="BE743" s="497"/>
      <c r="BF743" s="497"/>
      <c r="BG743" s="497"/>
      <c r="BH743" s="497"/>
      <c r="BI743" s="497"/>
      <c r="BJ743" s="497"/>
      <c r="BK743" s="497"/>
      <c r="BL743" s="497"/>
      <c r="BM743" s="497"/>
      <c r="BN743" s="497"/>
      <c r="BO743" s="497"/>
      <c r="BP743" s="497"/>
      <c r="BQ743" s="497"/>
      <c r="BR743" s="497"/>
      <c r="BS743" s="497"/>
      <c r="BT743" s="497"/>
      <c r="BU743" s="497"/>
      <c r="BV743" s="497"/>
      <c r="BW743" s="497"/>
      <c r="BX743" s="497"/>
      <c r="BY743" s="497"/>
      <c r="BZ743" s="497"/>
      <c r="CA743" s="497"/>
      <c r="CB743" s="497"/>
      <c r="CC743" s="497"/>
      <c r="CD743" s="497"/>
      <c r="CE743" s="497"/>
      <c r="CF743" s="497"/>
      <c r="CG743" s="497"/>
      <c r="CH743" s="497"/>
    </row>
    <row r="744" spans="1:86" s="335" customFormat="1">
      <c r="A744" s="517"/>
      <c r="B744" s="517"/>
      <c r="C744" s="517"/>
      <c r="D744" s="517"/>
      <c r="E744" s="517"/>
      <c r="F744" s="517"/>
      <c r="G744" s="517"/>
      <c r="H744" s="639"/>
      <c r="I744" s="639"/>
      <c r="J744" s="336"/>
      <c r="K744" s="2056"/>
      <c r="L744" s="337"/>
      <c r="N744" s="2057"/>
      <c r="O744" s="337"/>
      <c r="P744" s="337"/>
      <c r="Q744" s="337"/>
      <c r="R744" s="337"/>
      <c r="S744" s="337"/>
      <c r="T744" s="337"/>
      <c r="U744" s="497"/>
      <c r="V744" s="497"/>
      <c r="W744" s="497"/>
      <c r="X744" s="497"/>
      <c r="Y744" s="497"/>
      <c r="Z744" s="497"/>
      <c r="AA744" s="497"/>
      <c r="AB744" s="497"/>
      <c r="AC744" s="497"/>
      <c r="AD744" s="497"/>
      <c r="AE744" s="497"/>
      <c r="AF744" s="497"/>
      <c r="AG744" s="497"/>
      <c r="AH744" s="497"/>
      <c r="AI744" s="497"/>
      <c r="AJ744" s="497"/>
      <c r="AK744" s="497"/>
      <c r="AL744" s="497"/>
      <c r="AM744" s="497"/>
      <c r="AN744" s="497"/>
      <c r="AO744" s="497"/>
      <c r="AP744" s="497"/>
      <c r="AQ744" s="497"/>
      <c r="AR744" s="497"/>
      <c r="AS744" s="497"/>
      <c r="AT744" s="497"/>
      <c r="AU744" s="497"/>
      <c r="AV744" s="497"/>
      <c r="AW744" s="497"/>
      <c r="AX744" s="497"/>
      <c r="AY744" s="497"/>
      <c r="AZ744" s="497"/>
      <c r="BA744" s="497"/>
      <c r="BB744" s="497"/>
      <c r="BC744" s="497"/>
      <c r="BD744" s="497"/>
      <c r="BE744" s="497"/>
      <c r="BF744" s="497"/>
      <c r="BG744" s="497"/>
      <c r="BH744" s="497"/>
      <c r="BI744" s="497"/>
      <c r="BJ744" s="497"/>
      <c r="BK744" s="497"/>
      <c r="BL744" s="497"/>
      <c r="BM744" s="497"/>
      <c r="BN744" s="497"/>
      <c r="BO744" s="497"/>
      <c r="BP744" s="497"/>
      <c r="BQ744" s="497"/>
      <c r="BR744" s="497"/>
      <c r="BS744" s="497"/>
      <c r="BT744" s="497"/>
      <c r="BU744" s="497"/>
      <c r="BV744" s="497"/>
      <c r="BW744" s="497"/>
      <c r="BX744" s="497"/>
      <c r="BY744" s="497"/>
      <c r="BZ744" s="497"/>
      <c r="CA744" s="497"/>
      <c r="CB744" s="497"/>
      <c r="CC744" s="497"/>
      <c r="CD744" s="497"/>
      <c r="CE744" s="497"/>
      <c r="CF744" s="497"/>
      <c r="CG744" s="497"/>
      <c r="CH744" s="497"/>
    </row>
    <row r="745" spans="1:86" s="335" customFormat="1">
      <c r="A745" s="517"/>
      <c r="B745" s="517"/>
      <c r="C745" s="517"/>
      <c r="D745" s="517"/>
      <c r="E745" s="517"/>
      <c r="F745" s="517"/>
      <c r="G745" s="517"/>
      <c r="H745" s="639"/>
      <c r="I745" s="639"/>
      <c r="J745" s="336"/>
      <c r="K745" s="2056"/>
      <c r="L745" s="337"/>
      <c r="N745" s="2057"/>
      <c r="O745" s="337"/>
      <c r="P745" s="337"/>
      <c r="Q745" s="337"/>
      <c r="R745" s="337"/>
      <c r="S745" s="337"/>
      <c r="T745" s="337"/>
      <c r="U745" s="497"/>
      <c r="V745" s="497"/>
      <c r="W745" s="497"/>
      <c r="X745" s="497"/>
      <c r="Y745" s="497"/>
      <c r="Z745" s="497"/>
      <c r="AA745" s="497"/>
      <c r="AB745" s="497"/>
      <c r="AC745" s="497"/>
      <c r="AD745" s="497"/>
      <c r="AE745" s="497"/>
      <c r="AF745" s="497"/>
      <c r="AG745" s="497"/>
      <c r="AH745" s="497"/>
      <c r="AI745" s="497"/>
      <c r="AJ745" s="497"/>
      <c r="AK745" s="497"/>
      <c r="AL745" s="497"/>
      <c r="AM745" s="497"/>
      <c r="AN745" s="497"/>
      <c r="AO745" s="497"/>
      <c r="AP745" s="497"/>
      <c r="AQ745" s="497"/>
      <c r="AR745" s="497"/>
      <c r="AS745" s="497"/>
      <c r="AT745" s="497"/>
      <c r="AU745" s="497"/>
      <c r="AV745" s="497"/>
      <c r="AW745" s="497"/>
      <c r="AX745" s="497"/>
      <c r="AY745" s="497"/>
      <c r="AZ745" s="497"/>
      <c r="BA745" s="497"/>
      <c r="BB745" s="497"/>
      <c r="BC745" s="497"/>
      <c r="BD745" s="497"/>
      <c r="BE745" s="497"/>
      <c r="BF745" s="497"/>
      <c r="BG745" s="497"/>
      <c r="BH745" s="497"/>
      <c r="BI745" s="497"/>
      <c r="BJ745" s="497"/>
      <c r="BK745" s="497"/>
      <c r="BL745" s="497"/>
      <c r="BM745" s="497"/>
      <c r="BN745" s="497"/>
      <c r="BO745" s="497"/>
      <c r="BP745" s="497"/>
      <c r="BQ745" s="497"/>
      <c r="BR745" s="497"/>
      <c r="BS745" s="497"/>
      <c r="BT745" s="497"/>
      <c r="BU745" s="497"/>
      <c r="BV745" s="497"/>
      <c r="BW745" s="497"/>
      <c r="BX745" s="497"/>
      <c r="BY745" s="497"/>
      <c r="BZ745" s="497"/>
      <c r="CA745" s="497"/>
      <c r="CB745" s="497"/>
      <c r="CC745" s="497"/>
      <c r="CD745" s="497"/>
      <c r="CE745" s="497"/>
      <c r="CF745" s="497"/>
      <c r="CG745" s="497"/>
      <c r="CH745" s="497"/>
    </row>
    <row r="746" spans="1:86" s="335" customFormat="1">
      <c r="A746" s="517"/>
      <c r="B746" s="517"/>
      <c r="C746" s="517"/>
      <c r="D746" s="517"/>
      <c r="E746" s="517"/>
      <c r="F746" s="517"/>
      <c r="G746" s="517"/>
      <c r="H746" s="639"/>
      <c r="I746" s="639"/>
      <c r="J746" s="336"/>
      <c r="K746" s="2056"/>
      <c r="L746" s="337"/>
      <c r="N746" s="2057"/>
      <c r="O746" s="337"/>
      <c r="P746" s="337"/>
      <c r="Q746" s="337"/>
      <c r="R746" s="337"/>
      <c r="S746" s="337"/>
      <c r="T746" s="337"/>
      <c r="U746" s="497"/>
      <c r="V746" s="497"/>
      <c r="W746" s="497"/>
      <c r="X746" s="497"/>
      <c r="Y746" s="497"/>
      <c r="Z746" s="497"/>
      <c r="AA746" s="497"/>
      <c r="AB746" s="497"/>
      <c r="AC746" s="497"/>
      <c r="AD746" s="497"/>
      <c r="AE746" s="497"/>
      <c r="AF746" s="497"/>
      <c r="AG746" s="497"/>
      <c r="AH746" s="497"/>
      <c r="AI746" s="497"/>
      <c r="AJ746" s="497"/>
      <c r="AK746" s="497"/>
      <c r="AL746" s="497"/>
      <c r="AM746" s="497"/>
      <c r="AN746" s="497"/>
      <c r="AO746" s="497"/>
      <c r="AP746" s="497"/>
      <c r="AQ746" s="497"/>
      <c r="AR746" s="497"/>
      <c r="AS746" s="497"/>
      <c r="AT746" s="497"/>
      <c r="AU746" s="497"/>
      <c r="AV746" s="497"/>
      <c r="AW746" s="497"/>
      <c r="AX746" s="497"/>
      <c r="AY746" s="497"/>
      <c r="AZ746" s="497"/>
      <c r="BA746" s="497"/>
      <c r="BB746" s="497"/>
      <c r="BC746" s="497"/>
      <c r="BD746" s="497"/>
      <c r="BE746" s="497"/>
      <c r="BF746" s="497"/>
      <c r="BG746" s="497"/>
      <c r="BH746" s="497"/>
      <c r="BI746" s="497"/>
      <c r="BJ746" s="497"/>
      <c r="BK746" s="497"/>
      <c r="BL746" s="497"/>
      <c r="BM746" s="497"/>
      <c r="BN746" s="497"/>
      <c r="BO746" s="497"/>
      <c r="BP746" s="497"/>
      <c r="BQ746" s="497"/>
      <c r="BR746" s="497"/>
      <c r="BS746" s="497"/>
      <c r="BT746" s="497"/>
      <c r="BU746" s="497"/>
      <c r="BV746" s="497"/>
      <c r="BW746" s="497"/>
      <c r="BX746" s="497"/>
      <c r="BY746" s="497"/>
      <c r="BZ746" s="497"/>
      <c r="CA746" s="497"/>
      <c r="CB746" s="497"/>
      <c r="CC746" s="497"/>
      <c r="CD746" s="497"/>
      <c r="CE746" s="497"/>
      <c r="CF746" s="497"/>
      <c r="CG746" s="497"/>
      <c r="CH746" s="497"/>
    </row>
    <row r="747" spans="1:86" s="335" customFormat="1">
      <c r="A747" s="517"/>
      <c r="B747" s="517"/>
      <c r="C747" s="517"/>
      <c r="D747" s="517"/>
      <c r="E747" s="517"/>
      <c r="F747" s="517"/>
      <c r="G747" s="517"/>
      <c r="H747" s="639"/>
      <c r="I747" s="639"/>
      <c r="J747" s="336"/>
      <c r="K747" s="2056"/>
      <c r="L747" s="337"/>
      <c r="N747" s="2057"/>
      <c r="O747" s="337"/>
      <c r="P747" s="337"/>
      <c r="Q747" s="337"/>
      <c r="R747" s="337"/>
      <c r="S747" s="337"/>
      <c r="T747" s="337"/>
      <c r="U747" s="497"/>
      <c r="V747" s="497"/>
      <c r="W747" s="497"/>
      <c r="X747" s="497"/>
      <c r="Y747" s="497"/>
      <c r="Z747" s="497"/>
      <c r="AA747" s="497"/>
      <c r="AB747" s="497"/>
      <c r="AC747" s="497"/>
      <c r="AD747" s="497"/>
      <c r="AE747" s="497"/>
      <c r="AF747" s="497"/>
      <c r="AG747" s="497"/>
      <c r="AH747" s="497"/>
      <c r="AI747" s="497"/>
      <c r="AJ747" s="497"/>
      <c r="AK747" s="497"/>
      <c r="AL747" s="497"/>
      <c r="AM747" s="497"/>
      <c r="AN747" s="497"/>
      <c r="AO747" s="497"/>
      <c r="AP747" s="497"/>
      <c r="AQ747" s="497"/>
      <c r="AR747" s="497"/>
      <c r="AS747" s="497"/>
      <c r="AT747" s="497"/>
      <c r="AU747" s="497"/>
      <c r="AV747" s="497"/>
      <c r="AW747" s="497"/>
      <c r="AX747" s="497"/>
      <c r="AY747" s="497"/>
      <c r="AZ747" s="497"/>
      <c r="BA747" s="497"/>
      <c r="BB747" s="497"/>
      <c r="BC747" s="497"/>
      <c r="BD747" s="497"/>
      <c r="BE747" s="497"/>
      <c r="BF747" s="497"/>
      <c r="BG747" s="497"/>
      <c r="BH747" s="497"/>
      <c r="BI747" s="497"/>
      <c r="BJ747" s="497"/>
      <c r="BK747" s="497"/>
      <c r="BL747" s="497"/>
      <c r="BM747" s="497"/>
      <c r="BN747" s="497"/>
      <c r="BO747" s="497"/>
      <c r="BP747" s="497"/>
      <c r="BQ747" s="497"/>
      <c r="BR747" s="497"/>
      <c r="BS747" s="497"/>
      <c r="BT747" s="497"/>
      <c r="BU747" s="497"/>
      <c r="BV747" s="497"/>
      <c r="BW747" s="497"/>
      <c r="BX747" s="497"/>
      <c r="BY747" s="497"/>
      <c r="BZ747" s="497"/>
      <c r="CA747" s="497"/>
      <c r="CB747" s="497"/>
      <c r="CC747" s="497"/>
      <c r="CD747" s="497"/>
      <c r="CE747" s="497"/>
      <c r="CF747" s="497"/>
      <c r="CG747" s="497"/>
      <c r="CH747" s="497"/>
    </row>
    <row r="748" spans="1:86" s="335" customFormat="1">
      <c r="A748" s="517"/>
      <c r="B748" s="517"/>
      <c r="C748" s="517"/>
      <c r="D748" s="517"/>
      <c r="E748" s="517"/>
      <c r="F748" s="517"/>
      <c r="G748" s="517"/>
      <c r="H748" s="639"/>
      <c r="I748" s="639"/>
      <c r="J748" s="336"/>
      <c r="K748" s="2056"/>
      <c r="L748" s="337"/>
      <c r="N748" s="2057"/>
      <c r="O748" s="337"/>
      <c r="P748" s="337"/>
      <c r="Q748" s="337"/>
      <c r="R748" s="337"/>
      <c r="S748" s="337"/>
      <c r="T748" s="337"/>
      <c r="U748" s="497"/>
      <c r="V748" s="497"/>
      <c r="W748" s="497"/>
      <c r="X748" s="497"/>
      <c r="Y748" s="497"/>
      <c r="Z748" s="497"/>
      <c r="AA748" s="497"/>
      <c r="AB748" s="497"/>
      <c r="AC748" s="497"/>
      <c r="AD748" s="497"/>
      <c r="AE748" s="497"/>
      <c r="AF748" s="497"/>
      <c r="AG748" s="497"/>
      <c r="AH748" s="497"/>
      <c r="AI748" s="497"/>
      <c r="AJ748" s="497"/>
      <c r="AK748" s="497"/>
      <c r="AL748" s="497"/>
      <c r="AM748" s="497"/>
      <c r="AN748" s="497"/>
      <c r="AO748" s="497"/>
      <c r="AP748" s="497"/>
      <c r="AQ748" s="497"/>
      <c r="AR748" s="497"/>
      <c r="AS748" s="497"/>
      <c r="AT748" s="497"/>
      <c r="AU748" s="497"/>
      <c r="AV748" s="497"/>
      <c r="AW748" s="497"/>
      <c r="AX748" s="497"/>
      <c r="AY748" s="497"/>
      <c r="AZ748" s="497"/>
      <c r="BA748" s="497"/>
      <c r="BB748" s="497"/>
      <c r="BC748" s="497"/>
      <c r="BD748" s="497"/>
      <c r="BE748" s="497"/>
      <c r="BF748" s="497"/>
      <c r="BG748" s="497"/>
      <c r="BH748" s="497"/>
      <c r="BI748" s="497"/>
      <c r="BJ748" s="497"/>
      <c r="BK748" s="497"/>
      <c r="BL748" s="497"/>
      <c r="BM748" s="497"/>
      <c r="BN748" s="497"/>
      <c r="BO748" s="497"/>
      <c r="BP748" s="497"/>
      <c r="BQ748" s="497"/>
      <c r="BR748" s="497"/>
      <c r="BS748" s="497"/>
      <c r="BT748" s="497"/>
      <c r="BU748" s="497"/>
      <c r="BV748" s="497"/>
      <c r="BW748" s="497"/>
      <c r="BX748" s="497"/>
      <c r="BY748" s="497"/>
      <c r="BZ748" s="497"/>
      <c r="CA748" s="497"/>
      <c r="CB748" s="497"/>
      <c r="CC748" s="497"/>
      <c r="CD748" s="497"/>
      <c r="CE748" s="497"/>
      <c r="CF748" s="497"/>
      <c r="CG748" s="497"/>
      <c r="CH748" s="497"/>
    </row>
    <row r="749" spans="1:86" s="335" customFormat="1">
      <c r="A749" s="517"/>
      <c r="B749" s="517"/>
      <c r="C749" s="517"/>
      <c r="D749" s="517"/>
      <c r="E749" s="517"/>
      <c r="F749" s="517"/>
      <c r="G749" s="517"/>
      <c r="H749" s="639"/>
      <c r="I749" s="639"/>
      <c r="J749" s="336"/>
      <c r="K749" s="2056"/>
      <c r="L749" s="337"/>
      <c r="N749" s="2057"/>
      <c r="O749" s="337"/>
      <c r="P749" s="337"/>
      <c r="Q749" s="337"/>
      <c r="R749" s="337"/>
      <c r="S749" s="337"/>
      <c r="T749" s="337"/>
      <c r="U749" s="497"/>
      <c r="V749" s="497"/>
      <c r="W749" s="497"/>
      <c r="X749" s="497"/>
      <c r="Y749" s="497"/>
      <c r="Z749" s="497"/>
      <c r="AA749" s="497"/>
      <c r="AB749" s="497"/>
      <c r="AC749" s="497"/>
      <c r="AD749" s="497"/>
      <c r="AE749" s="497"/>
      <c r="AF749" s="497"/>
      <c r="AG749" s="497"/>
      <c r="AH749" s="497"/>
      <c r="AI749" s="497"/>
      <c r="AJ749" s="497"/>
      <c r="AK749" s="497"/>
      <c r="AL749" s="497"/>
      <c r="AM749" s="497"/>
      <c r="AN749" s="497"/>
      <c r="AO749" s="497"/>
      <c r="AP749" s="497"/>
      <c r="AQ749" s="497"/>
      <c r="AR749" s="497"/>
      <c r="AS749" s="497"/>
      <c r="AT749" s="497"/>
      <c r="AU749" s="497"/>
      <c r="AV749" s="497"/>
      <c r="AW749" s="497"/>
      <c r="AX749" s="497"/>
      <c r="AY749" s="497"/>
      <c r="AZ749" s="497"/>
      <c r="BA749" s="497"/>
      <c r="BB749" s="497"/>
      <c r="BC749" s="497"/>
      <c r="BD749" s="497"/>
      <c r="BE749" s="497"/>
      <c r="BF749" s="497"/>
      <c r="BG749" s="497"/>
      <c r="BH749" s="497"/>
      <c r="BI749" s="497"/>
      <c r="BJ749" s="497"/>
      <c r="BK749" s="497"/>
      <c r="BL749" s="497"/>
      <c r="BM749" s="497"/>
      <c r="BN749" s="497"/>
      <c r="BO749" s="497"/>
      <c r="BP749" s="497"/>
      <c r="BQ749" s="497"/>
      <c r="BR749" s="497"/>
      <c r="BS749" s="497"/>
      <c r="BT749" s="497"/>
      <c r="BU749" s="497"/>
      <c r="BV749" s="497"/>
      <c r="BW749" s="497"/>
      <c r="BX749" s="497"/>
      <c r="BY749" s="497"/>
      <c r="BZ749" s="497"/>
      <c r="CA749" s="497"/>
      <c r="CB749" s="497"/>
      <c r="CC749" s="497"/>
      <c r="CD749" s="497"/>
      <c r="CE749" s="497"/>
      <c r="CF749" s="497"/>
      <c r="CG749" s="497"/>
      <c r="CH749" s="497"/>
    </row>
    <row r="750" spans="1:86" s="335" customFormat="1">
      <c r="A750" s="517"/>
      <c r="B750" s="517"/>
      <c r="C750" s="517"/>
      <c r="D750" s="517"/>
      <c r="E750" s="517"/>
      <c r="F750" s="517"/>
      <c r="G750" s="517"/>
      <c r="H750" s="639"/>
      <c r="I750" s="639"/>
      <c r="J750" s="336"/>
      <c r="K750" s="2056"/>
      <c r="L750" s="337"/>
      <c r="N750" s="2057"/>
      <c r="O750" s="337"/>
      <c r="P750" s="337"/>
      <c r="Q750" s="337"/>
      <c r="R750" s="337"/>
      <c r="S750" s="337"/>
      <c r="T750" s="337"/>
      <c r="U750" s="497"/>
      <c r="V750" s="497"/>
      <c r="W750" s="497"/>
      <c r="X750" s="497"/>
      <c r="Y750" s="497"/>
      <c r="Z750" s="497"/>
      <c r="AA750" s="497"/>
      <c r="AB750" s="497"/>
      <c r="AC750" s="497"/>
      <c r="AD750" s="497"/>
      <c r="AE750" s="497"/>
      <c r="AF750" s="497"/>
      <c r="AG750" s="497"/>
      <c r="AH750" s="497"/>
      <c r="AI750" s="497"/>
      <c r="AJ750" s="497"/>
      <c r="AK750" s="497"/>
      <c r="AL750" s="497"/>
      <c r="AM750" s="497"/>
      <c r="AN750" s="497"/>
      <c r="AO750" s="497"/>
      <c r="AP750" s="497"/>
      <c r="AQ750" s="497"/>
      <c r="AR750" s="497"/>
      <c r="AS750" s="497"/>
      <c r="AT750" s="497"/>
      <c r="AU750" s="497"/>
      <c r="AV750" s="497"/>
      <c r="AW750" s="497"/>
      <c r="AX750" s="497"/>
      <c r="AY750" s="497"/>
      <c r="AZ750" s="497"/>
      <c r="BA750" s="497"/>
      <c r="BB750" s="497"/>
      <c r="BC750" s="497"/>
      <c r="BD750" s="497"/>
      <c r="BE750" s="497"/>
      <c r="BF750" s="497"/>
      <c r="BG750" s="497"/>
      <c r="BH750" s="497"/>
      <c r="BI750" s="497"/>
      <c r="BJ750" s="497"/>
      <c r="BK750" s="497"/>
      <c r="BL750" s="497"/>
      <c r="BM750" s="497"/>
      <c r="BN750" s="497"/>
      <c r="BO750" s="497"/>
      <c r="BP750" s="497"/>
      <c r="BQ750" s="497"/>
      <c r="BR750" s="497"/>
      <c r="BS750" s="497"/>
      <c r="BT750" s="497"/>
      <c r="BU750" s="497"/>
      <c r="BV750" s="497"/>
      <c r="BW750" s="497"/>
      <c r="BX750" s="497"/>
      <c r="BY750" s="497"/>
      <c r="BZ750" s="497"/>
      <c r="CA750" s="497"/>
      <c r="CB750" s="497"/>
      <c r="CC750" s="497"/>
      <c r="CD750" s="497"/>
      <c r="CE750" s="497"/>
      <c r="CF750" s="497"/>
      <c r="CG750" s="497"/>
      <c r="CH750" s="497"/>
    </row>
    <row r="751" spans="1:86" s="335" customFormat="1">
      <c r="A751" s="517"/>
      <c r="B751" s="517"/>
      <c r="C751" s="517"/>
      <c r="D751" s="517"/>
      <c r="E751" s="517"/>
      <c r="F751" s="517"/>
      <c r="G751" s="517"/>
      <c r="H751" s="639"/>
      <c r="I751" s="639"/>
      <c r="J751" s="336"/>
      <c r="K751" s="2056"/>
      <c r="L751" s="337"/>
      <c r="N751" s="2057"/>
      <c r="O751" s="337"/>
      <c r="P751" s="337"/>
      <c r="Q751" s="337"/>
      <c r="R751" s="337"/>
      <c r="S751" s="337"/>
      <c r="T751" s="337"/>
      <c r="U751" s="497"/>
      <c r="V751" s="497"/>
      <c r="W751" s="497"/>
      <c r="X751" s="497"/>
      <c r="Y751" s="497"/>
      <c r="Z751" s="497"/>
      <c r="AA751" s="497"/>
      <c r="AB751" s="497"/>
      <c r="AC751" s="497"/>
      <c r="AD751" s="497"/>
      <c r="AE751" s="497"/>
      <c r="AF751" s="497"/>
      <c r="AG751" s="497"/>
      <c r="AH751" s="497"/>
      <c r="AI751" s="497"/>
      <c r="AJ751" s="497"/>
      <c r="AK751" s="497"/>
      <c r="AL751" s="497"/>
      <c r="AM751" s="497"/>
      <c r="AN751" s="497"/>
      <c r="AO751" s="497"/>
      <c r="AP751" s="497"/>
      <c r="AQ751" s="497"/>
      <c r="AR751" s="497"/>
      <c r="AS751" s="497"/>
      <c r="AT751" s="497"/>
      <c r="AU751" s="497"/>
      <c r="AV751" s="497"/>
      <c r="AW751" s="497"/>
      <c r="AX751" s="497"/>
      <c r="AY751" s="497"/>
      <c r="AZ751" s="497"/>
      <c r="BA751" s="497"/>
      <c r="BB751" s="497"/>
      <c r="BC751" s="497"/>
      <c r="BD751" s="497"/>
      <c r="BE751" s="497"/>
      <c r="BF751" s="497"/>
      <c r="BG751" s="497"/>
      <c r="BH751" s="497"/>
      <c r="BI751" s="497"/>
      <c r="BJ751" s="497"/>
      <c r="BK751" s="497"/>
      <c r="BL751" s="497"/>
      <c r="BM751" s="497"/>
      <c r="BN751" s="497"/>
      <c r="BO751" s="497"/>
      <c r="BP751" s="497"/>
      <c r="BQ751" s="497"/>
      <c r="BR751" s="497"/>
      <c r="BS751" s="497"/>
      <c r="BT751" s="497"/>
      <c r="BU751" s="497"/>
      <c r="BV751" s="497"/>
      <c r="BW751" s="497"/>
      <c r="BX751" s="497"/>
      <c r="BY751" s="497"/>
      <c r="BZ751" s="497"/>
      <c r="CA751" s="497"/>
      <c r="CB751" s="497"/>
      <c r="CC751" s="497"/>
      <c r="CD751" s="497"/>
      <c r="CE751" s="497"/>
      <c r="CF751" s="497"/>
      <c r="CG751" s="497"/>
      <c r="CH751" s="497"/>
    </row>
    <row r="752" spans="1:86" s="335" customFormat="1">
      <c r="A752" s="517"/>
      <c r="B752" s="517"/>
      <c r="C752" s="517"/>
      <c r="D752" s="517"/>
      <c r="E752" s="517"/>
      <c r="F752" s="517"/>
      <c r="G752" s="517"/>
      <c r="H752" s="639"/>
      <c r="I752" s="639"/>
      <c r="J752" s="336"/>
      <c r="K752" s="2056"/>
      <c r="L752" s="337"/>
      <c r="N752" s="2057"/>
      <c r="O752" s="337"/>
      <c r="P752" s="337"/>
      <c r="Q752" s="337"/>
      <c r="R752" s="337"/>
      <c r="S752" s="337"/>
      <c r="T752" s="337"/>
      <c r="U752" s="497"/>
      <c r="V752" s="497"/>
      <c r="W752" s="497"/>
      <c r="X752" s="497"/>
      <c r="Y752" s="497"/>
      <c r="Z752" s="497"/>
      <c r="AA752" s="497"/>
      <c r="AB752" s="497"/>
      <c r="AC752" s="497"/>
      <c r="AD752" s="497"/>
      <c r="AE752" s="497"/>
      <c r="AF752" s="497"/>
      <c r="AG752" s="497"/>
      <c r="AH752" s="497"/>
      <c r="AI752" s="497"/>
      <c r="AJ752" s="497"/>
      <c r="AK752" s="497"/>
      <c r="AL752" s="497"/>
      <c r="AM752" s="497"/>
      <c r="AN752" s="497"/>
      <c r="AO752" s="497"/>
      <c r="AP752" s="497"/>
      <c r="AQ752" s="497"/>
      <c r="AR752" s="497"/>
      <c r="AS752" s="497"/>
      <c r="AT752" s="497"/>
      <c r="AU752" s="497"/>
      <c r="AV752" s="497"/>
      <c r="AW752" s="497"/>
      <c r="AX752" s="497"/>
      <c r="AY752" s="497"/>
      <c r="AZ752" s="497"/>
      <c r="BA752" s="497"/>
      <c r="BB752" s="497"/>
      <c r="BC752" s="497"/>
      <c r="BD752" s="497"/>
      <c r="BE752" s="497"/>
      <c r="BF752" s="497"/>
      <c r="BG752" s="497"/>
      <c r="BH752" s="497"/>
      <c r="BI752" s="497"/>
      <c r="BJ752" s="497"/>
      <c r="BK752" s="497"/>
      <c r="BL752" s="497"/>
      <c r="BM752" s="497"/>
      <c r="BN752" s="497"/>
      <c r="BO752" s="497"/>
      <c r="BP752" s="497"/>
      <c r="BQ752" s="497"/>
      <c r="BR752" s="497"/>
      <c r="BS752" s="497"/>
      <c r="BT752" s="497"/>
      <c r="BU752" s="497"/>
      <c r="BV752" s="497"/>
      <c r="BW752" s="497"/>
      <c r="BX752" s="497"/>
      <c r="BY752" s="497"/>
      <c r="BZ752" s="497"/>
      <c r="CA752" s="497"/>
      <c r="CB752" s="497"/>
      <c r="CC752" s="497"/>
      <c r="CD752" s="497"/>
      <c r="CE752" s="497"/>
      <c r="CF752" s="497"/>
      <c r="CG752" s="497"/>
      <c r="CH752" s="497"/>
    </row>
    <row r="753" spans="1:86" s="335" customFormat="1">
      <c r="A753" s="517"/>
      <c r="B753" s="517"/>
      <c r="C753" s="517"/>
      <c r="D753" s="517"/>
      <c r="E753" s="517"/>
      <c r="F753" s="517"/>
      <c r="G753" s="517"/>
      <c r="H753" s="639"/>
      <c r="I753" s="639"/>
      <c r="J753" s="336"/>
      <c r="K753" s="2056"/>
      <c r="L753" s="337"/>
      <c r="N753" s="2057"/>
      <c r="O753" s="337"/>
      <c r="P753" s="337"/>
      <c r="Q753" s="337"/>
      <c r="R753" s="337"/>
      <c r="S753" s="337"/>
      <c r="T753" s="337"/>
      <c r="U753" s="497"/>
      <c r="V753" s="497"/>
      <c r="W753" s="497"/>
      <c r="X753" s="497"/>
      <c r="Y753" s="497"/>
      <c r="Z753" s="497"/>
      <c r="AA753" s="497"/>
      <c r="AB753" s="497"/>
      <c r="AC753" s="497"/>
      <c r="AD753" s="497"/>
      <c r="AE753" s="497"/>
      <c r="AF753" s="497"/>
      <c r="AG753" s="497"/>
      <c r="AH753" s="497"/>
      <c r="AI753" s="497"/>
      <c r="AJ753" s="497"/>
      <c r="AK753" s="497"/>
      <c r="AL753" s="497"/>
      <c r="AM753" s="497"/>
      <c r="AN753" s="497"/>
      <c r="AO753" s="497"/>
      <c r="AP753" s="497"/>
      <c r="AQ753" s="497"/>
      <c r="AR753" s="497"/>
      <c r="AS753" s="497"/>
      <c r="AT753" s="497"/>
      <c r="AU753" s="497"/>
      <c r="AV753" s="497"/>
      <c r="AW753" s="497"/>
      <c r="AX753" s="497"/>
      <c r="AY753" s="497"/>
      <c r="AZ753" s="497"/>
      <c r="BA753" s="497"/>
      <c r="BB753" s="497"/>
      <c r="BC753" s="497"/>
      <c r="BD753" s="497"/>
      <c r="BE753" s="497"/>
      <c r="BF753" s="497"/>
      <c r="BG753" s="497"/>
      <c r="BH753" s="497"/>
      <c r="BI753" s="497"/>
      <c r="BJ753" s="497"/>
      <c r="BK753" s="497"/>
      <c r="BL753" s="497"/>
      <c r="BM753" s="497"/>
      <c r="BN753" s="497"/>
      <c r="BO753" s="497"/>
      <c r="BP753" s="497"/>
      <c r="BQ753" s="497"/>
      <c r="BR753" s="497"/>
      <c r="BS753" s="497"/>
      <c r="BT753" s="497"/>
      <c r="BU753" s="497"/>
      <c r="BV753" s="497"/>
      <c r="BW753" s="497"/>
      <c r="BX753" s="497"/>
      <c r="BY753" s="497"/>
      <c r="BZ753" s="497"/>
      <c r="CA753" s="497"/>
      <c r="CB753" s="497"/>
      <c r="CC753" s="497"/>
      <c r="CD753" s="497"/>
      <c r="CE753" s="497"/>
      <c r="CF753" s="497"/>
      <c r="CG753" s="497"/>
      <c r="CH753" s="497"/>
    </row>
    <row r="754" spans="1:86" s="335" customFormat="1">
      <c r="A754" s="517"/>
      <c r="B754" s="517"/>
      <c r="C754" s="517"/>
      <c r="D754" s="517"/>
      <c r="E754" s="517"/>
      <c r="F754" s="517"/>
      <c r="G754" s="517"/>
      <c r="H754" s="639"/>
      <c r="I754" s="639"/>
      <c r="J754" s="336"/>
      <c r="K754" s="2056"/>
      <c r="L754" s="337"/>
      <c r="N754" s="2057"/>
      <c r="O754" s="337"/>
      <c r="P754" s="337"/>
      <c r="Q754" s="337"/>
      <c r="R754" s="337"/>
      <c r="S754" s="337"/>
      <c r="T754" s="337"/>
      <c r="U754" s="497"/>
      <c r="V754" s="497"/>
      <c r="W754" s="497"/>
      <c r="X754" s="497"/>
      <c r="Y754" s="497"/>
      <c r="Z754" s="497"/>
      <c r="AA754" s="497"/>
      <c r="AB754" s="497"/>
      <c r="AC754" s="497"/>
      <c r="AD754" s="497"/>
      <c r="AE754" s="497"/>
      <c r="AF754" s="497"/>
      <c r="AG754" s="497"/>
      <c r="AH754" s="497"/>
      <c r="AI754" s="497"/>
      <c r="AJ754" s="497"/>
      <c r="AK754" s="497"/>
      <c r="AL754" s="497"/>
      <c r="AM754" s="497"/>
      <c r="AN754" s="497"/>
      <c r="AO754" s="497"/>
      <c r="AP754" s="497"/>
      <c r="AQ754" s="497"/>
      <c r="AR754" s="497"/>
      <c r="AS754" s="497"/>
      <c r="AT754" s="497"/>
      <c r="AU754" s="497"/>
      <c r="AV754" s="497"/>
      <c r="AW754" s="497"/>
      <c r="AX754" s="497"/>
      <c r="AY754" s="497"/>
      <c r="AZ754" s="497"/>
      <c r="BA754" s="497"/>
      <c r="BB754" s="497"/>
      <c r="BC754" s="497"/>
      <c r="BD754" s="497"/>
      <c r="BE754" s="497"/>
      <c r="BF754" s="497"/>
      <c r="BG754" s="497"/>
      <c r="BH754" s="497"/>
      <c r="BI754" s="497"/>
      <c r="BJ754" s="497"/>
      <c r="BK754" s="497"/>
      <c r="BL754" s="497"/>
      <c r="BM754" s="497"/>
      <c r="BN754" s="497"/>
      <c r="BO754" s="497"/>
      <c r="BP754" s="497"/>
      <c r="BQ754" s="497"/>
      <c r="BR754" s="497"/>
      <c r="BS754" s="497"/>
      <c r="BT754" s="497"/>
      <c r="BU754" s="497"/>
      <c r="BV754" s="497"/>
      <c r="BW754" s="497"/>
      <c r="BX754" s="497"/>
      <c r="BY754" s="497"/>
      <c r="BZ754" s="497"/>
      <c r="CA754" s="497"/>
      <c r="CB754" s="497"/>
      <c r="CC754" s="497"/>
      <c r="CD754" s="497"/>
      <c r="CE754" s="497"/>
      <c r="CF754" s="497"/>
      <c r="CG754" s="497"/>
      <c r="CH754" s="497"/>
    </row>
    <row r="755" spans="1:86" s="335" customFormat="1">
      <c r="A755" s="517"/>
      <c r="B755" s="517"/>
      <c r="C755" s="517"/>
      <c r="D755" s="517"/>
      <c r="E755" s="517"/>
      <c r="F755" s="517"/>
      <c r="G755" s="517"/>
      <c r="H755" s="639"/>
      <c r="I755" s="639"/>
      <c r="J755" s="336"/>
      <c r="K755" s="2056"/>
      <c r="L755" s="337"/>
      <c r="N755" s="2057"/>
      <c r="O755" s="337"/>
      <c r="P755" s="337"/>
      <c r="Q755" s="337"/>
      <c r="R755" s="337"/>
      <c r="S755" s="337"/>
      <c r="T755" s="337"/>
      <c r="U755" s="497"/>
      <c r="V755" s="497"/>
      <c r="W755" s="497"/>
      <c r="X755" s="497"/>
      <c r="Y755" s="497"/>
      <c r="Z755" s="497"/>
      <c r="AA755" s="497"/>
      <c r="AB755" s="497"/>
      <c r="AC755" s="497"/>
      <c r="AD755" s="497"/>
      <c r="AE755" s="497"/>
      <c r="AF755" s="497"/>
      <c r="AG755" s="497"/>
      <c r="AH755" s="497"/>
      <c r="AI755" s="497"/>
      <c r="AJ755" s="497"/>
      <c r="AK755" s="497"/>
      <c r="AL755" s="497"/>
      <c r="AM755" s="497"/>
      <c r="AN755" s="497"/>
      <c r="AO755" s="497"/>
      <c r="AP755" s="497"/>
      <c r="AQ755" s="497"/>
      <c r="AR755" s="497"/>
      <c r="AS755" s="497"/>
      <c r="AT755" s="497"/>
      <c r="AU755" s="497"/>
      <c r="AV755" s="497"/>
      <c r="AW755" s="497"/>
      <c r="AX755" s="497"/>
      <c r="AY755" s="497"/>
      <c r="AZ755" s="497"/>
      <c r="BA755" s="497"/>
      <c r="BB755" s="497"/>
      <c r="BC755" s="497"/>
      <c r="BD755" s="497"/>
      <c r="BE755" s="497"/>
      <c r="BF755" s="497"/>
      <c r="BG755" s="497"/>
      <c r="BH755" s="497"/>
      <c r="BI755" s="497"/>
      <c r="BJ755" s="497"/>
      <c r="BK755" s="497"/>
      <c r="BL755" s="497"/>
      <c r="BM755" s="497"/>
      <c r="BN755" s="497"/>
      <c r="BO755" s="497"/>
      <c r="BP755" s="497"/>
      <c r="BQ755" s="497"/>
      <c r="BR755" s="497"/>
      <c r="BS755" s="497"/>
      <c r="BT755" s="497"/>
      <c r="BU755" s="497"/>
      <c r="BV755" s="497"/>
      <c r="BW755" s="497"/>
      <c r="BX755" s="497"/>
      <c r="BY755" s="497"/>
      <c r="BZ755" s="497"/>
      <c r="CA755" s="497"/>
      <c r="CB755" s="497"/>
      <c r="CC755" s="497"/>
      <c r="CD755" s="497"/>
      <c r="CE755" s="497"/>
      <c r="CF755" s="497"/>
      <c r="CG755" s="497"/>
      <c r="CH755" s="497"/>
    </row>
    <row r="756" spans="1:86" s="335" customFormat="1">
      <c r="A756" s="517"/>
      <c r="B756" s="517"/>
      <c r="C756" s="517"/>
      <c r="D756" s="517"/>
      <c r="E756" s="517"/>
      <c r="F756" s="517"/>
      <c r="G756" s="517"/>
      <c r="H756" s="639"/>
      <c r="I756" s="639"/>
      <c r="J756" s="336"/>
      <c r="K756" s="2056"/>
      <c r="L756" s="337"/>
      <c r="N756" s="2057"/>
      <c r="O756" s="337"/>
      <c r="P756" s="337"/>
      <c r="Q756" s="337"/>
      <c r="R756" s="337"/>
      <c r="S756" s="337"/>
      <c r="T756" s="337"/>
      <c r="U756" s="497"/>
      <c r="V756" s="497"/>
      <c r="W756" s="497"/>
      <c r="X756" s="497"/>
      <c r="Y756" s="497"/>
      <c r="Z756" s="497"/>
      <c r="AA756" s="497"/>
      <c r="AB756" s="497"/>
      <c r="AC756" s="497"/>
      <c r="AD756" s="497"/>
      <c r="AE756" s="497"/>
      <c r="AF756" s="497"/>
      <c r="AG756" s="497"/>
      <c r="AH756" s="497"/>
      <c r="AI756" s="497"/>
      <c r="AJ756" s="497"/>
      <c r="AK756" s="497"/>
      <c r="AL756" s="497"/>
      <c r="AM756" s="497"/>
      <c r="AN756" s="497"/>
      <c r="AO756" s="497"/>
      <c r="AP756" s="497"/>
      <c r="AQ756" s="497"/>
      <c r="AR756" s="497"/>
      <c r="AS756" s="497"/>
      <c r="AT756" s="497"/>
      <c r="AU756" s="497"/>
      <c r="AV756" s="497"/>
      <c r="AW756" s="497"/>
      <c r="AX756" s="497"/>
      <c r="AY756" s="497"/>
      <c r="AZ756" s="497"/>
      <c r="BA756" s="497"/>
      <c r="BB756" s="497"/>
      <c r="BC756" s="497"/>
      <c r="BD756" s="497"/>
      <c r="BE756" s="497"/>
      <c r="BF756" s="497"/>
      <c r="BG756" s="497"/>
      <c r="BH756" s="497"/>
      <c r="BI756" s="497"/>
      <c r="BJ756" s="497"/>
      <c r="BK756" s="497"/>
      <c r="BL756" s="497"/>
      <c r="BM756" s="497"/>
      <c r="BN756" s="497"/>
      <c r="BO756" s="497"/>
      <c r="BP756" s="497"/>
      <c r="BQ756" s="497"/>
      <c r="BR756" s="497"/>
      <c r="BS756" s="497"/>
      <c r="BT756" s="497"/>
      <c r="BU756" s="497"/>
      <c r="BV756" s="497"/>
      <c r="BW756" s="497"/>
      <c r="BX756" s="497"/>
      <c r="BY756" s="497"/>
      <c r="BZ756" s="497"/>
      <c r="CA756" s="497"/>
      <c r="CB756" s="497"/>
      <c r="CC756" s="497"/>
      <c r="CD756" s="497"/>
      <c r="CE756" s="497"/>
      <c r="CF756" s="497"/>
      <c r="CG756" s="497"/>
      <c r="CH756" s="497"/>
    </row>
    <row r="757" spans="1:86" s="335" customFormat="1">
      <c r="A757" s="517"/>
      <c r="B757" s="517"/>
      <c r="C757" s="517"/>
      <c r="D757" s="517"/>
      <c r="E757" s="517"/>
      <c r="F757" s="517"/>
      <c r="G757" s="517"/>
      <c r="H757" s="639"/>
      <c r="I757" s="639"/>
      <c r="J757" s="336"/>
      <c r="K757" s="2056"/>
      <c r="L757" s="337"/>
      <c r="N757" s="2057"/>
      <c r="O757" s="337"/>
      <c r="P757" s="337"/>
      <c r="Q757" s="337"/>
      <c r="R757" s="337"/>
      <c r="S757" s="337"/>
      <c r="T757" s="337"/>
      <c r="U757" s="497"/>
      <c r="V757" s="497"/>
      <c r="W757" s="497"/>
      <c r="X757" s="497"/>
      <c r="Y757" s="497"/>
      <c r="Z757" s="497"/>
      <c r="AA757" s="497"/>
      <c r="AB757" s="497"/>
      <c r="AC757" s="497"/>
      <c r="AD757" s="497"/>
      <c r="AE757" s="497"/>
      <c r="AF757" s="497"/>
      <c r="AG757" s="497"/>
      <c r="AH757" s="497"/>
      <c r="AI757" s="497"/>
      <c r="AJ757" s="497"/>
      <c r="AK757" s="497"/>
      <c r="AL757" s="497"/>
      <c r="AM757" s="497"/>
      <c r="AN757" s="497"/>
      <c r="AO757" s="497"/>
      <c r="AP757" s="497"/>
      <c r="AQ757" s="497"/>
      <c r="AR757" s="497"/>
      <c r="AS757" s="497"/>
      <c r="AT757" s="497"/>
      <c r="AU757" s="497"/>
      <c r="AV757" s="497"/>
      <c r="AW757" s="497"/>
      <c r="AX757" s="497"/>
      <c r="AY757" s="497"/>
      <c r="AZ757" s="497"/>
      <c r="BA757" s="497"/>
      <c r="BB757" s="497"/>
      <c r="BC757" s="497"/>
      <c r="BD757" s="497"/>
      <c r="BE757" s="497"/>
      <c r="BF757" s="497"/>
      <c r="BG757" s="497"/>
      <c r="BH757" s="497"/>
      <c r="BI757" s="497"/>
      <c r="BJ757" s="497"/>
      <c r="BK757" s="497"/>
      <c r="BL757" s="497"/>
      <c r="BM757" s="497"/>
      <c r="BN757" s="497"/>
      <c r="BO757" s="497"/>
      <c r="BP757" s="497"/>
      <c r="BQ757" s="497"/>
      <c r="BR757" s="497"/>
      <c r="BS757" s="497"/>
      <c r="BT757" s="497"/>
      <c r="BU757" s="497"/>
      <c r="BV757" s="497"/>
      <c r="BW757" s="497"/>
      <c r="BX757" s="497"/>
      <c r="BY757" s="497"/>
      <c r="BZ757" s="497"/>
      <c r="CA757" s="497"/>
      <c r="CB757" s="497"/>
      <c r="CC757" s="497"/>
      <c r="CD757" s="497"/>
      <c r="CE757" s="497"/>
      <c r="CF757" s="497"/>
      <c r="CG757" s="497"/>
      <c r="CH757" s="497"/>
    </row>
    <row r="758" spans="1:86" s="335" customFormat="1">
      <c r="A758" s="517"/>
      <c r="B758" s="517"/>
      <c r="C758" s="517"/>
      <c r="D758" s="517"/>
      <c r="E758" s="517"/>
      <c r="F758" s="517"/>
      <c r="G758" s="517"/>
      <c r="H758" s="639"/>
      <c r="I758" s="639"/>
      <c r="J758" s="336"/>
      <c r="K758" s="2056"/>
      <c r="L758" s="337"/>
      <c r="N758" s="2057"/>
      <c r="O758" s="337"/>
      <c r="P758" s="337"/>
      <c r="Q758" s="337"/>
      <c r="R758" s="337"/>
      <c r="S758" s="337"/>
      <c r="T758" s="337"/>
      <c r="U758" s="497"/>
      <c r="V758" s="497"/>
      <c r="W758" s="497"/>
      <c r="X758" s="497"/>
      <c r="Y758" s="497"/>
      <c r="Z758" s="497"/>
      <c r="AA758" s="497"/>
      <c r="AB758" s="497"/>
      <c r="AC758" s="497"/>
      <c r="AD758" s="497"/>
      <c r="AE758" s="497"/>
      <c r="AF758" s="497"/>
      <c r="AG758" s="497"/>
      <c r="AH758" s="497"/>
      <c r="AI758" s="497"/>
      <c r="AJ758" s="497"/>
      <c r="AK758" s="497"/>
      <c r="AL758" s="497"/>
      <c r="AM758" s="497"/>
      <c r="AN758" s="497"/>
      <c r="AO758" s="497"/>
      <c r="AP758" s="497"/>
      <c r="AQ758" s="497"/>
      <c r="AR758" s="497"/>
      <c r="AS758" s="497"/>
      <c r="AT758" s="497"/>
      <c r="AU758" s="497"/>
      <c r="AV758" s="497"/>
      <c r="AW758" s="497"/>
      <c r="AX758" s="497"/>
      <c r="AY758" s="497"/>
      <c r="AZ758" s="497"/>
      <c r="BA758" s="497"/>
      <c r="BB758" s="497"/>
      <c r="BC758" s="497"/>
      <c r="BD758" s="497"/>
      <c r="BE758" s="497"/>
      <c r="BF758" s="497"/>
      <c r="BG758" s="497"/>
      <c r="BH758" s="497"/>
      <c r="BI758" s="497"/>
      <c r="BJ758" s="497"/>
      <c r="BK758" s="497"/>
      <c r="BL758" s="497"/>
      <c r="BM758" s="497"/>
      <c r="BN758" s="497"/>
      <c r="BO758" s="497"/>
      <c r="BP758" s="497"/>
      <c r="BQ758" s="497"/>
      <c r="BR758" s="497"/>
      <c r="BS758" s="497"/>
      <c r="BT758" s="497"/>
      <c r="BU758" s="497"/>
      <c r="BV758" s="497"/>
      <c r="BW758" s="497"/>
      <c r="BX758" s="497"/>
      <c r="BY758" s="497"/>
      <c r="BZ758" s="497"/>
      <c r="CA758" s="497"/>
      <c r="CB758" s="497"/>
      <c r="CC758" s="497"/>
      <c r="CD758" s="497"/>
      <c r="CE758" s="497"/>
      <c r="CF758" s="497"/>
      <c r="CG758" s="497"/>
      <c r="CH758" s="497"/>
    </row>
    <row r="759" spans="1:86" s="335" customFormat="1">
      <c r="A759" s="517"/>
      <c r="B759" s="517"/>
      <c r="C759" s="517"/>
      <c r="D759" s="517"/>
      <c r="E759" s="517"/>
      <c r="F759" s="517"/>
      <c r="G759" s="517"/>
      <c r="H759" s="639"/>
      <c r="I759" s="639"/>
      <c r="J759" s="336"/>
      <c r="K759" s="2056"/>
      <c r="L759" s="337"/>
      <c r="N759" s="2057"/>
      <c r="O759" s="337"/>
      <c r="P759" s="337"/>
      <c r="Q759" s="337"/>
      <c r="R759" s="337"/>
      <c r="S759" s="337"/>
      <c r="T759" s="337"/>
      <c r="U759" s="497"/>
      <c r="V759" s="497"/>
      <c r="W759" s="497"/>
      <c r="X759" s="497"/>
      <c r="Y759" s="497"/>
      <c r="Z759" s="497"/>
      <c r="AA759" s="497"/>
      <c r="AB759" s="497"/>
      <c r="AC759" s="497"/>
      <c r="AD759" s="497"/>
      <c r="AE759" s="497"/>
      <c r="AF759" s="497"/>
      <c r="AG759" s="497"/>
      <c r="AH759" s="497"/>
      <c r="AI759" s="497"/>
      <c r="AJ759" s="497"/>
      <c r="AK759" s="497"/>
      <c r="AL759" s="497"/>
      <c r="AM759" s="497"/>
      <c r="AN759" s="497"/>
      <c r="AO759" s="497"/>
      <c r="AP759" s="497"/>
      <c r="AQ759" s="497"/>
      <c r="AR759" s="497"/>
      <c r="AS759" s="497"/>
      <c r="AT759" s="497"/>
      <c r="AU759" s="497"/>
      <c r="AV759" s="497"/>
      <c r="AW759" s="497"/>
      <c r="AX759" s="497"/>
      <c r="AY759" s="497"/>
      <c r="AZ759" s="497"/>
      <c r="BA759" s="497"/>
      <c r="BB759" s="497"/>
      <c r="BC759" s="497"/>
      <c r="BD759" s="497"/>
      <c r="BE759" s="497"/>
      <c r="BF759" s="497"/>
      <c r="BG759" s="497"/>
      <c r="BH759" s="497"/>
      <c r="BI759" s="497"/>
      <c r="BJ759" s="497"/>
      <c r="BK759" s="497"/>
      <c r="BL759" s="497"/>
      <c r="BM759" s="497"/>
      <c r="BN759" s="497"/>
      <c r="BO759" s="497"/>
      <c r="BP759" s="497"/>
      <c r="BQ759" s="497"/>
      <c r="BR759" s="497"/>
      <c r="BS759" s="497"/>
      <c r="BT759" s="497"/>
      <c r="BU759" s="497"/>
      <c r="BV759" s="497"/>
      <c r="BW759" s="497"/>
      <c r="BX759" s="497"/>
      <c r="BY759" s="497"/>
      <c r="BZ759" s="497"/>
      <c r="CA759" s="497"/>
      <c r="CB759" s="497"/>
      <c r="CC759" s="497"/>
      <c r="CD759" s="497"/>
      <c r="CE759" s="497"/>
      <c r="CF759" s="497"/>
      <c r="CG759" s="497"/>
      <c r="CH759" s="497"/>
    </row>
    <row r="760" spans="1:86" s="335" customFormat="1">
      <c r="A760" s="517"/>
      <c r="B760" s="517"/>
      <c r="C760" s="517"/>
      <c r="D760" s="517"/>
      <c r="E760" s="517"/>
      <c r="F760" s="517"/>
      <c r="G760" s="517"/>
      <c r="H760" s="639"/>
      <c r="I760" s="639"/>
      <c r="J760" s="336"/>
      <c r="K760" s="2056"/>
      <c r="L760" s="337"/>
      <c r="N760" s="2057"/>
      <c r="O760" s="337"/>
      <c r="P760" s="337"/>
      <c r="Q760" s="337"/>
      <c r="R760" s="337"/>
      <c r="S760" s="337"/>
      <c r="T760" s="337"/>
      <c r="U760" s="497"/>
      <c r="V760" s="497"/>
      <c r="W760" s="497"/>
      <c r="X760" s="497"/>
      <c r="Y760" s="497"/>
      <c r="Z760" s="497"/>
      <c r="AA760" s="497"/>
      <c r="AB760" s="497"/>
      <c r="AC760" s="497"/>
      <c r="AD760" s="497"/>
      <c r="AE760" s="497"/>
      <c r="AF760" s="497"/>
      <c r="AG760" s="497"/>
      <c r="AH760" s="497"/>
      <c r="AI760" s="497"/>
      <c r="AJ760" s="497"/>
      <c r="AK760" s="497"/>
      <c r="AL760" s="497"/>
      <c r="AM760" s="497"/>
      <c r="AN760" s="497"/>
      <c r="AO760" s="497"/>
      <c r="AP760" s="497"/>
      <c r="AQ760" s="497"/>
      <c r="AR760" s="497"/>
      <c r="AS760" s="497"/>
      <c r="AT760" s="497"/>
      <c r="AU760" s="497"/>
      <c r="AV760" s="497"/>
      <c r="AW760" s="497"/>
      <c r="AX760" s="497"/>
      <c r="AY760" s="497"/>
      <c r="AZ760" s="497"/>
      <c r="BA760" s="497"/>
      <c r="BB760" s="497"/>
      <c r="BC760" s="497"/>
      <c r="BD760" s="497"/>
      <c r="BE760" s="497"/>
      <c r="BF760" s="497"/>
      <c r="BG760" s="497"/>
      <c r="BH760" s="497"/>
      <c r="BI760" s="497"/>
      <c r="BJ760" s="497"/>
      <c r="BK760" s="497"/>
      <c r="BL760" s="497"/>
      <c r="BM760" s="497"/>
      <c r="BN760" s="497"/>
      <c r="BO760" s="497"/>
      <c r="BP760" s="497"/>
      <c r="BQ760" s="497"/>
      <c r="BR760" s="497"/>
      <c r="BS760" s="497"/>
      <c r="BT760" s="497"/>
      <c r="BU760" s="497"/>
      <c r="BV760" s="497"/>
      <c r="BW760" s="497"/>
      <c r="BX760" s="497"/>
      <c r="BY760" s="497"/>
      <c r="BZ760" s="497"/>
      <c r="CA760" s="497"/>
      <c r="CB760" s="497"/>
      <c r="CC760" s="497"/>
      <c r="CD760" s="497"/>
      <c r="CE760" s="497"/>
      <c r="CF760" s="497"/>
      <c r="CG760" s="497"/>
      <c r="CH760" s="497"/>
    </row>
    <row r="761" spans="1:86" s="335" customFormat="1">
      <c r="A761" s="517"/>
      <c r="B761" s="517"/>
      <c r="C761" s="517"/>
      <c r="D761" s="517"/>
      <c r="E761" s="517"/>
      <c r="F761" s="517"/>
      <c r="G761" s="517"/>
      <c r="H761" s="639"/>
      <c r="I761" s="639"/>
      <c r="J761" s="336"/>
      <c r="K761" s="2056"/>
      <c r="L761" s="337"/>
      <c r="N761" s="2057"/>
      <c r="O761" s="337"/>
      <c r="P761" s="337"/>
      <c r="Q761" s="337"/>
      <c r="R761" s="337"/>
      <c r="S761" s="337"/>
      <c r="T761" s="337"/>
      <c r="U761" s="497"/>
      <c r="V761" s="497"/>
      <c r="W761" s="497"/>
      <c r="X761" s="497"/>
      <c r="Y761" s="497"/>
      <c r="Z761" s="497"/>
      <c r="AA761" s="497"/>
      <c r="AB761" s="497"/>
      <c r="AC761" s="497"/>
      <c r="AD761" s="497"/>
      <c r="AE761" s="497"/>
      <c r="AF761" s="497"/>
      <c r="AG761" s="497"/>
      <c r="AH761" s="497"/>
      <c r="AI761" s="497"/>
      <c r="AJ761" s="497"/>
      <c r="AK761" s="497"/>
      <c r="AL761" s="497"/>
      <c r="AM761" s="497"/>
      <c r="AN761" s="497"/>
      <c r="AO761" s="497"/>
      <c r="AP761" s="497"/>
      <c r="AQ761" s="497"/>
      <c r="AR761" s="497"/>
      <c r="AS761" s="497"/>
      <c r="AT761" s="497"/>
      <c r="AU761" s="497"/>
      <c r="AV761" s="497"/>
      <c r="AW761" s="497"/>
      <c r="AX761" s="497"/>
      <c r="AY761" s="497"/>
      <c r="AZ761" s="497"/>
      <c r="BA761" s="497"/>
      <c r="BB761" s="497"/>
      <c r="BC761" s="497"/>
      <c r="BD761" s="497"/>
      <c r="BE761" s="497"/>
      <c r="BF761" s="497"/>
      <c r="BG761" s="497"/>
      <c r="BH761" s="497"/>
      <c r="BI761" s="497"/>
      <c r="BJ761" s="497"/>
      <c r="BK761" s="497"/>
      <c r="BL761" s="497"/>
      <c r="BM761" s="497"/>
      <c r="BN761" s="497"/>
      <c r="BO761" s="497"/>
      <c r="BP761" s="497"/>
      <c r="BQ761" s="497"/>
      <c r="BR761" s="497"/>
      <c r="BS761" s="497"/>
      <c r="BT761" s="497"/>
      <c r="BU761" s="497"/>
      <c r="BV761" s="497"/>
      <c r="BW761" s="497"/>
      <c r="BX761" s="497"/>
      <c r="BY761" s="497"/>
      <c r="BZ761" s="497"/>
      <c r="CA761" s="497"/>
      <c r="CB761" s="497"/>
      <c r="CC761" s="497"/>
      <c r="CD761" s="497"/>
      <c r="CE761" s="497"/>
      <c r="CF761" s="497"/>
      <c r="CG761" s="497"/>
      <c r="CH761" s="497"/>
    </row>
    <row r="762" spans="1:86" s="335" customFormat="1">
      <c r="A762" s="517"/>
      <c r="B762" s="517"/>
      <c r="C762" s="517"/>
      <c r="D762" s="517"/>
      <c r="E762" s="517"/>
      <c r="F762" s="517"/>
      <c r="G762" s="517"/>
      <c r="H762" s="639"/>
      <c r="I762" s="639"/>
      <c r="J762" s="336"/>
      <c r="K762" s="2056"/>
      <c r="L762" s="337"/>
      <c r="N762" s="2057"/>
      <c r="O762" s="337"/>
      <c r="P762" s="337"/>
      <c r="Q762" s="337"/>
      <c r="R762" s="337"/>
      <c r="S762" s="337"/>
      <c r="T762" s="337"/>
      <c r="U762" s="497"/>
      <c r="V762" s="497"/>
      <c r="W762" s="497"/>
      <c r="X762" s="497"/>
      <c r="Y762" s="497"/>
      <c r="Z762" s="497"/>
      <c r="AA762" s="497"/>
      <c r="AB762" s="497"/>
      <c r="AC762" s="497"/>
      <c r="AD762" s="497"/>
      <c r="AE762" s="497"/>
      <c r="AF762" s="497"/>
      <c r="AG762" s="497"/>
      <c r="AH762" s="497"/>
      <c r="AI762" s="497"/>
      <c r="AJ762" s="497"/>
      <c r="AK762" s="497"/>
      <c r="AL762" s="497"/>
      <c r="AM762" s="497"/>
      <c r="AN762" s="497"/>
      <c r="AO762" s="497"/>
      <c r="AP762" s="497"/>
      <c r="AQ762" s="497"/>
      <c r="AR762" s="497"/>
      <c r="AS762" s="497"/>
      <c r="AT762" s="497"/>
      <c r="AU762" s="497"/>
      <c r="AV762" s="497"/>
      <c r="AW762" s="497"/>
      <c r="AX762" s="497"/>
      <c r="AY762" s="497"/>
      <c r="AZ762" s="497"/>
      <c r="BA762" s="497"/>
      <c r="BB762" s="497"/>
      <c r="BC762" s="497"/>
      <c r="BD762" s="497"/>
      <c r="BE762" s="497"/>
      <c r="BF762" s="497"/>
      <c r="BG762" s="497"/>
      <c r="BH762" s="497"/>
      <c r="BI762" s="497"/>
      <c r="BJ762" s="497"/>
      <c r="BK762" s="497"/>
      <c r="BL762" s="497"/>
      <c r="BM762" s="497"/>
      <c r="BN762" s="497"/>
      <c r="BO762" s="497"/>
      <c r="BP762" s="497"/>
      <c r="BQ762" s="497"/>
      <c r="BR762" s="497"/>
      <c r="BS762" s="497"/>
      <c r="BT762" s="497"/>
      <c r="BU762" s="497"/>
      <c r="BV762" s="497"/>
      <c r="BW762" s="497"/>
      <c r="BX762" s="497"/>
      <c r="BY762" s="497"/>
      <c r="BZ762" s="497"/>
      <c r="CA762" s="497"/>
      <c r="CB762" s="497"/>
      <c r="CC762" s="497"/>
      <c r="CD762" s="497"/>
      <c r="CE762" s="497"/>
      <c r="CF762" s="497"/>
      <c r="CG762" s="497"/>
      <c r="CH762" s="497"/>
    </row>
    <row r="763" spans="1:86" s="335" customFormat="1">
      <c r="A763" s="517"/>
      <c r="B763" s="517"/>
      <c r="C763" s="517"/>
      <c r="D763" s="517"/>
      <c r="E763" s="517"/>
      <c r="F763" s="517"/>
      <c r="G763" s="517"/>
      <c r="H763" s="639"/>
      <c r="I763" s="639"/>
      <c r="J763" s="336"/>
      <c r="K763" s="2056"/>
      <c r="L763" s="337"/>
      <c r="N763" s="2057"/>
      <c r="O763" s="337"/>
      <c r="P763" s="337"/>
      <c r="Q763" s="337"/>
      <c r="R763" s="337"/>
      <c r="S763" s="337"/>
      <c r="T763" s="337"/>
      <c r="U763" s="497"/>
      <c r="V763" s="497"/>
      <c r="W763" s="497"/>
      <c r="X763" s="497"/>
      <c r="Y763" s="497"/>
      <c r="Z763" s="497"/>
      <c r="AA763" s="497"/>
      <c r="AB763" s="497"/>
      <c r="AC763" s="497"/>
      <c r="AD763" s="497"/>
      <c r="AE763" s="497"/>
      <c r="AF763" s="497"/>
      <c r="AG763" s="497"/>
      <c r="AH763" s="497"/>
      <c r="AI763" s="497"/>
      <c r="AJ763" s="497"/>
      <c r="AK763" s="497"/>
      <c r="AL763" s="497"/>
      <c r="AM763" s="497"/>
      <c r="AN763" s="497"/>
      <c r="AO763" s="497"/>
      <c r="AP763" s="497"/>
      <c r="AQ763" s="497"/>
      <c r="AR763" s="497"/>
      <c r="AS763" s="497"/>
      <c r="AT763" s="497"/>
      <c r="AU763" s="497"/>
      <c r="AV763" s="497"/>
      <c r="AW763" s="497"/>
      <c r="AX763" s="497"/>
      <c r="AY763" s="497"/>
      <c r="AZ763" s="497"/>
      <c r="BA763" s="497"/>
      <c r="BB763" s="497"/>
      <c r="BC763" s="497"/>
      <c r="BD763" s="497"/>
      <c r="BE763" s="497"/>
      <c r="BF763" s="497"/>
      <c r="BG763" s="497"/>
      <c r="BH763" s="497"/>
      <c r="BI763" s="497"/>
      <c r="BJ763" s="497"/>
      <c r="BK763" s="497"/>
      <c r="BL763" s="497"/>
      <c r="BM763" s="497"/>
      <c r="BN763" s="497"/>
      <c r="BO763" s="497"/>
      <c r="BP763" s="497"/>
      <c r="BQ763" s="497"/>
      <c r="BR763" s="497"/>
      <c r="BS763" s="497"/>
      <c r="BT763" s="497"/>
      <c r="BU763" s="497"/>
      <c r="BV763" s="497"/>
      <c r="BW763" s="497"/>
      <c r="BX763" s="497"/>
      <c r="BY763" s="497"/>
      <c r="BZ763" s="497"/>
      <c r="CA763" s="497"/>
      <c r="CB763" s="497"/>
      <c r="CC763" s="497"/>
      <c r="CD763" s="497"/>
      <c r="CE763" s="497"/>
      <c r="CF763" s="497"/>
      <c r="CG763" s="497"/>
      <c r="CH763" s="497"/>
    </row>
    <row r="764" spans="1:86" s="335" customFormat="1">
      <c r="A764" s="517"/>
      <c r="B764" s="517"/>
      <c r="C764" s="517"/>
      <c r="D764" s="517"/>
      <c r="E764" s="517"/>
      <c r="F764" s="517"/>
      <c r="G764" s="517"/>
      <c r="H764" s="639"/>
      <c r="I764" s="639"/>
      <c r="J764" s="336"/>
      <c r="K764" s="2056"/>
      <c r="L764" s="337"/>
      <c r="N764" s="2057"/>
      <c r="O764" s="337"/>
      <c r="P764" s="337"/>
      <c r="Q764" s="337"/>
      <c r="R764" s="337"/>
      <c r="S764" s="337"/>
      <c r="T764" s="337"/>
      <c r="U764" s="497"/>
      <c r="V764" s="497"/>
      <c r="W764" s="497"/>
      <c r="X764" s="497"/>
      <c r="Y764" s="497"/>
      <c r="Z764" s="497"/>
      <c r="AA764" s="497"/>
      <c r="AB764" s="497"/>
      <c r="AC764" s="497"/>
      <c r="AD764" s="497"/>
      <c r="AE764" s="497"/>
      <c r="AF764" s="497"/>
      <c r="AG764" s="497"/>
      <c r="AH764" s="497"/>
      <c r="AI764" s="497"/>
      <c r="AJ764" s="497"/>
      <c r="AK764" s="497"/>
      <c r="AL764" s="497"/>
      <c r="AM764" s="497"/>
      <c r="AN764" s="497"/>
      <c r="AO764" s="497"/>
      <c r="AP764" s="497"/>
      <c r="AQ764" s="497"/>
      <c r="AR764" s="497"/>
      <c r="AS764" s="497"/>
      <c r="AT764" s="497"/>
      <c r="AU764" s="497"/>
      <c r="AV764" s="497"/>
      <c r="AW764" s="497"/>
      <c r="AX764" s="497"/>
      <c r="AY764" s="497"/>
      <c r="AZ764" s="497"/>
      <c r="BA764" s="497"/>
      <c r="BB764" s="497"/>
      <c r="BC764" s="497"/>
      <c r="BD764" s="497"/>
      <c r="BE764" s="497"/>
      <c r="BF764" s="497"/>
      <c r="BG764" s="497"/>
      <c r="BH764" s="497"/>
      <c r="BI764" s="497"/>
      <c r="BJ764" s="497"/>
      <c r="BK764" s="497"/>
      <c r="BL764" s="497"/>
      <c r="BM764" s="497"/>
      <c r="BN764" s="497"/>
      <c r="BO764" s="497"/>
      <c r="BP764" s="497"/>
      <c r="BQ764" s="497"/>
      <c r="BR764" s="497"/>
      <c r="BS764" s="497"/>
      <c r="BT764" s="497"/>
      <c r="BU764" s="497"/>
      <c r="BV764" s="497"/>
      <c r="BW764" s="497"/>
      <c r="BX764" s="497"/>
      <c r="BY764" s="497"/>
      <c r="BZ764" s="497"/>
      <c r="CA764" s="497"/>
      <c r="CB764" s="497"/>
      <c r="CC764" s="497"/>
      <c r="CD764" s="497"/>
      <c r="CE764" s="497"/>
      <c r="CF764" s="497"/>
      <c r="CG764" s="497"/>
      <c r="CH764" s="497"/>
    </row>
    <row r="765" spans="1:86" s="335" customFormat="1">
      <c r="A765" s="517"/>
      <c r="B765" s="517"/>
      <c r="C765" s="517"/>
      <c r="D765" s="517"/>
      <c r="E765" s="517"/>
      <c r="F765" s="517"/>
      <c r="G765" s="517"/>
      <c r="H765" s="639"/>
      <c r="I765" s="639"/>
      <c r="J765" s="336"/>
      <c r="K765" s="2056"/>
      <c r="L765" s="337"/>
      <c r="N765" s="2057"/>
      <c r="O765" s="337"/>
      <c r="P765" s="337"/>
      <c r="Q765" s="337"/>
      <c r="R765" s="337"/>
      <c r="S765" s="337"/>
      <c r="T765" s="337"/>
      <c r="U765" s="497"/>
      <c r="V765" s="497"/>
      <c r="W765" s="497"/>
      <c r="X765" s="497"/>
      <c r="Y765" s="497"/>
      <c r="Z765" s="497"/>
      <c r="AA765" s="497"/>
      <c r="AB765" s="497"/>
      <c r="AC765" s="497"/>
      <c r="AD765" s="497"/>
      <c r="AE765" s="497"/>
      <c r="AF765" s="497"/>
      <c r="AG765" s="497"/>
      <c r="AH765" s="497"/>
      <c r="AI765" s="497"/>
      <c r="AJ765" s="497"/>
      <c r="AK765" s="497"/>
      <c r="AL765" s="497"/>
      <c r="AM765" s="497"/>
      <c r="AN765" s="497"/>
      <c r="AO765" s="497"/>
      <c r="AP765" s="497"/>
      <c r="AQ765" s="497"/>
      <c r="AR765" s="497"/>
      <c r="AS765" s="497"/>
      <c r="AT765" s="497"/>
      <c r="AU765" s="497"/>
      <c r="AV765" s="497"/>
      <c r="AW765" s="497"/>
      <c r="AX765" s="497"/>
      <c r="AY765" s="497"/>
      <c r="AZ765" s="497"/>
      <c r="BA765" s="497"/>
      <c r="BB765" s="497"/>
      <c r="BC765" s="497"/>
      <c r="BD765" s="497"/>
      <c r="BE765" s="497"/>
      <c r="BF765" s="497"/>
      <c r="BG765" s="497"/>
      <c r="BH765" s="497"/>
      <c r="BI765" s="497"/>
      <c r="BJ765" s="497"/>
      <c r="BK765" s="497"/>
      <c r="BL765" s="497"/>
      <c r="BM765" s="497"/>
      <c r="BN765" s="497"/>
      <c r="BO765" s="497"/>
      <c r="BP765" s="497"/>
      <c r="BQ765" s="497"/>
      <c r="BR765" s="497"/>
      <c r="BS765" s="497"/>
      <c r="BT765" s="497"/>
      <c r="BU765" s="497"/>
      <c r="BV765" s="497"/>
      <c r="BW765" s="497"/>
      <c r="BX765" s="497"/>
      <c r="BY765" s="497"/>
      <c r="BZ765" s="497"/>
      <c r="CA765" s="497"/>
      <c r="CB765" s="497"/>
      <c r="CC765" s="497"/>
      <c r="CD765" s="497"/>
      <c r="CE765" s="497"/>
      <c r="CF765" s="497"/>
      <c r="CG765" s="497"/>
      <c r="CH765" s="497"/>
    </row>
    <row r="766" spans="1:86" s="335" customFormat="1">
      <c r="A766" s="517"/>
      <c r="B766" s="517"/>
      <c r="C766" s="517"/>
      <c r="D766" s="517"/>
      <c r="E766" s="517"/>
      <c r="F766" s="517"/>
      <c r="G766" s="517"/>
      <c r="H766" s="639"/>
      <c r="I766" s="639"/>
      <c r="J766" s="336"/>
      <c r="K766" s="2056"/>
      <c r="L766" s="337"/>
      <c r="N766" s="2057"/>
      <c r="O766" s="337"/>
      <c r="P766" s="337"/>
      <c r="Q766" s="337"/>
      <c r="R766" s="337"/>
      <c r="S766" s="337"/>
      <c r="T766" s="337"/>
      <c r="U766" s="497"/>
      <c r="V766" s="497"/>
      <c r="W766" s="497"/>
      <c r="X766" s="497"/>
      <c r="Y766" s="497"/>
      <c r="Z766" s="497"/>
      <c r="AA766" s="497"/>
      <c r="AB766" s="497"/>
      <c r="AC766" s="497"/>
      <c r="AD766" s="497"/>
      <c r="AE766" s="497"/>
      <c r="AF766" s="497"/>
      <c r="AG766" s="497"/>
      <c r="AH766" s="497"/>
      <c r="AI766" s="497"/>
      <c r="AJ766" s="497"/>
      <c r="AK766" s="497"/>
      <c r="AL766" s="497"/>
      <c r="AM766" s="497"/>
      <c r="AN766" s="497"/>
      <c r="AO766" s="497"/>
      <c r="AP766" s="497"/>
      <c r="AQ766" s="497"/>
      <c r="AR766" s="497"/>
      <c r="AS766" s="497"/>
      <c r="AT766" s="497"/>
      <c r="AU766" s="497"/>
      <c r="AV766" s="497"/>
      <c r="AW766" s="497"/>
      <c r="AX766" s="497"/>
      <c r="AY766" s="497"/>
      <c r="AZ766" s="497"/>
      <c r="BA766" s="497"/>
      <c r="BB766" s="497"/>
      <c r="BC766" s="497"/>
      <c r="BD766" s="497"/>
      <c r="BE766" s="497"/>
      <c r="BF766" s="497"/>
      <c r="BG766" s="497"/>
      <c r="BH766" s="497"/>
      <c r="BI766" s="497"/>
      <c r="BJ766" s="497"/>
      <c r="BK766" s="497"/>
      <c r="BL766" s="497"/>
      <c r="BM766" s="497"/>
      <c r="BN766" s="497"/>
      <c r="BO766" s="497"/>
      <c r="BP766" s="497"/>
      <c r="BQ766" s="497"/>
      <c r="BR766" s="497"/>
      <c r="BS766" s="497"/>
      <c r="BT766" s="497"/>
      <c r="BU766" s="497"/>
      <c r="BV766" s="497"/>
      <c r="BW766" s="497"/>
      <c r="BX766" s="497"/>
      <c r="BY766" s="497"/>
      <c r="BZ766" s="497"/>
      <c r="CA766" s="497"/>
      <c r="CB766" s="497"/>
      <c r="CC766" s="497"/>
      <c r="CD766" s="497"/>
      <c r="CE766" s="497"/>
      <c r="CF766" s="497"/>
      <c r="CG766" s="497"/>
      <c r="CH766" s="497"/>
    </row>
    <row r="767" spans="1:86" s="335" customFormat="1">
      <c r="A767" s="517"/>
      <c r="B767" s="517"/>
      <c r="C767" s="517"/>
      <c r="D767" s="517"/>
      <c r="E767" s="517"/>
      <c r="F767" s="517"/>
      <c r="G767" s="517"/>
      <c r="H767" s="639"/>
      <c r="I767" s="639"/>
      <c r="J767" s="336"/>
      <c r="K767" s="2056"/>
      <c r="L767" s="337"/>
      <c r="N767" s="2057"/>
      <c r="O767" s="337"/>
      <c r="P767" s="337"/>
      <c r="Q767" s="337"/>
      <c r="R767" s="337"/>
      <c r="S767" s="337"/>
      <c r="T767" s="337"/>
      <c r="U767" s="497"/>
      <c r="V767" s="497"/>
      <c r="W767" s="497"/>
      <c r="X767" s="497"/>
      <c r="Y767" s="497"/>
      <c r="Z767" s="497"/>
      <c r="AA767" s="497"/>
      <c r="AB767" s="497"/>
      <c r="AC767" s="497"/>
      <c r="AD767" s="497"/>
      <c r="AE767" s="497"/>
      <c r="AF767" s="497"/>
      <c r="AG767" s="497"/>
      <c r="AH767" s="497"/>
      <c r="AI767" s="497"/>
      <c r="AJ767" s="497"/>
      <c r="AK767" s="497"/>
      <c r="AL767" s="497"/>
      <c r="AM767" s="497"/>
      <c r="AN767" s="497"/>
      <c r="AO767" s="497"/>
      <c r="AP767" s="497"/>
      <c r="AQ767" s="497"/>
      <c r="AR767" s="497"/>
      <c r="AS767" s="497"/>
      <c r="AT767" s="497"/>
      <c r="AU767" s="497"/>
      <c r="AV767" s="497"/>
      <c r="AW767" s="497"/>
      <c r="AX767" s="497"/>
      <c r="AY767" s="497"/>
      <c r="AZ767" s="497"/>
      <c r="BA767" s="497"/>
      <c r="BB767" s="497"/>
      <c r="BC767" s="497"/>
      <c r="BD767" s="497"/>
      <c r="BE767" s="497"/>
      <c r="BF767" s="497"/>
      <c r="BG767" s="497"/>
      <c r="BH767" s="497"/>
      <c r="BI767" s="497"/>
      <c r="BJ767" s="497"/>
      <c r="BK767" s="497"/>
      <c r="BL767" s="497"/>
      <c r="BM767" s="497"/>
      <c r="BN767" s="497"/>
      <c r="BO767" s="497"/>
      <c r="BP767" s="497"/>
      <c r="BQ767" s="497"/>
      <c r="BR767" s="497"/>
      <c r="BS767" s="497"/>
      <c r="BT767" s="497"/>
      <c r="BU767" s="497"/>
      <c r="BV767" s="497"/>
      <c r="BW767" s="497"/>
      <c r="BX767" s="497"/>
      <c r="BY767" s="497"/>
      <c r="BZ767" s="497"/>
      <c r="CA767" s="497"/>
      <c r="CB767" s="497"/>
      <c r="CC767" s="497"/>
      <c r="CD767" s="497"/>
      <c r="CE767" s="497"/>
      <c r="CF767" s="497"/>
      <c r="CG767" s="497"/>
      <c r="CH767" s="497"/>
    </row>
    <row r="768" spans="1:86" s="335" customFormat="1">
      <c r="A768" s="517"/>
      <c r="B768" s="517"/>
      <c r="C768" s="517"/>
      <c r="D768" s="517"/>
      <c r="E768" s="517"/>
      <c r="F768" s="517"/>
      <c r="G768" s="517"/>
      <c r="H768" s="639"/>
      <c r="I768" s="639"/>
      <c r="J768" s="336"/>
      <c r="K768" s="2056"/>
      <c r="L768" s="337"/>
      <c r="N768" s="2057"/>
      <c r="O768" s="337"/>
      <c r="P768" s="337"/>
      <c r="Q768" s="337"/>
      <c r="R768" s="337"/>
      <c r="S768" s="337"/>
      <c r="T768" s="337"/>
      <c r="U768" s="497"/>
      <c r="V768" s="497"/>
      <c r="W768" s="497"/>
      <c r="X768" s="497"/>
      <c r="Y768" s="497"/>
      <c r="Z768" s="497"/>
      <c r="AA768" s="497"/>
      <c r="AB768" s="497"/>
      <c r="AC768" s="497"/>
      <c r="AD768" s="497"/>
      <c r="AE768" s="497"/>
      <c r="AF768" s="497"/>
      <c r="AG768" s="497"/>
      <c r="AH768" s="497"/>
      <c r="AI768" s="497"/>
      <c r="AJ768" s="497"/>
      <c r="AK768" s="497"/>
      <c r="AL768" s="497"/>
      <c r="AM768" s="497"/>
      <c r="AN768" s="497"/>
      <c r="AO768" s="497"/>
      <c r="AP768" s="497"/>
      <c r="AQ768" s="497"/>
      <c r="AR768" s="497"/>
      <c r="AS768" s="497"/>
      <c r="AT768" s="497"/>
      <c r="AU768" s="497"/>
      <c r="AV768" s="497"/>
      <c r="AW768" s="497"/>
      <c r="AX768" s="497"/>
      <c r="AY768" s="497"/>
      <c r="AZ768" s="497"/>
      <c r="BA768" s="497"/>
      <c r="BB768" s="497"/>
      <c r="BC768" s="497"/>
      <c r="BD768" s="497"/>
      <c r="BE768" s="497"/>
      <c r="BF768" s="497"/>
      <c r="BG768" s="497"/>
      <c r="BH768" s="497"/>
      <c r="BI768" s="497"/>
      <c r="BJ768" s="497"/>
      <c r="BK768" s="497"/>
      <c r="BL768" s="497"/>
      <c r="BM768" s="497"/>
      <c r="BN768" s="497"/>
      <c r="BO768" s="497"/>
      <c r="BP768" s="497"/>
      <c r="BQ768" s="497"/>
      <c r="BR768" s="497"/>
      <c r="BS768" s="497"/>
      <c r="BT768" s="497"/>
      <c r="BU768" s="497"/>
      <c r="BV768" s="497"/>
      <c r="BW768" s="497"/>
      <c r="BX768" s="497"/>
      <c r="BY768" s="497"/>
      <c r="BZ768" s="497"/>
      <c r="CA768" s="497"/>
      <c r="CB768" s="497"/>
      <c r="CC768" s="497"/>
      <c r="CD768" s="497"/>
      <c r="CE768" s="497"/>
      <c r="CF768" s="497"/>
      <c r="CG768" s="497"/>
      <c r="CH768" s="497"/>
    </row>
    <row r="769" spans="1:86" s="335" customFormat="1">
      <c r="A769" s="517"/>
      <c r="B769" s="517"/>
      <c r="C769" s="517"/>
      <c r="D769" s="517"/>
      <c r="E769" s="517"/>
      <c r="F769" s="517"/>
      <c r="G769" s="517"/>
      <c r="H769" s="639"/>
      <c r="I769" s="639"/>
      <c r="J769" s="336"/>
      <c r="K769" s="2056"/>
      <c r="L769" s="337"/>
      <c r="N769" s="2057"/>
      <c r="O769" s="337"/>
      <c r="P769" s="337"/>
      <c r="Q769" s="337"/>
      <c r="R769" s="337"/>
      <c r="S769" s="337"/>
      <c r="T769" s="337"/>
      <c r="U769" s="497"/>
      <c r="V769" s="497"/>
      <c r="W769" s="497"/>
      <c r="X769" s="497"/>
      <c r="Y769" s="497"/>
      <c r="Z769" s="497"/>
      <c r="AA769" s="497"/>
      <c r="AB769" s="497"/>
      <c r="AC769" s="497"/>
      <c r="AD769" s="497"/>
      <c r="AE769" s="497"/>
      <c r="AF769" s="497"/>
      <c r="AG769" s="497"/>
      <c r="AH769" s="497"/>
      <c r="AI769" s="497"/>
      <c r="AJ769" s="497"/>
      <c r="AK769" s="497"/>
      <c r="AL769" s="497"/>
      <c r="AM769" s="497"/>
      <c r="AN769" s="497"/>
      <c r="AO769" s="497"/>
      <c r="AP769" s="497"/>
      <c r="AQ769" s="497"/>
      <c r="AR769" s="497"/>
      <c r="AS769" s="497"/>
      <c r="AT769" s="497"/>
      <c r="AU769" s="497"/>
      <c r="AV769" s="497"/>
      <c r="AW769" s="497"/>
      <c r="AX769" s="497"/>
      <c r="AY769" s="497"/>
      <c r="AZ769" s="497"/>
      <c r="BA769" s="497"/>
      <c r="BB769" s="497"/>
      <c r="BC769" s="497"/>
      <c r="BD769" s="497"/>
      <c r="BE769" s="497"/>
      <c r="BF769" s="497"/>
      <c r="BG769" s="497"/>
      <c r="BH769" s="497"/>
      <c r="BI769" s="497"/>
      <c r="BJ769" s="497"/>
      <c r="BK769" s="497"/>
      <c r="BL769" s="497"/>
      <c r="BM769" s="497"/>
      <c r="BN769" s="497"/>
      <c r="BO769" s="497"/>
      <c r="BP769" s="497"/>
      <c r="BQ769" s="497"/>
      <c r="BR769" s="497"/>
      <c r="BS769" s="497"/>
      <c r="BT769" s="497"/>
      <c r="BU769" s="497"/>
      <c r="BV769" s="497"/>
      <c r="BW769" s="497"/>
      <c r="BX769" s="497"/>
      <c r="BY769" s="497"/>
      <c r="BZ769" s="497"/>
      <c r="CA769" s="497"/>
      <c r="CB769" s="497"/>
      <c r="CC769" s="497"/>
      <c r="CD769" s="497"/>
      <c r="CE769" s="497"/>
      <c r="CF769" s="497"/>
      <c r="CG769" s="497"/>
      <c r="CH769" s="497"/>
    </row>
    <row r="770" spans="1:86" s="335" customFormat="1">
      <c r="A770" s="517"/>
      <c r="B770" s="517"/>
      <c r="C770" s="517"/>
      <c r="D770" s="517"/>
      <c r="E770" s="517"/>
      <c r="F770" s="517"/>
      <c r="G770" s="517"/>
      <c r="H770" s="639"/>
      <c r="I770" s="639"/>
      <c r="J770" s="336"/>
      <c r="K770" s="2056"/>
      <c r="L770" s="337"/>
      <c r="N770" s="2057"/>
      <c r="O770" s="337"/>
      <c r="P770" s="337"/>
      <c r="Q770" s="337"/>
      <c r="R770" s="337"/>
      <c r="S770" s="337"/>
      <c r="T770" s="337"/>
      <c r="U770" s="497"/>
      <c r="V770" s="497"/>
      <c r="W770" s="497"/>
      <c r="X770" s="497"/>
      <c r="Y770" s="497"/>
      <c r="Z770" s="497"/>
      <c r="AA770" s="497"/>
      <c r="AB770" s="497"/>
      <c r="AC770" s="497"/>
      <c r="AD770" s="497"/>
      <c r="AE770" s="497"/>
      <c r="AF770" s="497"/>
      <c r="AG770" s="497"/>
      <c r="AH770" s="497"/>
      <c r="AI770" s="497"/>
      <c r="AJ770" s="497"/>
      <c r="AK770" s="497"/>
      <c r="AL770" s="497"/>
      <c r="AM770" s="497"/>
      <c r="AN770" s="497"/>
      <c r="AO770" s="497"/>
      <c r="AP770" s="497"/>
      <c r="AQ770" s="497"/>
      <c r="AR770" s="497"/>
      <c r="AS770" s="497"/>
      <c r="AT770" s="497"/>
      <c r="AU770" s="497"/>
      <c r="AV770" s="497"/>
      <c r="AW770" s="497"/>
      <c r="AX770" s="497"/>
      <c r="AY770" s="497"/>
      <c r="AZ770" s="497"/>
      <c r="BA770" s="497"/>
      <c r="BB770" s="497"/>
      <c r="BC770" s="497"/>
      <c r="BD770" s="497"/>
      <c r="BE770" s="497"/>
      <c r="BF770" s="497"/>
      <c r="BG770" s="497"/>
      <c r="BH770" s="497"/>
      <c r="BI770" s="497"/>
      <c r="BJ770" s="497"/>
      <c r="BK770" s="497"/>
      <c r="BL770" s="497"/>
      <c r="BM770" s="497"/>
      <c r="BN770" s="497"/>
      <c r="BO770" s="497"/>
      <c r="BP770" s="497"/>
      <c r="BQ770" s="497"/>
      <c r="BR770" s="497"/>
      <c r="BS770" s="497"/>
      <c r="BT770" s="497"/>
      <c r="BU770" s="497"/>
      <c r="BV770" s="497"/>
      <c r="BW770" s="497"/>
      <c r="BX770" s="497"/>
      <c r="BY770" s="497"/>
      <c r="BZ770" s="497"/>
      <c r="CA770" s="497"/>
      <c r="CB770" s="497"/>
      <c r="CC770" s="497"/>
      <c r="CD770" s="497"/>
      <c r="CE770" s="497"/>
      <c r="CF770" s="497"/>
      <c r="CG770" s="497"/>
      <c r="CH770" s="497"/>
    </row>
    <row r="771" spans="1:86" s="335" customFormat="1">
      <c r="A771" s="517"/>
      <c r="B771" s="517"/>
      <c r="C771" s="517"/>
      <c r="D771" s="517"/>
      <c r="E771" s="517"/>
      <c r="F771" s="517"/>
      <c r="G771" s="517"/>
      <c r="H771" s="639"/>
      <c r="I771" s="639"/>
      <c r="J771" s="336"/>
      <c r="K771" s="2056"/>
      <c r="L771" s="337"/>
      <c r="N771" s="2057"/>
      <c r="O771" s="337"/>
      <c r="P771" s="337"/>
      <c r="Q771" s="337"/>
      <c r="R771" s="337"/>
      <c r="S771" s="337"/>
      <c r="T771" s="337"/>
      <c r="U771" s="497"/>
      <c r="V771" s="497"/>
      <c r="W771" s="497"/>
      <c r="X771" s="497"/>
      <c r="Y771" s="497"/>
      <c r="Z771" s="497"/>
      <c r="AA771" s="497"/>
      <c r="AB771" s="497"/>
      <c r="AC771" s="497"/>
      <c r="AD771" s="497"/>
      <c r="AE771" s="497"/>
      <c r="AF771" s="497"/>
      <c r="AG771" s="497"/>
      <c r="AH771" s="497"/>
      <c r="AI771" s="497"/>
      <c r="AJ771" s="497"/>
      <c r="AK771" s="497"/>
      <c r="AL771" s="497"/>
      <c r="AM771" s="497"/>
      <c r="AN771" s="497"/>
      <c r="AO771" s="497"/>
      <c r="AP771" s="497"/>
      <c r="AQ771" s="497"/>
      <c r="AR771" s="497"/>
      <c r="AS771" s="497"/>
      <c r="AT771" s="497"/>
      <c r="AU771" s="497"/>
      <c r="AV771" s="497"/>
      <c r="AW771" s="497"/>
      <c r="AX771" s="497"/>
      <c r="AY771" s="497"/>
      <c r="AZ771" s="497"/>
      <c r="BA771" s="497"/>
      <c r="BB771" s="497"/>
      <c r="BC771" s="497"/>
      <c r="BD771" s="497"/>
      <c r="BE771" s="497"/>
      <c r="BF771" s="497"/>
      <c r="BG771" s="497"/>
      <c r="BH771" s="497"/>
      <c r="BI771" s="497"/>
      <c r="BJ771" s="497"/>
      <c r="BK771" s="497"/>
      <c r="BL771" s="497"/>
      <c r="BM771" s="497"/>
      <c r="BN771" s="497"/>
      <c r="BO771" s="497"/>
      <c r="BP771" s="497"/>
      <c r="BQ771" s="497"/>
      <c r="BR771" s="497"/>
      <c r="BS771" s="497"/>
      <c r="BT771" s="497"/>
      <c r="BU771" s="497"/>
      <c r="BV771" s="497"/>
      <c r="BW771" s="497"/>
      <c r="BX771" s="497"/>
      <c r="BY771" s="497"/>
      <c r="BZ771" s="497"/>
      <c r="CA771" s="497"/>
      <c r="CB771" s="497"/>
      <c r="CC771" s="497"/>
      <c r="CD771" s="497"/>
      <c r="CE771" s="497"/>
      <c r="CF771" s="497"/>
      <c r="CG771" s="497"/>
      <c r="CH771" s="497"/>
    </row>
    <row r="772" spans="1:86" s="335" customFormat="1">
      <c r="A772" s="517"/>
      <c r="B772" s="517"/>
      <c r="C772" s="517"/>
      <c r="D772" s="517"/>
      <c r="E772" s="517"/>
      <c r="F772" s="517"/>
      <c r="G772" s="517"/>
      <c r="H772" s="639"/>
      <c r="I772" s="639"/>
      <c r="J772" s="336"/>
      <c r="K772" s="2056"/>
      <c r="L772" s="337"/>
      <c r="N772" s="2057"/>
      <c r="O772" s="337"/>
      <c r="P772" s="337"/>
      <c r="Q772" s="337"/>
      <c r="R772" s="337"/>
      <c r="S772" s="337"/>
      <c r="T772" s="337"/>
      <c r="U772" s="497"/>
      <c r="V772" s="497"/>
      <c r="W772" s="497"/>
      <c r="X772" s="497"/>
      <c r="Y772" s="497"/>
      <c r="Z772" s="497"/>
      <c r="AA772" s="497"/>
      <c r="AB772" s="497"/>
      <c r="AC772" s="497"/>
      <c r="AD772" s="497"/>
      <c r="AE772" s="497"/>
      <c r="AF772" s="497"/>
      <c r="AG772" s="497"/>
      <c r="AH772" s="497"/>
      <c r="AI772" s="497"/>
      <c r="AJ772" s="497"/>
      <c r="AK772" s="497"/>
      <c r="AL772" s="497"/>
      <c r="AM772" s="497"/>
      <c r="AN772" s="497"/>
      <c r="AO772" s="497"/>
      <c r="AP772" s="497"/>
      <c r="AQ772" s="497"/>
      <c r="AR772" s="497"/>
      <c r="AS772" s="497"/>
      <c r="AT772" s="497"/>
      <c r="AU772" s="497"/>
      <c r="AV772" s="497"/>
      <c r="AW772" s="497"/>
      <c r="AX772" s="497"/>
      <c r="AY772" s="497"/>
      <c r="AZ772" s="497"/>
      <c r="BA772" s="497"/>
      <c r="BB772" s="497"/>
      <c r="BC772" s="497"/>
      <c r="BD772" s="497"/>
      <c r="BE772" s="497"/>
      <c r="BF772" s="497"/>
      <c r="BG772" s="497"/>
      <c r="BH772" s="497"/>
      <c r="BI772" s="497"/>
      <c r="BJ772" s="497"/>
      <c r="BK772" s="497"/>
      <c r="BL772" s="497"/>
      <c r="BM772" s="497"/>
      <c r="BN772" s="497"/>
      <c r="BO772" s="497"/>
      <c r="BP772" s="497"/>
      <c r="BQ772" s="497"/>
      <c r="BR772" s="497"/>
      <c r="BS772" s="497"/>
      <c r="BT772" s="497"/>
      <c r="BU772" s="497"/>
      <c r="BV772" s="497"/>
      <c r="BW772" s="497"/>
      <c r="BX772" s="497"/>
      <c r="BY772" s="497"/>
      <c r="BZ772" s="497"/>
      <c r="CA772" s="497"/>
      <c r="CB772" s="497"/>
      <c r="CC772" s="497"/>
      <c r="CD772" s="497"/>
      <c r="CE772" s="497"/>
      <c r="CF772" s="497"/>
      <c r="CG772" s="497"/>
      <c r="CH772" s="497"/>
    </row>
    <row r="773" spans="1:86" s="335" customFormat="1">
      <c r="A773" s="517"/>
      <c r="B773" s="517"/>
      <c r="C773" s="517"/>
      <c r="D773" s="517"/>
      <c r="E773" s="517"/>
      <c r="F773" s="517"/>
      <c r="G773" s="517"/>
      <c r="H773" s="639"/>
      <c r="I773" s="639"/>
      <c r="J773" s="336"/>
      <c r="K773" s="2056"/>
      <c r="L773" s="337"/>
      <c r="N773" s="2057"/>
      <c r="O773" s="337"/>
      <c r="P773" s="337"/>
      <c r="Q773" s="337"/>
      <c r="R773" s="337"/>
      <c r="S773" s="337"/>
      <c r="T773" s="337"/>
      <c r="U773" s="497"/>
      <c r="V773" s="497"/>
      <c r="W773" s="497"/>
      <c r="X773" s="497"/>
      <c r="Y773" s="497"/>
      <c r="Z773" s="497"/>
      <c r="AA773" s="497"/>
      <c r="AB773" s="497"/>
      <c r="AC773" s="497"/>
      <c r="AD773" s="497"/>
      <c r="AE773" s="497"/>
      <c r="AF773" s="497"/>
      <c r="AG773" s="497"/>
      <c r="AH773" s="497"/>
      <c r="AI773" s="497"/>
      <c r="AJ773" s="497"/>
      <c r="AK773" s="497"/>
      <c r="AL773" s="497"/>
      <c r="AM773" s="497"/>
      <c r="AN773" s="497"/>
      <c r="AO773" s="497"/>
      <c r="AP773" s="497"/>
      <c r="AQ773" s="497"/>
      <c r="AR773" s="497"/>
      <c r="AS773" s="497"/>
      <c r="AT773" s="497"/>
      <c r="AU773" s="497"/>
      <c r="AV773" s="497"/>
      <c r="AW773" s="497"/>
      <c r="AX773" s="497"/>
      <c r="AY773" s="497"/>
      <c r="AZ773" s="497"/>
      <c r="BA773" s="497"/>
      <c r="BB773" s="497"/>
      <c r="BC773" s="497"/>
      <c r="BD773" s="497"/>
      <c r="BE773" s="497"/>
      <c r="BF773" s="497"/>
      <c r="BG773" s="497"/>
      <c r="BH773" s="497"/>
      <c r="BI773" s="497"/>
      <c r="BJ773" s="497"/>
      <c r="BK773" s="497"/>
      <c r="BL773" s="497"/>
      <c r="BM773" s="497"/>
      <c r="BN773" s="497"/>
      <c r="BO773" s="497"/>
      <c r="BP773" s="497"/>
      <c r="BQ773" s="497"/>
      <c r="BR773" s="497"/>
      <c r="BS773" s="497"/>
      <c r="BT773" s="497"/>
      <c r="BU773" s="497"/>
      <c r="BV773" s="497"/>
      <c r="BW773" s="497"/>
      <c r="BX773" s="497"/>
      <c r="BY773" s="497"/>
      <c r="BZ773" s="497"/>
      <c r="CA773" s="497"/>
      <c r="CB773" s="497"/>
      <c r="CC773" s="497"/>
      <c r="CD773" s="497"/>
      <c r="CE773" s="497"/>
      <c r="CF773" s="497"/>
      <c r="CG773" s="497"/>
      <c r="CH773" s="497"/>
    </row>
    <row r="774" spans="1:86" s="335" customFormat="1">
      <c r="A774" s="517"/>
      <c r="B774" s="517"/>
      <c r="C774" s="517"/>
      <c r="D774" s="517"/>
      <c r="E774" s="517"/>
      <c r="F774" s="517"/>
      <c r="G774" s="517"/>
      <c r="H774" s="639"/>
      <c r="I774" s="639"/>
      <c r="J774" s="336"/>
      <c r="K774" s="2056"/>
      <c r="L774" s="337"/>
      <c r="N774" s="2057"/>
      <c r="O774" s="337"/>
      <c r="P774" s="337"/>
      <c r="Q774" s="337"/>
      <c r="R774" s="337"/>
      <c r="S774" s="337"/>
      <c r="T774" s="337"/>
      <c r="U774" s="497"/>
      <c r="V774" s="497"/>
      <c r="W774" s="497"/>
      <c r="X774" s="497"/>
      <c r="Y774" s="497"/>
      <c r="Z774" s="497"/>
      <c r="AA774" s="497"/>
      <c r="AB774" s="497"/>
      <c r="AC774" s="497"/>
      <c r="AD774" s="497"/>
      <c r="AE774" s="497"/>
      <c r="AF774" s="497"/>
      <c r="AG774" s="497"/>
      <c r="AH774" s="497"/>
      <c r="AI774" s="497"/>
      <c r="AJ774" s="497"/>
      <c r="AK774" s="497"/>
      <c r="AL774" s="497"/>
      <c r="AM774" s="497"/>
      <c r="AN774" s="497"/>
      <c r="AO774" s="497"/>
      <c r="AP774" s="497"/>
      <c r="AQ774" s="497"/>
      <c r="AR774" s="497"/>
      <c r="AS774" s="497"/>
      <c r="AT774" s="497"/>
      <c r="AU774" s="497"/>
      <c r="AV774" s="497"/>
      <c r="AW774" s="497"/>
      <c r="AX774" s="497"/>
      <c r="AY774" s="497"/>
      <c r="AZ774" s="497"/>
      <c r="BA774" s="497"/>
      <c r="BB774" s="497"/>
      <c r="BC774" s="497"/>
      <c r="BD774" s="497"/>
      <c r="BE774" s="497"/>
      <c r="BF774" s="497"/>
      <c r="BG774" s="497"/>
      <c r="BH774" s="497"/>
      <c r="BI774" s="497"/>
      <c r="BJ774" s="497"/>
      <c r="BK774" s="497"/>
      <c r="BL774" s="497"/>
      <c r="BM774" s="497"/>
      <c r="BN774" s="497"/>
      <c r="BO774" s="497"/>
      <c r="BP774" s="497"/>
      <c r="BQ774" s="497"/>
      <c r="BR774" s="497"/>
      <c r="BS774" s="497"/>
      <c r="BT774" s="497"/>
      <c r="BU774" s="497"/>
      <c r="BV774" s="497"/>
      <c r="BW774" s="497"/>
      <c r="BX774" s="497"/>
      <c r="BY774" s="497"/>
      <c r="BZ774" s="497"/>
      <c r="CA774" s="497"/>
      <c r="CB774" s="497"/>
      <c r="CC774" s="497"/>
      <c r="CD774" s="497"/>
      <c r="CE774" s="497"/>
      <c r="CF774" s="497"/>
      <c r="CG774" s="497"/>
      <c r="CH774" s="497"/>
    </row>
    <row r="775" spans="1:86" s="335" customFormat="1">
      <c r="A775" s="517"/>
      <c r="B775" s="517"/>
      <c r="C775" s="517"/>
      <c r="D775" s="517"/>
      <c r="E775" s="517"/>
      <c r="F775" s="517"/>
      <c r="G775" s="517"/>
      <c r="H775" s="639"/>
      <c r="I775" s="639"/>
      <c r="J775" s="336"/>
      <c r="K775" s="2056"/>
      <c r="L775" s="337"/>
      <c r="N775" s="2057"/>
      <c r="O775" s="337"/>
      <c r="P775" s="337"/>
      <c r="Q775" s="337"/>
      <c r="R775" s="337"/>
      <c r="S775" s="337"/>
      <c r="T775" s="337"/>
      <c r="U775" s="497"/>
      <c r="V775" s="497"/>
      <c r="W775" s="497"/>
      <c r="X775" s="497"/>
      <c r="Y775" s="497"/>
      <c r="Z775" s="497"/>
      <c r="AA775" s="497"/>
      <c r="AB775" s="497"/>
      <c r="AC775" s="497"/>
      <c r="AD775" s="497"/>
      <c r="AE775" s="497"/>
      <c r="AF775" s="497"/>
      <c r="AG775" s="497"/>
      <c r="AH775" s="497"/>
      <c r="AI775" s="497"/>
      <c r="AJ775" s="497"/>
      <c r="AK775" s="497"/>
      <c r="AL775" s="497"/>
      <c r="AM775" s="497"/>
      <c r="AN775" s="497"/>
      <c r="AO775" s="497"/>
      <c r="AP775" s="497"/>
      <c r="AQ775" s="497"/>
      <c r="AR775" s="497"/>
      <c r="AS775" s="497"/>
      <c r="AT775" s="497"/>
      <c r="AU775" s="497"/>
      <c r="AV775" s="497"/>
      <c r="AW775" s="497"/>
      <c r="AX775" s="497"/>
      <c r="AY775" s="497"/>
      <c r="AZ775" s="497"/>
      <c r="BA775" s="497"/>
      <c r="BB775" s="497"/>
      <c r="BC775" s="497"/>
      <c r="BD775" s="497"/>
      <c r="BE775" s="497"/>
      <c r="BF775" s="497"/>
      <c r="BG775" s="497"/>
      <c r="BH775" s="497"/>
      <c r="BI775" s="497"/>
      <c r="BJ775" s="497"/>
      <c r="BK775" s="497"/>
      <c r="BL775" s="497"/>
      <c r="BM775" s="497"/>
      <c r="BN775" s="497"/>
      <c r="BO775" s="497"/>
      <c r="BP775" s="497"/>
      <c r="BQ775" s="497"/>
      <c r="BR775" s="497"/>
      <c r="BS775" s="497"/>
      <c r="BT775" s="497"/>
      <c r="BU775" s="497"/>
      <c r="BV775" s="497"/>
      <c r="BW775" s="497"/>
      <c r="BX775" s="497"/>
      <c r="BY775" s="497"/>
      <c r="BZ775" s="497"/>
      <c r="CA775" s="497"/>
      <c r="CB775" s="497"/>
      <c r="CC775" s="497"/>
      <c r="CD775" s="497"/>
      <c r="CE775" s="497"/>
      <c r="CF775" s="497"/>
      <c r="CG775" s="497"/>
      <c r="CH775" s="497"/>
    </row>
    <row r="776" spans="1:86" s="335" customFormat="1">
      <c r="A776" s="517"/>
      <c r="B776" s="517"/>
      <c r="C776" s="517"/>
      <c r="D776" s="517"/>
      <c r="E776" s="517"/>
      <c r="F776" s="517"/>
      <c r="G776" s="517"/>
      <c r="H776" s="639"/>
      <c r="I776" s="639"/>
      <c r="J776" s="336"/>
      <c r="K776" s="2056"/>
      <c r="L776" s="337"/>
      <c r="N776" s="2057"/>
      <c r="O776" s="337"/>
      <c r="P776" s="337"/>
      <c r="Q776" s="337"/>
      <c r="R776" s="337"/>
      <c r="S776" s="337"/>
      <c r="T776" s="337"/>
      <c r="U776" s="497"/>
      <c r="V776" s="497"/>
      <c r="W776" s="497"/>
      <c r="X776" s="497"/>
      <c r="Y776" s="497"/>
      <c r="Z776" s="497"/>
      <c r="AA776" s="497"/>
      <c r="AB776" s="497"/>
      <c r="AC776" s="497"/>
      <c r="AD776" s="497"/>
      <c r="AE776" s="497"/>
      <c r="AF776" s="497"/>
      <c r="AG776" s="497"/>
      <c r="AH776" s="497"/>
      <c r="AI776" s="497"/>
      <c r="AJ776" s="497"/>
      <c r="AK776" s="497"/>
      <c r="AL776" s="497"/>
      <c r="AM776" s="497"/>
      <c r="AN776" s="497"/>
      <c r="AO776" s="497"/>
      <c r="AP776" s="497"/>
      <c r="AQ776" s="497"/>
      <c r="AR776" s="497"/>
      <c r="AS776" s="497"/>
      <c r="AT776" s="497"/>
      <c r="AU776" s="497"/>
      <c r="AV776" s="497"/>
      <c r="AW776" s="497"/>
      <c r="AX776" s="497"/>
      <c r="AY776" s="497"/>
      <c r="AZ776" s="497"/>
      <c r="BA776" s="497"/>
      <c r="BB776" s="497"/>
      <c r="BC776" s="497"/>
      <c r="BD776" s="497"/>
      <c r="BE776" s="497"/>
      <c r="BF776" s="497"/>
      <c r="BG776" s="497"/>
      <c r="BH776" s="497"/>
      <c r="BI776" s="497"/>
      <c r="BJ776" s="497"/>
      <c r="BK776" s="497"/>
      <c r="BL776" s="497"/>
      <c r="BM776" s="497"/>
      <c r="BN776" s="497"/>
      <c r="BO776" s="497"/>
      <c r="BP776" s="497"/>
      <c r="BQ776" s="497"/>
      <c r="BR776" s="497"/>
      <c r="BS776" s="497"/>
      <c r="BT776" s="497"/>
      <c r="BU776" s="497"/>
      <c r="BV776" s="497"/>
      <c r="BW776" s="497"/>
      <c r="BX776" s="497"/>
      <c r="BY776" s="497"/>
      <c r="BZ776" s="497"/>
      <c r="CA776" s="497"/>
      <c r="CB776" s="497"/>
      <c r="CC776" s="497"/>
      <c r="CD776" s="497"/>
      <c r="CE776" s="497"/>
      <c r="CF776" s="497"/>
      <c r="CG776" s="497"/>
      <c r="CH776" s="497"/>
    </row>
    <row r="777" spans="1:86" s="335" customFormat="1">
      <c r="A777" s="517"/>
      <c r="B777" s="517"/>
      <c r="C777" s="517"/>
      <c r="D777" s="517"/>
      <c r="E777" s="517"/>
      <c r="F777" s="517"/>
      <c r="G777" s="517"/>
      <c r="H777" s="639"/>
      <c r="I777" s="639"/>
      <c r="J777" s="336"/>
      <c r="K777" s="2056"/>
      <c r="L777" s="337"/>
      <c r="N777" s="2057"/>
      <c r="O777" s="337"/>
      <c r="P777" s="337"/>
      <c r="Q777" s="337"/>
      <c r="R777" s="337"/>
      <c r="S777" s="337"/>
      <c r="T777" s="337"/>
      <c r="U777" s="497"/>
      <c r="V777" s="497"/>
      <c r="W777" s="497"/>
      <c r="X777" s="497"/>
      <c r="Y777" s="497"/>
      <c r="Z777" s="497"/>
      <c r="AA777" s="497"/>
      <c r="AB777" s="497"/>
      <c r="AC777" s="497"/>
      <c r="AD777" s="497"/>
      <c r="AE777" s="497"/>
      <c r="AF777" s="497"/>
      <c r="AG777" s="497"/>
      <c r="AH777" s="497"/>
      <c r="AI777" s="497"/>
      <c r="AJ777" s="497"/>
      <c r="AK777" s="497"/>
      <c r="AL777" s="497"/>
      <c r="AM777" s="497"/>
      <c r="AN777" s="497"/>
      <c r="AO777" s="497"/>
      <c r="AP777" s="497"/>
      <c r="AQ777" s="497"/>
      <c r="AR777" s="497"/>
      <c r="AS777" s="497"/>
      <c r="AT777" s="497"/>
      <c r="AU777" s="497"/>
      <c r="AV777" s="497"/>
      <c r="AW777" s="497"/>
      <c r="AX777" s="497"/>
      <c r="AY777" s="497"/>
      <c r="AZ777" s="497"/>
      <c r="BA777" s="497"/>
      <c r="BB777" s="497"/>
      <c r="BC777" s="497"/>
      <c r="BD777" s="497"/>
      <c r="BE777" s="497"/>
      <c r="BF777" s="497"/>
      <c r="BG777" s="497"/>
      <c r="BH777" s="497"/>
      <c r="BI777" s="497"/>
      <c r="BJ777" s="497"/>
      <c r="BK777" s="497"/>
      <c r="BL777" s="497"/>
      <c r="BM777" s="497"/>
      <c r="BN777" s="497"/>
      <c r="BO777" s="497"/>
      <c r="BP777" s="497"/>
      <c r="BQ777" s="497"/>
      <c r="BR777" s="497"/>
      <c r="BS777" s="497"/>
      <c r="BT777" s="497"/>
      <c r="BU777" s="497"/>
      <c r="BV777" s="497"/>
      <c r="BW777" s="497"/>
      <c r="BX777" s="497"/>
      <c r="BY777" s="497"/>
      <c r="BZ777" s="497"/>
      <c r="CA777" s="497"/>
      <c r="CB777" s="497"/>
      <c r="CC777" s="497"/>
      <c r="CD777" s="497"/>
      <c r="CE777" s="497"/>
      <c r="CF777" s="497"/>
      <c r="CG777" s="497"/>
      <c r="CH777" s="497"/>
    </row>
    <row r="778" spans="1:86" s="335" customFormat="1">
      <c r="A778" s="517"/>
      <c r="B778" s="517"/>
      <c r="C778" s="517"/>
      <c r="D778" s="517"/>
      <c r="E778" s="517"/>
      <c r="F778" s="517"/>
      <c r="G778" s="517"/>
      <c r="H778" s="639"/>
      <c r="I778" s="639"/>
      <c r="J778" s="336"/>
      <c r="K778" s="2056"/>
      <c r="L778" s="337"/>
      <c r="N778" s="2057"/>
      <c r="O778" s="337"/>
      <c r="P778" s="337"/>
      <c r="Q778" s="337"/>
      <c r="R778" s="337"/>
      <c r="S778" s="337"/>
      <c r="T778" s="337"/>
      <c r="U778" s="497"/>
      <c r="V778" s="497"/>
      <c r="W778" s="497"/>
      <c r="X778" s="497"/>
      <c r="Y778" s="497"/>
      <c r="Z778" s="497"/>
      <c r="AA778" s="497"/>
      <c r="AB778" s="497"/>
      <c r="AC778" s="497"/>
      <c r="AD778" s="497"/>
      <c r="AE778" s="497"/>
      <c r="AF778" s="497"/>
      <c r="AG778" s="497"/>
      <c r="AH778" s="497"/>
      <c r="AI778" s="497"/>
      <c r="AJ778" s="497"/>
      <c r="AK778" s="497"/>
      <c r="AL778" s="497"/>
      <c r="AM778" s="497"/>
      <c r="AN778" s="497"/>
      <c r="AO778" s="497"/>
      <c r="AP778" s="497"/>
      <c r="AQ778" s="497"/>
      <c r="AR778" s="497"/>
      <c r="AS778" s="497"/>
      <c r="AT778" s="497"/>
      <c r="AU778" s="497"/>
      <c r="AV778" s="497"/>
      <c r="AW778" s="497"/>
      <c r="AX778" s="497"/>
      <c r="AY778" s="497"/>
      <c r="AZ778" s="497"/>
      <c r="BA778" s="497"/>
      <c r="BB778" s="497"/>
      <c r="BC778" s="497"/>
      <c r="BD778" s="497"/>
      <c r="BE778" s="497"/>
      <c r="BF778" s="497"/>
      <c r="BG778" s="497"/>
      <c r="BH778" s="497"/>
      <c r="BI778" s="497"/>
      <c r="BJ778" s="497"/>
      <c r="BK778" s="497"/>
      <c r="BL778" s="497"/>
      <c r="BM778" s="497"/>
      <c r="BN778" s="497"/>
      <c r="BO778" s="497"/>
      <c r="BP778" s="497"/>
      <c r="BQ778" s="497"/>
      <c r="BR778" s="497"/>
      <c r="BS778" s="497"/>
      <c r="BT778" s="497"/>
      <c r="BU778" s="497"/>
      <c r="BV778" s="497"/>
      <c r="BW778" s="497"/>
      <c r="BX778" s="497"/>
      <c r="BY778" s="497"/>
      <c r="BZ778" s="497"/>
      <c r="CA778" s="497"/>
      <c r="CB778" s="497"/>
      <c r="CC778" s="497"/>
      <c r="CD778" s="497"/>
      <c r="CE778" s="497"/>
      <c r="CF778" s="497"/>
      <c r="CG778" s="497"/>
      <c r="CH778" s="497"/>
    </row>
    <row r="779" spans="1:86" s="335" customFormat="1">
      <c r="A779" s="517"/>
      <c r="B779" s="517"/>
      <c r="C779" s="517"/>
      <c r="D779" s="517"/>
      <c r="E779" s="517"/>
      <c r="F779" s="517"/>
      <c r="G779" s="517"/>
      <c r="H779" s="639"/>
      <c r="I779" s="639"/>
      <c r="J779" s="336"/>
      <c r="K779" s="2056"/>
      <c r="L779" s="337"/>
      <c r="N779" s="2057"/>
      <c r="O779" s="337"/>
      <c r="P779" s="337"/>
      <c r="Q779" s="337"/>
      <c r="R779" s="337"/>
      <c r="S779" s="337"/>
      <c r="T779" s="337"/>
      <c r="U779" s="497"/>
      <c r="V779" s="497"/>
      <c r="W779" s="497"/>
      <c r="X779" s="497"/>
      <c r="Y779" s="497"/>
      <c r="Z779" s="497"/>
      <c r="AA779" s="497"/>
      <c r="AB779" s="497"/>
      <c r="AC779" s="497"/>
      <c r="AD779" s="497"/>
      <c r="AE779" s="497"/>
      <c r="AF779" s="497"/>
      <c r="AG779" s="497"/>
      <c r="AH779" s="497"/>
      <c r="AI779" s="497"/>
      <c r="AJ779" s="497"/>
      <c r="AK779" s="497"/>
      <c r="AL779" s="497"/>
      <c r="AM779" s="497"/>
      <c r="AN779" s="497"/>
      <c r="AO779" s="497"/>
      <c r="AP779" s="497"/>
      <c r="AQ779" s="497"/>
      <c r="AR779" s="497"/>
      <c r="AS779" s="497"/>
      <c r="AT779" s="497"/>
      <c r="AU779" s="497"/>
      <c r="AV779" s="497"/>
      <c r="AW779" s="497"/>
      <c r="AX779" s="497"/>
      <c r="AY779" s="497"/>
      <c r="AZ779" s="497"/>
      <c r="BA779" s="497"/>
      <c r="BB779" s="497"/>
      <c r="BC779" s="497"/>
      <c r="BD779" s="497"/>
      <c r="BE779" s="497"/>
      <c r="BF779" s="497"/>
      <c r="BG779" s="497"/>
      <c r="BH779" s="497"/>
      <c r="BI779" s="497"/>
      <c r="BJ779" s="497"/>
      <c r="BK779" s="497"/>
      <c r="BL779" s="497"/>
      <c r="BM779" s="497"/>
      <c r="BN779" s="497"/>
      <c r="BO779" s="497"/>
      <c r="BP779" s="497"/>
      <c r="BQ779" s="497"/>
      <c r="BR779" s="497"/>
      <c r="BS779" s="497"/>
      <c r="BT779" s="497"/>
      <c r="BU779" s="497"/>
      <c r="BV779" s="497"/>
      <c r="BW779" s="497"/>
      <c r="BX779" s="497"/>
      <c r="BY779" s="497"/>
      <c r="BZ779" s="497"/>
      <c r="CA779" s="497"/>
      <c r="CB779" s="497"/>
      <c r="CC779" s="497"/>
      <c r="CD779" s="497"/>
      <c r="CE779" s="497"/>
      <c r="CF779" s="497"/>
      <c r="CG779" s="497"/>
      <c r="CH779" s="497"/>
    </row>
    <row r="780" spans="1:86" s="335" customFormat="1">
      <c r="A780" s="517"/>
      <c r="B780" s="517"/>
      <c r="C780" s="517"/>
      <c r="D780" s="517"/>
      <c r="E780" s="517"/>
      <c r="F780" s="517"/>
      <c r="G780" s="517"/>
      <c r="H780" s="639"/>
      <c r="I780" s="639"/>
      <c r="J780" s="336"/>
      <c r="K780" s="2056"/>
      <c r="L780" s="337"/>
      <c r="N780" s="2057"/>
      <c r="O780" s="337"/>
      <c r="P780" s="337"/>
      <c r="Q780" s="337"/>
      <c r="R780" s="337"/>
      <c r="S780" s="337"/>
      <c r="T780" s="337"/>
      <c r="U780" s="497"/>
      <c r="V780" s="497"/>
      <c r="W780" s="497"/>
      <c r="X780" s="497"/>
      <c r="Y780" s="497"/>
      <c r="Z780" s="497"/>
      <c r="AA780" s="497"/>
      <c r="AB780" s="497"/>
      <c r="AC780" s="497"/>
      <c r="AD780" s="497"/>
      <c r="AE780" s="497"/>
      <c r="AF780" s="497"/>
      <c r="AG780" s="497"/>
      <c r="AH780" s="497"/>
      <c r="AI780" s="497"/>
      <c r="AJ780" s="497"/>
      <c r="AK780" s="497"/>
      <c r="AL780" s="497"/>
      <c r="AM780" s="497"/>
      <c r="AN780" s="497"/>
      <c r="AO780" s="497"/>
      <c r="AP780" s="497"/>
      <c r="AQ780" s="497"/>
      <c r="AR780" s="497"/>
      <c r="AS780" s="497"/>
      <c r="AT780" s="497"/>
      <c r="AU780" s="497"/>
      <c r="AV780" s="497"/>
      <c r="AW780" s="497"/>
      <c r="AX780" s="497"/>
      <c r="AY780" s="497"/>
      <c r="AZ780" s="497"/>
      <c r="BA780" s="497"/>
      <c r="BB780" s="497"/>
      <c r="BC780" s="497"/>
      <c r="BD780" s="497"/>
      <c r="BE780" s="497"/>
      <c r="BF780" s="497"/>
      <c r="BG780" s="497"/>
      <c r="BH780" s="497"/>
      <c r="BI780" s="497"/>
      <c r="BJ780" s="497"/>
      <c r="BK780" s="497"/>
      <c r="BL780" s="497"/>
      <c r="BM780" s="497"/>
      <c r="BN780" s="497"/>
      <c r="BO780" s="497"/>
      <c r="BP780" s="497"/>
      <c r="BQ780" s="497"/>
      <c r="BR780" s="497"/>
      <c r="BS780" s="497"/>
      <c r="BT780" s="497"/>
      <c r="BU780" s="497"/>
      <c r="BV780" s="497"/>
      <c r="BW780" s="497"/>
      <c r="BX780" s="497"/>
      <c r="BY780" s="497"/>
      <c r="BZ780" s="497"/>
      <c r="CA780" s="497"/>
      <c r="CB780" s="497"/>
      <c r="CC780" s="497"/>
      <c r="CD780" s="497"/>
      <c r="CE780" s="497"/>
      <c r="CF780" s="497"/>
      <c r="CG780" s="497"/>
      <c r="CH780" s="497"/>
    </row>
    <row r="781" spans="1:86" s="335" customFormat="1">
      <c r="A781" s="517"/>
      <c r="B781" s="517"/>
      <c r="C781" s="517"/>
      <c r="D781" s="517"/>
      <c r="E781" s="517"/>
      <c r="F781" s="517"/>
      <c r="G781" s="517"/>
      <c r="H781" s="639"/>
      <c r="I781" s="639"/>
      <c r="J781" s="336"/>
      <c r="K781" s="2056"/>
      <c r="L781" s="337"/>
      <c r="N781" s="2057"/>
      <c r="O781" s="337"/>
      <c r="P781" s="337"/>
      <c r="Q781" s="337"/>
      <c r="R781" s="337"/>
      <c r="S781" s="337"/>
      <c r="T781" s="337"/>
      <c r="U781" s="497"/>
      <c r="V781" s="497"/>
      <c r="W781" s="497"/>
      <c r="X781" s="497"/>
      <c r="Y781" s="497"/>
      <c r="Z781" s="497"/>
      <c r="AA781" s="497"/>
      <c r="AB781" s="497"/>
      <c r="AC781" s="497"/>
      <c r="AD781" s="497"/>
      <c r="AE781" s="497"/>
      <c r="AF781" s="497"/>
      <c r="AG781" s="497"/>
      <c r="AH781" s="497"/>
      <c r="AI781" s="497"/>
      <c r="AJ781" s="497"/>
      <c r="AK781" s="497"/>
      <c r="AL781" s="497"/>
      <c r="AM781" s="497"/>
      <c r="AN781" s="497"/>
      <c r="AO781" s="497"/>
      <c r="AP781" s="497"/>
      <c r="AQ781" s="497"/>
      <c r="AR781" s="497"/>
      <c r="AS781" s="497"/>
      <c r="AT781" s="497"/>
      <c r="AU781" s="497"/>
      <c r="AV781" s="497"/>
      <c r="AW781" s="497"/>
      <c r="AX781" s="497"/>
      <c r="AY781" s="497"/>
      <c r="AZ781" s="497"/>
      <c r="BA781" s="497"/>
      <c r="BB781" s="497"/>
      <c r="BC781" s="497"/>
      <c r="BD781" s="497"/>
      <c r="BE781" s="497"/>
      <c r="BF781" s="497"/>
      <c r="BG781" s="497"/>
      <c r="BH781" s="497"/>
      <c r="BI781" s="497"/>
      <c r="BJ781" s="497"/>
      <c r="BK781" s="497"/>
      <c r="BL781" s="497"/>
      <c r="BM781" s="497"/>
      <c r="BN781" s="497"/>
      <c r="BO781" s="497"/>
      <c r="BP781" s="497"/>
      <c r="BQ781" s="497"/>
      <c r="BR781" s="497"/>
      <c r="BS781" s="497"/>
      <c r="BT781" s="497"/>
      <c r="BU781" s="497"/>
      <c r="BV781" s="497"/>
      <c r="BW781" s="497"/>
      <c r="BX781" s="497"/>
      <c r="BY781" s="497"/>
      <c r="BZ781" s="497"/>
      <c r="CA781" s="497"/>
      <c r="CB781" s="497"/>
      <c r="CC781" s="497"/>
      <c r="CD781" s="497"/>
      <c r="CE781" s="497"/>
      <c r="CF781" s="497"/>
      <c r="CG781" s="497"/>
      <c r="CH781" s="497"/>
    </row>
    <row r="782" spans="1:86" s="335" customFormat="1">
      <c r="A782" s="517"/>
      <c r="B782" s="517"/>
      <c r="C782" s="517"/>
      <c r="D782" s="517"/>
      <c r="E782" s="517"/>
      <c r="F782" s="517"/>
      <c r="G782" s="517"/>
      <c r="H782" s="639"/>
      <c r="I782" s="639"/>
      <c r="J782" s="336"/>
      <c r="K782" s="2056"/>
      <c r="L782" s="337"/>
      <c r="N782" s="2057"/>
      <c r="O782" s="337"/>
      <c r="P782" s="337"/>
      <c r="Q782" s="337"/>
      <c r="R782" s="337"/>
      <c r="S782" s="337"/>
      <c r="T782" s="337"/>
      <c r="U782" s="497"/>
      <c r="V782" s="497"/>
      <c r="W782" s="497"/>
      <c r="X782" s="497"/>
      <c r="Y782" s="497"/>
      <c r="Z782" s="497"/>
      <c r="AA782" s="497"/>
      <c r="AB782" s="497"/>
      <c r="AC782" s="497"/>
      <c r="AD782" s="497"/>
      <c r="AE782" s="497"/>
      <c r="AF782" s="497"/>
      <c r="AG782" s="497"/>
      <c r="AH782" s="497"/>
      <c r="AI782" s="497"/>
      <c r="AJ782" s="497"/>
      <c r="AK782" s="497"/>
      <c r="AL782" s="497"/>
      <c r="AM782" s="497"/>
      <c r="AN782" s="497"/>
      <c r="AO782" s="497"/>
      <c r="AP782" s="497"/>
      <c r="AQ782" s="497"/>
      <c r="AR782" s="497"/>
      <c r="AS782" s="497"/>
      <c r="AT782" s="497"/>
      <c r="AU782" s="497"/>
      <c r="AV782" s="497"/>
      <c r="AW782" s="497"/>
      <c r="AX782" s="497"/>
      <c r="AY782" s="497"/>
      <c r="AZ782" s="497"/>
      <c r="BA782" s="497"/>
      <c r="BB782" s="497"/>
      <c r="BC782" s="497"/>
      <c r="BD782" s="497"/>
      <c r="BE782" s="497"/>
      <c r="BF782" s="497"/>
      <c r="BG782" s="497"/>
      <c r="BH782" s="497"/>
      <c r="BI782" s="497"/>
      <c r="BJ782" s="497"/>
      <c r="BK782" s="497"/>
      <c r="BL782" s="497"/>
      <c r="BM782" s="497"/>
      <c r="BN782" s="497"/>
      <c r="BO782" s="497"/>
      <c r="BP782" s="497"/>
      <c r="BQ782" s="497"/>
      <c r="BR782" s="497"/>
      <c r="BS782" s="497"/>
      <c r="BT782" s="497"/>
      <c r="BU782" s="497"/>
      <c r="BV782" s="497"/>
      <c r="BW782" s="497"/>
      <c r="BX782" s="497"/>
      <c r="BY782" s="497"/>
      <c r="BZ782" s="497"/>
      <c r="CA782" s="497"/>
      <c r="CB782" s="497"/>
      <c r="CC782" s="497"/>
      <c r="CD782" s="497"/>
      <c r="CE782" s="497"/>
      <c r="CF782" s="497"/>
      <c r="CG782" s="497"/>
      <c r="CH782" s="497"/>
    </row>
    <row r="783" spans="1:86" s="335" customFormat="1">
      <c r="A783" s="517"/>
      <c r="B783" s="517"/>
      <c r="C783" s="517"/>
      <c r="D783" s="517"/>
      <c r="E783" s="517"/>
      <c r="F783" s="517"/>
      <c r="G783" s="517"/>
      <c r="H783" s="639"/>
      <c r="I783" s="639"/>
      <c r="J783" s="336"/>
      <c r="K783" s="2056"/>
      <c r="L783" s="337"/>
      <c r="N783" s="2057"/>
      <c r="O783" s="337"/>
      <c r="P783" s="337"/>
      <c r="Q783" s="337"/>
      <c r="R783" s="337"/>
      <c r="S783" s="337"/>
      <c r="T783" s="337"/>
      <c r="U783" s="497"/>
      <c r="V783" s="497"/>
      <c r="W783" s="497"/>
      <c r="X783" s="497"/>
      <c r="Y783" s="497"/>
      <c r="Z783" s="497"/>
      <c r="AA783" s="497"/>
      <c r="AB783" s="497"/>
      <c r="AC783" s="497"/>
      <c r="AD783" s="497"/>
      <c r="AE783" s="497"/>
      <c r="AF783" s="497"/>
      <c r="AG783" s="497"/>
      <c r="AH783" s="497"/>
      <c r="AI783" s="497"/>
      <c r="AJ783" s="497"/>
      <c r="AK783" s="497"/>
      <c r="AL783" s="497"/>
      <c r="AM783" s="497"/>
      <c r="AN783" s="497"/>
      <c r="AO783" s="497"/>
      <c r="AP783" s="497"/>
      <c r="AQ783" s="497"/>
      <c r="AR783" s="497"/>
      <c r="AS783" s="497"/>
      <c r="AT783" s="497"/>
      <c r="AU783" s="497"/>
      <c r="AV783" s="497"/>
      <c r="AW783" s="497"/>
      <c r="AX783" s="497"/>
      <c r="AY783" s="497"/>
      <c r="AZ783" s="497"/>
      <c r="BA783" s="497"/>
      <c r="BB783" s="497"/>
      <c r="BC783" s="497"/>
      <c r="BD783" s="497"/>
      <c r="BE783" s="497"/>
      <c r="BF783" s="497"/>
      <c r="BG783" s="497"/>
      <c r="BH783" s="497"/>
      <c r="BI783" s="497"/>
      <c r="BJ783" s="497"/>
      <c r="BK783" s="497"/>
      <c r="BL783" s="497"/>
      <c r="BM783" s="497"/>
      <c r="BN783" s="497"/>
      <c r="BO783" s="497"/>
      <c r="BP783" s="497"/>
      <c r="BQ783" s="497"/>
      <c r="BR783" s="497"/>
      <c r="BS783" s="497"/>
      <c r="BT783" s="497"/>
      <c r="BU783" s="497"/>
      <c r="BV783" s="497"/>
      <c r="BW783" s="497"/>
      <c r="BX783" s="497"/>
      <c r="BY783" s="497"/>
      <c r="BZ783" s="497"/>
      <c r="CA783" s="497"/>
      <c r="CB783" s="497"/>
      <c r="CC783" s="497"/>
      <c r="CD783" s="497"/>
      <c r="CE783" s="497"/>
      <c r="CF783" s="497"/>
      <c r="CG783" s="497"/>
      <c r="CH783" s="497"/>
    </row>
    <row r="784" spans="1:86" s="335" customFormat="1">
      <c r="A784" s="517"/>
      <c r="B784" s="517"/>
      <c r="C784" s="517"/>
      <c r="D784" s="517"/>
      <c r="E784" s="517"/>
      <c r="F784" s="517"/>
      <c r="G784" s="517"/>
      <c r="H784" s="639"/>
      <c r="I784" s="639"/>
      <c r="J784" s="336"/>
      <c r="K784" s="2056"/>
      <c r="L784" s="337"/>
      <c r="N784" s="2057"/>
      <c r="O784" s="337"/>
      <c r="P784" s="337"/>
      <c r="Q784" s="337"/>
      <c r="R784" s="337"/>
      <c r="S784" s="337"/>
      <c r="T784" s="337"/>
      <c r="U784" s="497"/>
      <c r="V784" s="497"/>
      <c r="W784" s="497"/>
      <c r="X784" s="497"/>
      <c r="Y784" s="497"/>
      <c r="Z784" s="497"/>
      <c r="AA784" s="497"/>
      <c r="AB784" s="497"/>
      <c r="AC784" s="497"/>
      <c r="AD784" s="497"/>
      <c r="AE784" s="497"/>
      <c r="AF784" s="497"/>
      <c r="AG784" s="497"/>
      <c r="AH784" s="497"/>
      <c r="AI784" s="497"/>
      <c r="AJ784" s="497"/>
      <c r="AK784" s="497"/>
      <c r="AL784" s="497"/>
      <c r="AM784" s="497"/>
      <c r="AN784" s="497"/>
      <c r="AO784" s="497"/>
      <c r="AP784" s="497"/>
      <c r="AQ784" s="497"/>
      <c r="AR784" s="497"/>
      <c r="AS784" s="497"/>
      <c r="AT784" s="497"/>
      <c r="AU784" s="497"/>
      <c r="AV784" s="497"/>
      <c r="AW784" s="497"/>
      <c r="AX784" s="497"/>
      <c r="AY784" s="497"/>
      <c r="AZ784" s="497"/>
      <c r="BA784" s="497"/>
      <c r="BB784" s="497"/>
      <c r="BC784" s="497"/>
      <c r="BD784" s="497"/>
      <c r="BE784" s="497"/>
      <c r="BF784" s="497"/>
      <c r="BG784" s="497"/>
      <c r="BH784" s="497"/>
      <c r="BI784" s="497"/>
      <c r="BJ784" s="497"/>
      <c r="BK784" s="497"/>
      <c r="BL784" s="497"/>
      <c r="BM784" s="497"/>
      <c r="BN784" s="497"/>
      <c r="BO784" s="497"/>
      <c r="BP784" s="497"/>
      <c r="BQ784" s="497"/>
      <c r="BR784" s="497"/>
      <c r="BS784" s="497"/>
      <c r="BT784" s="497"/>
      <c r="BU784" s="497"/>
      <c r="BV784" s="497"/>
      <c r="BW784" s="497"/>
      <c r="BX784" s="497"/>
      <c r="BY784" s="497"/>
      <c r="BZ784" s="497"/>
      <c r="CA784" s="497"/>
      <c r="CB784" s="497"/>
      <c r="CC784" s="497"/>
      <c r="CD784" s="497"/>
      <c r="CE784" s="497"/>
      <c r="CF784" s="497"/>
      <c r="CG784" s="497"/>
      <c r="CH784" s="497"/>
    </row>
    <row r="785" spans="1:86" s="335" customFormat="1">
      <c r="A785" s="517"/>
      <c r="B785" s="517"/>
      <c r="C785" s="517"/>
      <c r="D785" s="517"/>
      <c r="E785" s="517"/>
      <c r="F785" s="517"/>
      <c r="G785" s="517"/>
      <c r="H785" s="639"/>
      <c r="I785" s="639"/>
      <c r="J785" s="336"/>
      <c r="K785" s="2056"/>
      <c r="L785" s="337"/>
      <c r="N785" s="2057"/>
      <c r="O785" s="337"/>
      <c r="P785" s="337"/>
      <c r="Q785" s="337"/>
      <c r="R785" s="337"/>
      <c r="S785" s="337"/>
      <c r="T785" s="337"/>
      <c r="U785" s="497"/>
      <c r="V785" s="497"/>
      <c r="W785" s="497"/>
      <c r="X785" s="497"/>
      <c r="Y785" s="497"/>
      <c r="Z785" s="497"/>
      <c r="AA785" s="497"/>
      <c r="AB785" s="497"/>
      <c r="AC785" s="497"/>
      <c r="AD785" s="497"/>
      <c r="AE785" s="497"/>
      <c r="AF785" s="497"/>
      <c r="AG785" s="497"/>
      <c r="AH785" s="497"/>
      <c r="AI785" s="497"/>
      <c r="AJ785" s="497"/>
      <c r="AK785" s="497"/>
      <c r="AL785" s="497"/>
      <c r="AM785" s="497"/>
      <c r="AN785" s="497"/>
      <c r="AO785" s="497"/>
      <c r="AP785" s="497"/>
      <c r="AQ785" s="497"/>
      <c r="AR785" s="497"/>
      <c r="AS785" s="497"/>
      <c r="AT785" s="497"/>
      <c r="AU785" s="497"/>
      <c r="AV785" s="497"/>
      <c r="AW785" s="497"/>
      <c r="AX785" s="497"/>
      <c r="AY785" s="497"/>
      <c r="AZ785" s="497"/>
      <c r="BA785" s="497"/>
      <c r="BB785" s="497"/>
      <c r="BC785" s="497"/>
      <c r="BD785" s="497"/>
      <c r="BE785" s="497"/>
      <c r="BF785" s="497"/>
      <c r="BG785" s="497"/>
      <c r="BH785" s="497"/>
      <c r="BI785" s="497"/>
      <c r="BJ785" s="497"/>
      <c r="BK785" s="497"/>
      <c r="BL785" s="497"/>
      <c r="BM785" s="497"/>
      <c r="BN785" s="497"/>
      <c r="BO785" s="497"/>
      <c r="BP785" s="497"/>
      <c r="BQ785" s="497"/>
      <c r="BR785" s="497"/>
      <c r="BS785" s="497"/>
      <c r="BT785" s="497"/>
      <c r="BU785" s="497"/>
      <c r="BV785" s="497"/>
      <c r="BW785" s="497"/>
      <c r="BX785" s="497"/>
      <c r="BY785" s="497"/>
      <c r="BZ785" s="497"/>
      <c r="CA785" s="497"/>
      <c r="CB785" s="497"/>
      <c r="CC785" s="497"/>
      <c r="CD785" s="497"/>
      <c r="CE785" s="497"/>
      <c r="CF785" s="497"/>
      <c r="CG785" s="497"/>
      <c r="CH785" s="497"/>
    </row>
    <row r="786" spans="1:86" s="335" customFormat="1">
      <c r="A786" s="517"/>
      <c r="B786" s="517"/>
      <c r="C786" s="517"/>
      <c r="D786" s="517"/>
      <c r="E786" s="517"/>
      <c r="F786" s="517"/>
      <c r="G786" s="517"/>
      <c r="H786" s="639"/>
      <c r="I786" s="639"/>
      <c r="J786" s="336"/>
      <c r="K786" s="2056"/>
      <c r="L786" s="337"/>
      <c r="N786" s="2057"/>
      <c r="O786" s="337"/>
      <c r="P786" s="337"/>
      <c r="Q786" s="337"/>
      <c r="R786" s="337"/>
      <c r="S786" s="337"/>
      <c r="T786" s="337"/>
      <c r="U786" s="497"/>
      <c r="V786" s="497"/>
      <c r="W786" s="497"/>
      <c r="X786" s="497"/>
      <c r="Y786" s="497"/>
      <c r="Z786" s="497"/>
      <c r="AA786" s="497"/>
      <c r="AB786" s="497"/>
      <c r="AC786" s="497"/>
      <c r="AD786" s="497"/>
      <c r="AE786" s="497"/>
      <c r="AF786" s="497"/>
      <c r="AG786" s="497"/>
      <c r="AH786" s="497"/>
      <c r="AI786" s="497"/>
      <c r="AJ786" s="497"/>
      <c r="AK786" s="497"/>
      <c r="AL786" s="497"/>
      <c r="AM786" s="497"/>
      <c r="AN786" s="497"/>
      <c r="AO786" s="497"/>
      <c r="AP786" s="497"/>
      <c r="AQ786" s="497"/>
      <c r="AR786" s="497"/>
      <c r="AS786" s="497"/>
      <c r="AT786" s="497"/>
      <c r="AU786" s="497"/>
      <c r="AV786" s="497"/>
      <c r="AW786" s="497"/>
      <c r="AX786" s="497"/>
      <c r="AY786" s="497"/>
      <c r="AZ786" s="497"/>
      <c r="BA786" s="497"/>
      <c r="BB786" s="497"/>
      <c r="BC786" s="497"/>
      <c r="BD786" s="497"/>
      <c r="BE786" s="497"/>
      <c r="BF786" s="497"/>
      <c r="BG786" s="497"/>
      <c r="BH786" s="497"/>
      <c r="BI786" s="497"/>
      <c r="BJ786" s="497"/>
      <c r="BK786" s="497"/>
      <c r="BL786" s="497"/>
      <c r="BM786" s="497"/>
      <c r="BN786" s="497"/>
      <c r="BO786" s="497"/>
      <c r="BP786" s="497"/>
      <c r="BQ786" s="497"/>
      <c r="BR786" s="497"/>
      <c r="BS786" s="497"/>
      <c r="BT786" s="497"/>
      <c r="BU786" s="497"/>
      <c r="BV786" s="497"/>
      <c r="BW786" s="497"/>
      <c r="BX786" s="497"/>
      <c r="BY786" s="497"/>
      <c r="BZ786" s="497"/>
      <c r="CA786" s="497"/>
      <c r="CB786" s="497"/>
      <c r="CC786" s="497"/>
      <c r="CD786" s="497"/>
      <c r="CE786" s="497"/>
      <c r="CF786" s="497"/>
      <c r="CG786" s="497"/>
      <c r="CH786" s="497"/>
    </row>
    <row r="787" spans="1:86" s="335" customFormat="1">
      <c r="A787" s="517"/>
      <c r="B787" s="517"/>
      <c r="C787" s="517"/>
      <c r="D787" s="517"/>
      <c r="E787" s="517"/>
      <c r="F787" s="517"/>
      <c r="G787" s="517"/>
      <c r="H787" s="639"/>
      <c r="I787" s="639"/>
      <c r="J787" s="336"/>
      <c r="K787" s="2056"/>
      <c r="L787" s="337"/>
      <c r="N787" s="2057"/>
      <c r="O787" s="337"/>
      <c r="P787" s="337"/>
      <c r="Q787" s="337"/>
      <c r="R787" s="337"/>
      <c r="S787" s="337"/>
      <c r="T787" s="337"/>
      <c r="U787" s="497"/>
      <c r="V787" s="497"/>
      <c r="W787" s="497"/>
      <c r="X787" s="497"/>
      <c r="Y787" s="497"/>
      <c r="Z787" s="497"/>
      <c r="AA787" s="497"/>
      <c r="AB787" s="497"/>
      <c r="AC787" s="497"/>
      <c r="AD787" s="497"/>
      <c r="AE787" s="497"/>
      <c r="AF787" s="497"/>
      <c r="AG787" s="497"/>
      <c r="AH787" s="497"/>
      <c r="AI787" s="497"/>
      <c r="AJ787" s="497"/>
      <c r="AK787" s="497"/>
      <c r="AL787" s="497"/>
      <c r="AM787" s="497"/>
      <c r="AN787" s="497"/>
      <c r="AO787" s="497"/>
      <c r="AP787" s="497"/>
      <c r="AQ787" s="497"/>
      <c r="AR787" s="497"/>
      <c r="AS787" s="497"/>
      <c r="AT787" s="497"/>
      <c r="AU787" s="497"/>
      <c r="AV787" s="497"/>
      <c r="AW787" s="497"/>
      <c r="AX787" s="497"/>
      <c r="AY787" s="497"/>
      <c r="AZ787" s="497"/>
      <c r="BA787" s="497"/>
      <c r="BB787" s="497"/>
      <c r="BC787" s="497"/>
      <c r="BD787" s="497"/>
      <c r="BE787" s="497"/>
      <c r="BF787" s="497"/>
      <c r="BG787" s="497"/>
      <c r="BH787" s="497"/>
      <c r="BI787" s="497"/>
      <c r="BJ787" s="497"/>
      <c r="BK787" s="497"/>
      <c r="BL787" s="497"/>
      <c r="BM787" s="497"/>
      <c r="BN787" s="497"/>
      <c r="BO787" s="497"/>
      <c r="BP787" s="497"/>
      <c r="BQ787" s="497"/>
      <c r="BR787" s="497"/>
      <c r="BS787" s="497"/>
      <c r="BT787" s="497"/>
      <c r="BU787" s="497"/>
      <c r="BV787" s="497"/>
      <c r="BW787" s="497"/>
      <c r="BX787" s="497"/>
      <c r="BY787" s="497"/>
      <c r="BZ787" s="497"/>
      <c r="CA787" s="497"/>
      <c r="CB787" s="497"/>
      <c r="CC787" s="497"/>
      <c r="CD787" s="497"/>
      <c r="CE787" s="497"/>
      <c r="CF787" s="497"/>
      <c r="CG787" s="497"/>
      <c r="CH787" s="497"/>
    </row>
    <row r="788" spans="1:86" s="335" customFormat="1">
      <c r="A788" s="517"/>
      <c r="B788" s="517"/>
      <c r="C788" s="517"/>
      <c r="D788" s="517"/>
      <c r="E788" s="517"/>
      <c r="F788" s="517"/>
      <c r="G788" s="517"/>
      <c r="H788" s="639"/>
      <c r="I788" s="639"/>
      <c r="J788" s="336"/>
      <c r="K788" s="2056"/>
      <c r="L788" s="337"/>
      <c r="N788" s="2057"/>
      <c r="O788" s="337"/>
      <c r="P788" s="337"/>
      <c r="Q788" s="337"/>
      <c r="R788" s="337"/>
      <c r="S788" s="337"/>
      <c r="T788" s="337"/>
      <c r="U788" s="497"/>
      <c r="V788" s="497"/>
      <c r="W788" s="497"/>
      <c r="X788" s="497"/>
      <c r="Y788" s="497"/>
      <c r="Z788" s="497"/>
      <c r="AA788" s="497"/>
      <c r="AB788" s="497"/>
      <c r="AC788" s="497"/>
      <c r="AD788" s="497"/>
      <c r="AE788" s="497"/>
      <c r="AF788" s="497"/>
      <c r="AG788" s="497"/>
      <c r="AH788" s="497"/>
      <c r="AI788" s="497"/>
      <c r="AJ788" s="497"/>
      <c r="AK788" s="497"/>
      <c r="AL788" s="497"/>
      <c r="AM788" s="497"/>
      <c r="AN788" s="497"/>
      <c r="AO788" s="497"/>
      <c r="AP788" s="497"/>
      <c r="AQ788" s="497"/>
      <c r="AR788" s="497"/>
      <c r="AS788" s="497"/>
      <c r="AT788" s="497"/>
      <c r="AU788" s="497"/>
      <c r="AV788" s="497"/>
      <c r="AW788" s="497"/>
      <c r="AX788" s="497"/>
      <c r="AY788" s="497"/>
      <c r="AZ788" s="497"/>
      <c r="BA788" s="497"/>
      <c r="BB788" s="497"/>
      <c r="BC788" s="497"/>
      <c r="BD788" s="497"/>
      <c r="BE788" s="497"/>
      <c r="BF788" s="497"/>
      <c r="BG788" s="497"/>
      <c r="BH788" s="497"/>
      <c r="BI788" s="497"/>
      <c r="BJ788" s="497"/>
      <c r="BK788" s="497"/>
      <c r="BL788" s="497"/>
      <c r="BM788" s="497"/>
      <c r="BN788" s="497"/>
      <c r="BO788" s="497"/>
      <c r="BP788" s="497"/>
      <c r="BQ788" s="497"/>
      <c r="BR788" s="497"/>
      <c r="BS788" s="497"/>
      <c r="BT788" s="497"/>
      <c r="BU788" s="497"/>
      <c r="BV788" s="497"/>
      <c r="BW788" s="497"/>
      <c r="BX788" s="497"/>
      <c r="BY788" s="497"/>
      <c r="BZ788" s="497"/>
      <c r="CA788" s="497"/>
      <c r="CB788" s="497"/>
      <c r="CC788" s="497"/>
      <c r="CD788" s="497"/>
      <c r="CE788" s="497"/>
      <c r="CF788" s="497"/>
      <c r="CG788" s="497"/>
      <c r="CH788" s="497"/>
    </row>
    <row r="789" spans="1:86" s="335" customFormat="1">
      <c r="A789" s="517"/>
      <c r="B789" s="517"/>
      <c r="C789" s="517"/>
      <c r="D789" s="517"/>
      <c r="E789" s="517"/>
      <c r="F789" s="517"/>
      <c r="G789" s="517"/>
      <c r="H789" s="639"/>
      <c r="I789" s="639"/>
      <c r="J789" s="336"/>
      <c r="K789" s="2056"/>
      <c r="L789" s="337"/>
      <c r="N789" s="2057"/>
      <c r="O789" s="337"/>
      <c r="P789" s="337"/>
      <c r="Q789" s="337"/>
      <c r="R789" s="337"/>
      <c r="S789" s="337"/>
      <c r="T789" s="337"/>
      <c r="U789" s="497"/>
      <c r="V789" s="497"/>
      <c r="W789" s="497"/>
      <c r="X789" s="497"/>
      <c r="Y789" s="497"/>
      <c r="Z789" s="497"/>
      <c r="AA789" s="497"/>
      <c r="AB789" s="497"/>
      <c r="AC789" s="497"/>
      <c r="AD789" s="497"/>
      <c r="AE789" s="497"/>
      <c r="AF789" s="497"/>
      <c r="AG789" s="497"/>
      <c r="AH789" s="497"/>
      <c r="AI789" s="497"/>
      <c r="AJ789" s="497"/>
      <c r="AK789" s="497"/>
      <c r="AL789" s="497"/>
      <c r="AM789" s="497"/>
      <c r="AN789" s="497"/>
      <c r="AO789" s="497"/>
      <c r="AP789" s="497"/>
      <c r="AQ789" s="497"/>
      <c r="AR789" s="497"/>
      <c r="AS789" s="497"/>
      <c r="AT789" s="497"/>
      <c r="AU789" s="497"/>
      <c r="AV789" s="497"/>
      <c r="AW789" s="497"/>
      <c r="AX789" s="497"/>
      <c r="AY789" s="497"/>
      <c r="AZ789" s="497"/>
      <c r="BA789" s="497"/>
      <c r="BB789" s="497"/>
      <c r="BC789" s="497"/>
      <c r="BD789" s="497"/>
      <c r="BE789" s="497"/>
      <c r="BF789" s="497"/>
      <c r="BG789" s="497"/>
      <c r="BH789" s="497"/>
      <c r="BI789" s="497"/>
      <c r="BJ789" s="497"/>
      <c r="BK789" s="497"/>
      <c r="BL789" s="497"/>
      <c r="BM789" s="497"/>
      <c r="BN789" s="497"/>
      <c r="BO789" s="497"/>
      <c r="BP789" s="497"/>
      <c r="BQ789" s="497"/>
      <c r="BR789" s="497"/>
      <c r="BS789" s="497"/>
      <c r="BT789" s="497"/>
      <c r="BU789" s="497"/>
      <c r="BV789" s="497"/>
      <c r="BW789" s="497"/>
      <c r="BX789" s="497"/>
      <c r="BY789" s="497"/>
      <c r="BZ789" s="497"/>
      <c r="CA789" s="497"/>
      <c r="CB789" s="497"/>
      <c r="CC789" s="497"/>
      <c r="CD789" s="497"/>
      <c r="CE789" s="497"/>
      <c r="CF789" s="497"/>
      <c r="CG789" s="497"/>
      <c r="CH789" s="497"/>
    </row>
    <row r="790" spans="1:86" s="335" customFormat="1">
      <c r="A790" s="517"/>
      <c r="B790" s="517"/>
      <c r="C790" s="517"/>
      <c r="D790" s="517"/>
      <c r="E790" s="517"/>
      <c r="F790" s="517"/>
      <c r="G790" s="517"/>
      <c r="H790" s="639"/>
      <c r="I790" s="639"/>
      <c r="J790" s="336"/>
      <c r="K790" s="2056"/>
      <c r="L790" s="337"/>
      <c r="N790" s="2057"/>
      <c r="O790" s="337"/>
      <c r="P790" s="337"/>
      <c r="Q790" s="337"/>
      <c r="R790" s="337"/>
      <c r="S790" s="337"/>
      <c r="T790" s="337"/>
      <c r="U790" s="497"/>
      <c r="V790" s="497"/>
      <c r="W790" s="497"/>
      <c r="X790" s="497"/>
      <c r="Y790" s="497"/>
      <c r="Z790" s="497"/>
      <c r="AA790" s="497"/>
      <c r="AB790" s="497"/>
      <c r="AC790" s="497"/>
      <c r="AD790" s="497"/>
      <c r="AE790" s="497"/>
      <c r="AF790" s="497"/>
      <c r="AG790" s="497"/>
      <c r="AH790" s="497"/>
      <c r="AI790" s="497"/>
      <c r="AJ790" s="497"/>
      <c r="AK790" s="497"/>
      <c r="AL790" s="497"/>
      <c r="AM790" s="497"/>
      <c r="AN790" s="497"/>
      <c r="AO790" s="497"/>
      <c r="AP790" s="497"/>
      <c r="AQ790" s="497"/>
      <c r="AR790" s="497"/>
      <c r="AS790" s="497"/>
      <c r="AT790" s="497"/>
      <c r="AU790" s="497"/>
      <c r="AV790" s="497"/>
      <c r="AW790" s="497"/>
      <c r="AX790" s="497"/>
      <c r="AY790" s="497"/>
      <c r="AZ790" s="497"/>
      <c r="BA790" s="497"/>
      <c r="BB790" s="497"/>
      <c r="BC790" s="497"/>
      <c r="BD790" s="497"/>
      <c r="BE790" s="497"/>
      <c r="BF790" s="497"/>
      <c r="BG790" s="497"/>
      <c r="BH790" s="497"/>
      <c r="BI790" s="497"/>
      <c r="BJ790" s="497"/>
      <c r="BK790" s="497"/>
      <c r="BL790" s="497"/>
      <c r="BM790" s="497"/>
      <c r="BN790" s="497"/>
      <c r="BO790" s="497"/>
      <c r="BP790" s="497"/>
      <c r="BQ790" s="497"/>
      <c r="BR790" s="497"/>
      <c r="BS790" s="497"/>
      <c r="BT790" s="497"/>
      <c r="BU790" s="497"/>
      <c r="BV790" s="497"/>
      <c r="BW790" s="497"/>
      <c r="BX790" s="497"/>
      <c r="BY790" s="497"/>
      <c r="BZ790" s="497"/>
      <c r="CA790" s="497"/>
      <c r="CB790" s="497"/>
      <c r="CC790" s="497"/>
      <c r="CD790" s="497"/>
      <c r="CE790" s="497"/>
      <c r="CF790" s="497"/>
      <c r="CG790" s="497"/>
      <c r="CH790" s="497"/>
    </row>
    <row r="791" spans="1:86" s="335" customFormat="1">
      <c r="A791" s="517"/>
      <c r="B791" s="517"/>
      <c r="C791" s="517"/>
      <c r="D791" s="517"/>
      <c r="E791" s="517"/>
      <c r="F791" s="517"/>
      <c r="G791" s="517"/>
      <c r="H791" s="639"/>
      <c r="I791" s="639"/>
      <c r="J791" s="336"/>
      <c r="K791" s="2056"/>
      <c r="L791" s="337"/>
      <c r="N791" s="2057"/>
      <c r="O791" s="337"/>
      <c r="P791" s="337"/>
      <c r="Q791" s="337"/>
      <c r="R791" s="337"/>
      <c r="S791" s="337"/>
      <c r="T791" s="337"/>
      <c r="U791" s="497"/>
      <c r="V791" s="497"/>
      <c r="W791" s="497"/>
      <c r="X791" s="497"/>
      <c r="Y791" s="497"/>
      <c r="Z791" s="497"/>
      <c r="AA791" s="497"/>
      <c r="AB791" s="497"/>
      <c r="AC791" s="497"/>
      <c r="AD791" s="497"/>
      <c r="AE791" s="497"/>
      <c r="AF791" s="497"/>
      <c r="AG791" s="497"/>
      <c r="AH791" s="497"/>
      <c r="AI791" s="497"/>
      <c r="AJ791" s="497"/>
      <c r="AK791" s="497"/>
      <c r="AL791" s="497"/>
      <c r="AM791" s="497"/>
      <c r="AN791" s="497"/>
      <c r="AO791" s="497"/>
      <c r="AP791" s="497"/>
      <c r="AQ791" s="497"/>
      <c r="AR791" s="497"/>
      <c r="AS791" s="497"/>
      <c r="AT791" s="497"/>
      <c r="AU791" s="497"/>
      <c r="AV791" s="497"/>
      <c r="AW791" s="497"/>
      <c r="AX791" s="497"/>
      <c r="AY791" s="497"/>
      <c r="AZ791" s="497"/>
      <c r="BA791" s="497"/>
      <c r="BB791" s="497"/>
      <c r="BC791" s="497"/>
      <c r="BD791" s="497"/>
      <c r="BE791" s="497"/>
      <c r="BF791" s="497"/>
      <c r="BG791" s="497"/>
      <c r="BH791" s="497"/>
      <c r="BI791" s="497"/>
      <c r="BJ791" s="497"/>
      <c r="BK791" s="497"/>
      <c r="BL791" s="497"/>
      <c r="BM791" s="497"/>
      <c r="BN791" s="497"/>
      <c r="BO791" s="497"/>
      <c r="BP791" s="497"/>
      <c r="BQ791" s="497"/>
      <c r="BR791" s="497"/>
      <c r="BS791" s="497"/>
      <c r="BT791" s="497"/>
      <c r="BU791" s="497"/>
      <c r="BV791" s="497"/>
      <c r="BW791" s="497"/>
      <c r="BX791" s="497"/>
      <c r="BY791" s="497"/>
      <c r="BZ791" s="497"/>
      <c r="CA791" s="497"/>
      <c r="CB791" s="497"/>
      <c r="CC791" s="497"/>
      <c r="CD791" s="497"/>
      <c r="CE791" s="497"/>
      <c r="CF791" s="497"/>
      <c r="CG791" s="497"/>
      <c r="CH791" s="497"/>
    </row>
    <row r="792" spans="1:86" s="335" customFormat="1">
      <c r="A792" s="517"/>
      <c r="B792" s="517"/>
      <c r="C792" s="517"/>
      <c r="D792" s="517"/>
      <c r="E792" s="517"/>
      <c r="F792" s="517"/>
      <c r="G792" s="517"/>
      <c r="H792" s="639"/>
      <c r="I792" s="639"/>
      <c r="J792" s="336"/>
      <c r="K792" s="2056"/>
      <c r="L792" s="337"/>
      <c r="N792" s="2057"/>
      <c r="O792" s="337"/>
      <c r="P792" s="337"/>
      <c r="Q792" s="337"/>
      <c r="R792" s="337"/>
      <c r="S792" s="337"/>
      <c r="T792" s="337"/>
      <c r="U792" s="497"/>
      <c r="V792" s="497"/>
      <c r="W792" s="497"/>
      <c r="X792" s="497"/>
      <c r="Y792" s="497"/>
      <c r="Z792" s="497"/>
      <c r="AA792" s="497"/>
      <c r="AB792" s="497"/>
      <c r="AC792" s="497"/>
      <c r="AD792" s="497"/>
      <c r="AE792" s="497"/>
      <c r="AF792" s="497"/>
      <c r="AG792" s="497"/>
      <c r="AH792" s="497"/>
      <c r="AI792" s="497"/>
      <c r="AJ792" s="497"/>
      <c r="AK792" s="497"/>
      <c r="AL792" s="497"/>
      <c r="AM792" s="497"/>
      <c r="AN792" s="497"/>
      <c r="AO792" s="497"/>
      <c r="AP792" s="497"/>
      <c r="AQ792" s="497"/>
      <c r="AR792" s="497"/>
      <c r="AS792" s="497"/>
      <c r="AT792" s="497"/>
      <c r="AU792" s="497"/>
      <c r="AV792" s="497"/>
      <c r="AW792" s="497"/>
      <c r="AX792" s="497"/>
      <c r="AY792" s="497"/>
      <c r="AZ792" s="497"/>
      <c r="BA792" s="497"/>
      <c r="BB792" s="497"/>
      <c r="BC792" s="497"/>
      <c r="BD792" s="497"/>
      <c r="BE792" s="497"/>
      <c r="BF792" s="497"/>
      <c r="BG792" s="497"/>
      <c r="BH792" s="497"/>
      <c r="BI792" s="497"/>
      <c r="BJ792" s="497"/>
      <c r="BK792" s="497"/>
      <c r="BL792" s="497"/>
      <c r="BM792" s="497"/>
      <c r="BN792" s="497"/>
      <c r="BO792" s="497"/>
      <c r="BP792" s="497"/>
      <c r="BQ792" s="497"/>
      <c r="BR792" s="497"/>
      <c r="BS792" s="497"/>
      <c r="BT792" s="497"/>
      <c r="BU792" s="497"/>
      <c r="BV792" s="497"/>
      <c r="BW792" s="497"/>
      <c r="BX792" s="497"/>
      <c r="BY792" s="497"/>
      <c r="BZ792" s="497"/>
      <c r="CA792" s="497"/>
      <c r="CB792" s="497"/>
      <c r="CC792" s="497"/>
      <c r="CD792" s="497"/>
      <c r="CE792" s="497"/>
      <c r="CF792" s="497"/>
      <c r="CG792" s="497"/>
      <c r="CH792" s="497"/>
    </row>
    <row r="793" spans="1:86" s="335" customFormat="1">
      <c r="A793" s="517"/>
      <c r="B793" s="517"/>
      <c r="C793" s="517"/>
      <c r="D793" s="517"/>
      <c r="E793" s="517"/>
      <c r="F793" s="517"/>
      <c r="G793" s="517"/>
      <c r="H793" s="639"/>
      <c r="I793" s="639"/>
      <c r="J793" s="336"/>
      <c r="K793" s="2056"/>
      <c r="L793" s="337"/>
      <c r="N793" s="2057"/>
      <c r="O793" s="337"/>
      <c r="P793" s="337"/>
      <c r="Q793" s="337"/>
      <c r="R793" s="337"/>
      <c r="S793" s="337"/>
      <c r="T793" s="337"/>
      <c r="U793" s="497"/>
      <c r="V793" s="497"/>
      <c r="W793" s="497"/>
      <c r="X793" s="497"/>
      <c r="Y793" s="497"/>
      <c r="Z793" s="497"/>
      <c r="AA793" s="497"/>
      <c r="AB793" s="497"/>
      <c r="AC793" s="497"/>
      <c r="AD793" s="497"/>
      <c r="AE793" s="497"/>
      <c r="AF793" s="497"/>
      <c r="AG793" s="497"/>
      <c r="AH793" s="497"/>
      <c r="AI793" s="497"/>
      <c r="AJ793" s="497"/>
      <c r="AK793" s="497"/>
      <c r="AL793" s="497"/>
      <c r="AM793" s="497"/>
      <c r="AN793" s="497"/>
      <c r="AO793" s="497"/>
      <c r="AP793" s="497"/>
      <c r="AQ793" s="497"/>
      <c r="AR793" s="497"/>
      <c r="AS793" s="497"/>
      <c r="AT793" s="497"/>
      <c r="AU793" s="497"/>
      <c r="AV793" s="497"/>
      <c r="AW793" s="497"/>
      <c r="AX793" s="497"/>
      <c r="AY793" s="497"/>
      <c r="AZ793" s="497"/>
      <c r="BA793" s="497"/>
      <c r="BB793" s="497"/>
      <c r="BC793" s="497"/>
      <c r="BD793" s="497"/>
      <c r="BE793" s="497"/>
      <c r="BF793" s="497"/>
      <c r="BG793" s="497"/>
      <c r="BH793" s="497"/>
      <c r="BI793" s="497"/>
      <c r="BJ793" s="497"/>
      <c r="BK793" s="497"/>
      <c r="BL793" s="497"/>
      <c r="BM793" s="497"/>
      <c r="BN793" s="497"/>
      <c r="BO793" s="497"/>
      <c r="BP793" s="497"/>
      <c r="BQ793" s="497"/>
      <c r="BR793" s="497"/>
      <c r="BS793" s="497"/>
      <c r="BT793" s="497"/>
      <c r="BU793" s="497"/>
      <c r="BV793" s="497"/>
      <c r="BW793" s="497"/>
      <c r="BX793" s="497"/>
      <c r="BY793" s="497"/>
      <c r="BZ793" s="497"/>
      <c r="CA793" s="497"/>
      <c r="CB793" s="497"/>
      <c r="CC793" s="497"/>
      <c r="CD793" s="497"/>
      <c r="CE793" s="497"/>
      <c r="CF793" s="497"/>
      <c r="CG793" s="497"/>
      <c r="CH793" s="497"/>
    </row>
    <row r="794" spans="1:86" s="335" customFormat="1">
      <c r="A794" s="517"/>
      <c r="B794" s="517"/>
      <c r="C794" s="517"/>
      <c r="D794" s="517"/>
      <c r="E794" s="517"/>
      <c r="F794" s="517"/>
      <c r="G794" s="517"/>
      <c r="H794" s="639"/>
      <c r="I794" s="639"/>
      <c r="J794" s="336"/>
      <c r="K794" s="2056"/>
      <c r="L794" s="337"/>
      <c r="N794" s="2057"/>
      <c r="O794" s="337"/>
      <c r="P794" s="337"/>
      <c r="Q794" s="337"/>
      <c r="R794" s="337"/>
      <c r="S794" s="337"/>
      <c r="T794" s="337"/>
      <c r="U794" s="497"/>
      <c r="V794" s="497"/>
      <c r="W794" s="497"/>
      <c r="X794" s="497"/>
      <c r="Y794" s="497"/>
      <c r="Z794" s="497"/>
      <c r="AA794" s="497"/>
      <c r="AB794" s="497"/>
      <c r="AC794" s="497"/>
      <c r="AD794" s="497"/>
      <c r="AE794" s="497"/>
      <c r="AF794" s="497"/>
      <c r="AG794" s="497"/>
      <c r="AH794" s="497"/>
      <c r="AI794" s="497"/>
      <c r="AJ794" s="497"/>
      <c r="AK794" s="497"/>
      <c r="AL794" s="497"/>
      <c r="AM794" s="497"/>
      <c r="AN794" s="497"/>
      <c r="AO794" s="497"/>
      <c r="AP794" s="497"/>
      <c r="AQ794" s="497"/>
      <c r="AR794" s="497"/>
      <c r="AS794" s="497"/>
      <c r="AT794" s="497"/>
      <c r="AU794" s="497"/>
      <c r="AV794" s="497"/>
      <c r="AW794" s="497"/>
      <c r="AX794" s="497"/>
      <c r="AY794" s="497"/>
      <c r="AZ794" s="497"/>
      <c r="BA794" s="497"/>
      <c r="BB794" s="497"/>
      <c r="BC794" s="497"/>
      <c r="BD794" s="497"/>
      <c r="BE794" s="497"/>
      <c r="BF794" s="497"/>
      <c r="BG794" s="497"/>
      <c r="BH794" s="497"/>
      <c r="BI794" s="497"/>
      <c r="BJ794" s="497"/>
      <c r="BK794" s="497"/>
      <c r="BL794" s="497"/>
      <c r="BM794" s="497"/>
      <c r="BN794" s="497"/>
      <c r="BO794" s="497"/>
      <c r="BP794" s="497"/>
      <c r="BQ794" s="497"/>
      <c r="BR794" s="497"/>
      <c r="BS794" s="497"/>
      <c r="BT794" s="497"/>
      <c r="BU794" s="497"/>
      <c r="BV794" s="497"/>
      <c r="BW794" s="497"/>
      <c r="BX794" s="497"/>
      <c r="BY794" s="497"/>
      <c r="BZ794" s="497"/>
      <c r="CA794" s="497"/>
      <c r="CB794" s="497"/>
      <c r="CC794" s="497"/>
      <c r="CD794" s="497"/>
      <c r="CE794" s="497"/>
      <c r="CF794" s="497"/>
      <c r="CG794" s="497"/>
      <c r="CH794" s="497"/>
    </row>
    <row r="795" spans="1:86" s="335" customFormat="1">
      <c r="A795" s="517"/>
      <c r="B795" s="517"/>
      <c r="C795" s="517"/>
      <c r="D795" s="517"/>
      <c r="E795" s="517"/>
      <c r="F795" s="517"/>
      <c r="G795" s="517"/>
      <c r="H795" s="639"/>
      <c r="I795" s="639"/>
      <c r="J795" s="336"/>
      <c r="K795" s="2056"/>
      <c r="L795" s="337"/>
      <c r="N795" s="2057"/>
      <c r="O795" s="337"/>
      <c r="P795" s="337"/>
      <c r="Q795" s="337"/>
      <c r="R795" s="337"/>
      <c r="S795" s="337"/>
      <c r="T795" s="337"/>
      <c r="U795" s="497"/>
      <c r="V795" s="497"/>
      <c r="W795" s="497"/>
      <c r="X795" s="497"/>
      <c r="Y795" s="497"/>
      <c r="Z795" s="497"/>
      <c r="AA795" s="497"/>
      <c r="AB795" s="497"/>
      <c r="AC795" s="497"/>
      <c r="AD795" s="497"/>
      <c r="AE795" s="497"/>
      <c r="AF795" s="497"/>
      <c r="AG795" s="497"/>
      <c r="AH795" s="497"/>
      <c r="AI795" s="497"/>
      <c r="AJ795" s="497"/>
      <c r="AK795" s="497"/>
      <c r="AL795" s="497"/>
      <c r="AM795" s="497"/>
      <c r="AN795" s="497"/>
      <c r="AO795" s="497"/>
      <c r="AP795" s="497"/>
      <c r="AQ795" s="497"/>
      <c r="AR795" s="497"/>
      <c r="AS795" s="497"/>
      <c r="AT795" s="497"/>
      <c r="AU795" s="497"/>
      <c r="AV795" s="497"/>
      <c r="AW795" s="497"/>
      <c r="AX795" s="497"/>
      <c r="AY795" s="497"/>
      <c r="AZ795" s="497"/>
      <c r="BA795" s="497"/>
      <c r="BB795" s="497"/>
      <c r="BC795" s="497"/>
      <c r="BD795" s="497"/>
      <c r="BE795" s="497"/>
      <c r="BF795" s="497"/>
      <c r="BG795" s="497"/>
      <c r="BH795" s="497"/>
      <c r="BI795" s="497"/>
      <c r="BJ795" s="497"/>
      <c r="BK795" s="497"/>
      <c r="BL795" s="497"/>
      <c r="BM795" s="497"/>
      <c r="BN795" s="497"/>
      <c r="BO795" s="497"/>
      <c r="BP795" s="497"/>
      <c r="BQ795" s="497"/>
      <c r="BR795" s="497"/>
      <c r="BS795" s="497"/>
      <c r="BT795" s="497"/>
      <c r="BU795" s="497"/>
      <c r="BV795" s="497"/>
      <c r="BW795" s="497"/>
      <c r="BX795" s="497"/>
      <c r="BY795" s="497"/>
      <c r="BZ795" s="497"/>
      <c r="CA795" s="497"/>
      <c r="CB795" s="497"/>
      <c r="CC795" s="497"/>
      <c r="CD795" s="497"/>
      <c r="CE795" s="497"/>
      <c r="CF795" s="497"/>
      <c r="CG795" s="497"/>
      <c r="CH795" s="497"/>
    </row>
    <row r="796" spans="1:86" s="335" customFormat="1">
      <c r="A796" s="517"/>
      <c r="B796" s="517"/>
      <c r="C796" s="517"/>
      <c r="D796" s="517"/>
      <c r="E796" s="517"/>
      <c r="F796" s="517"/>
      <c r="G796" s="517"/>
      <c r="H796" s="639"/>
      <c r="I796" s="639"/>
      <c r="J796" s="336"/>
      <c r="K796" s="2056"/>
      <c r="L796" s="337"/>
      <c r="N796" s="2057"/>
      <c r="O796" s="337"/>
      <c r="P796" s="337"/>
      <c r="Q796" s="337"/>
      <c r="R796" s="337"/>
      <c r="S796" s="337"/>
      <c r="T796" s="337"/>
      <c r="U796" s="497"/>
      <c r="V796" s="497"/>
      <c r="W796" s="497"/>
      <c r="X796" s="497"/>
      <c r="Y796" s="497"/>
      <c r="Z796" s="497"/>
      <c r="AA796" s="497"/>
      <c r="AB796" s="497"/>
      <c r="AC796" s="497"/>
      <c r="AD796" s="497"/>
      <c r="AE796" s="497"/>
      <c r="AF796" s="497"/>
      <c r="AG796" s="497"/>
      <c r="AH796" s="497"/>
      <c r="AI796" s="497"/>
      <c r="AJ796" s="497"/>
      <c r="AK796" s="497"/>
      <c r="AL796" s="497"/>
      <c r="AM796" s="497"/>
      <c r="AN796" s="497"/>
      <c r="AO796" s="497"/>
      <c r="AP796" s="497"/>
      <c r="AQ796" s="497"/>
      <c r="AR796" s="497"/>
      <c r="AS796" s="497"/>
      <c r="AT796" s="497"/>
      <c r="AU796" s="497"/>
      <c r="AV796" s="497"/>
      <c r="AW796" s="497"/>
      <c r="AX796" s="497"/>
      <c r="AY796" s="497"/>
      <c r="AZ796" s="497"/>
      <c r="BA796" s="497"/>
      <c r="BB796" s="497"/>
      <c r="BC796" s="497"/>
      <c r="BD796" s="497"/>
      <c r="BE796" s="497"/>
      <c r="BF796" s="497"/>
      <c r="BG796" s="497"/>
      <c r="BH796" s="497"/>
      <c r="BI796" s="497"/>
      <c r="BJ796" s="497"/>
      <c r="BK796" s="497"/>
      <c r="BL796" s="497"/>
      <c r="BM796" s="497"/>
      <c r="BN796" s="497"/>
      <c r="BO796" s="497"/>
      <c r="BP796" s="497"/>
      <c r="BQ796" s="497"/>
      <c r="BR796" s="497"/>
      <c r="BS796" s="497"/>
      <c r="BT796" s="497"/>
      <c r="BU796" s="497"/>
      <c r="BV796" s="497"/>
      <c r="BW796" s="497"/>
      <c r="BX796" s="497"/>
      <c r="BY796" s="497"/>
      <c r="BZ796" s="497"/>
      <c r="CA796" s="497"/>
      <c r="CB796" s="497"/>
      <c r="CC796" s="497"/>
      <c r="CD796" s="497"/>
      <c r="CE796" s="497"/>
      <c r="CF796" s="497"/>
      <c r="CG796" s="497"/>
      <c r="CH796" s="497"/>
    </row>
    <row r="797" spans="1:86" s="335" customFormat="1">
      <c r="A797" s="517"/>
      <c r="B797" s="517"/>
      <c r="C797" s="517"/>
      <c r="D797" s="517"/>
      <c r="E797" s="517"/>
      <c r="F797" s="517"/>
      <c r="G797" s="517"/>
      <c r="H797" s="639"/>
      <c r="I797" s="639"/>
      <c r="J797" s="336"/>
      <c r="K797" s="2056"/>
      <c r="L797" s="337"/>
      <c r="N797" s="2057"/>
      <c r="O797" s="337"/>
      <c r="P797" s="337"/>
      <c r="Q797" s="337"/>
      <c r="R797" s="337"/>
      <c r="S797" s="337"/>
      <c r="T797" s="337"/>
      <c r="U797" s="497"/>
      <c r="V797" s="497"/>
      <c r="W797" s="497"/>
      <c r="X797" s="497"/>
      <c r="Y797" s="497"/>
      <c r="Z797" s="497"/>
      <c r="AA797" s="497"/>
      <c r="AB797" s="497"/>
      <c r="AC797" s="497"/>
      <c r="AD797" s="497"/>
      <c r="AE797" s="497"/>
      <c r="AF797" s="497"/>
      <c r="AG797" s="497"/>
      <c r="AH797" s="497"/>
      <c r="AI797" s="497"/>
      <c r="AJ797" s="497"/>
      <c r="AK797" s="497"/>
      <c r="AL797" s="497"/>
      <c r="AM797" s="497"/>
      <c r="AN797" s="497"/>
      <c r="AO797" s="497"/>
      <c r="AP797" s="497"/>
      <c r="AQ797" s="497"/>
      <c r="AR797" s="497"/>
      <c r="AS797" s="497"/>
      <c r="AT797" s="497"/>
      <c r="AU797" s="497"/>
      <c r="AV797" s="497"/>
      <c r="AW797" s="497"/>
      <c r="AX797" s="497"/>
      <c r="AY797" s="497"/>
      <c r="AZ797" s="497"/>
      <c r="BA797" s="497"/>
      <c r="BB797" s="497"/>
      <c r="BC797" s="497"/>
      <c r="BD797" s="497"/>
      <c r="BE797" s="497"/>
      <c r="BF797" s="497"/>
      <c r="BG797" s="497"/>
      <c r="BH797" s="497"/>
      <c r="BI797" s="497"/>
      <c r="BJ797" s="497"/>
      <c r="BK797" s="497"/>
      <c r="BL797" s="497"/>
      <c r="BM797" s="497"/>
      <c r="BN797" s="497"/>
      <c r="BO797" s="497"/>
      <c r="BP797" s="497"/>
      <c r="BQ797" s="497"/>
      <c r="BR797" s="497"/>
      <c r="BS797" s="497"/>
      <c r="BT797" s="497"/>
      <c r="BU797" s="497"/>
      <c r="BV797" s="497"/>
      <c r="BW797" s="497"/>
      <c r="BX797" s="497"/>
      <c r="BY797" s="497"/>
      <c r="BZ797" s="497"/>
      <c r="CA797" s="497"/>
      <c r="CB797" s="497"/>
      <c r="CC797" s="497"/>
      <c r="CD797" s="497"/>
      <c r="CE797" s="497"/>
      <c r="CF797" s="497"/>
      <c r="CG797" s="497"/>
      <c r="CH797" s="497"/>
    </row>
    <row r="798" spans="1:86" s="335" customFormat="1">
      <c r="A798" s="517"/>
      <c r="B798" s="517"/>
      <c r="C798" s="517"/>
      <c r="D798" s="517"/>
      <c r="E798" s="517"/>
      <c r="F798" s="517"/>
      <c r="G798" s="517"/>
      <c r="H798" s="639"/>
      <c r="I798" s="639"/>
      <c r="J798" s="336"/>
      <c r="K798" s="2056"/>
      <c r="L798" s="337"/>
      <c r="N798" s="2057"/>
      <c r="O798" s="337"/>
      <c r="P798" s="337"/>
      <c r="Q798" s="337"/>
      <c r="R798" s="337"/>
      <c r="S798" s="337"/>
      <c r="T798" s="337"/>
      <c r="U798" s="497"/>
      <c r="V798" s="497"/>
      <c r="W798" s="497"/>
      <c r="X798" s="497"/>
      <c r="Y798" s="497"/>
      <c r="Z798" s="497"/>
      <c r="AA798" s="497"/>
      <c r="AB798" s="497"/>
      <c r="AC798" s="497"/>
      <c r="AD798" s="497"/>
      <c r="AE798" s="497"/>
      <c r="AF798" s="497"/>
      <c r="AG798" s="497"/>
      <c r="AH798" s="497"/>
      <c r="AI798" s="497"/>
      <c r="AJ798" s="497"/>
      <c r="AK798" s="497"/>
      <c r="AL798" s="497"/>
      <c r="AM798" s="497"/>
      <c r="AN798" s="497"/>
      <c r="AO798" s="497"/>
      <c r="AP798" s="497"/>
      <c r="AQ798" s="497"/>
      <c r="AR798" s="497"/>
      <c r="AS798" s="497"/>
      <c r="AT798" s="497"/>
      <c r="AU798" s="497"/>
      <c r="AV798" s="497"/>
      <c r="AW798" s="497"/>
      <c r="AX798" s="497"/>
      <c r="AY798" s="497"/>
      <c r="AZ798" s="497"/>
      <c r="BA798" s="497"/>
      <c r="BB798" s="497"/>
      <c r="BC798" s="497"/>
      <c r="BD798" s="497"/>
      <c r="BE798" s="497"/>
      <c r="BF798" s="497"/>
      <c r="BG798" s="497"/>
      <c r="BH798" s="497"/>
      <c r="BI798" s="497"/>
      <c r="BJ798" s="497"/>
      <c r="BK798" s="497"/>
      <c r="BL798" s="497"/>
      <c r="BM798" s="497"/>
      <c r="BN798" s="497"/>
      <c r="BO798" s="497"/>
      <c r="BP798" s="497"/>
      <c r="BQ798" s="497"/>
      <c r="BR798" s="497"/>
      <c r="BS798" s="497"/>
      <c r="BT798" s="497"/>
      <c r="BU798" s="497"/>
      <c r="BV798" s="497"/>
      <c r="BW798" s="497"/>
      <c r="BX798" s="497"/>
      <c r="BY798" s="497"/>
      <c r="BZ798" s="497"/>
      <c r="CA798" s="497"/>
      <c r="CB798" s="497"/>
      <c r="CC798" s="497"/>
      <c r="CD798" s="497"/>
      <c r="CE798" s="497"/>
      <c r="CF798" s="497"/>
      <c r="CG798" s="497"/>
      <c r="CH798" s="497"/>
    </row>
    <row r="799" spans="1:86" s="335" customFormat="1">
      <c r="A799" s="517"/>
      <c r="B799" s="517"/>
      <c r="C799" s="517"/>
      <c r="D799" s="517"/>
      <c r="E799" s="517"/>
      <c r="F799" s="517"/>
      <c r="G799" s="517"/>
      <c r="H799" s="639"/>
      <c r="I799" s="639"/>
      <c r="J799" s="336"/>
      <c r="K799" s="2056"/>
      <c r="L799" s="337"/>
      <c r="N799" s="2057"/>
      <c r="O799" s="337"/>
      <c r="P799" s="337"/>
      <c r="Q799" s="337"/>
      <c r="R799" s="337"/>
      <c r="S799" s="337"/>
      <c r="T799" s="337"/>
      <c r="U799" s="497"/>
      <c r="V799" s="497"/>
      <c r="W799" s="497"/>
      <c r="X799" s="497"/>
      <c r="Y799" s="497"/>
      <c r="Z799" s="497"/>
      <c r="AA799" s="497"/>
      <c r="AB799" s="497"/>
      <c r="AC799" s="497"/>
      <c r="AD799" s="497"/>
      <c r="AE799" s="497"/>
      <c r="AF799" s="497"/>
      <c r="AG799" s="497"/>
      <c r="AH799" s="497"/>
      <c r="AI799" s="497"/>
      <c r="AJ799" s="497"/>
      <c r="AK799" s="497"/>
      <c r="AL799" s="497"/>
      <c r="AM799" s="497"/>
      <c r="AN799" s="497"/>
      <c r="AO799" s="497"/>
      <c r="AP799" s="497"/>
      <c r="AQ799" s="497"/>
      <c r="AR799" s="497"/>
      <c r="AS799" s="497"/>
      <c r="AT799" s="497"/>
      <c r="AU799" s="497"/>
      <c r="AV799" s="497"/>
      <c r="AW799" s="497"/>
      <c r="AX799" s="497"/>
      <c r="AY799" s="497"/>
      <c r="AZ799" s="497"/>
      <c r="BA799" s="497"/>
      <c r="BB799" s="497"/>
      <c r="BC799" s="497"/>
      <c r="BD799" s="497"/>
      <c r="BE799" s="497"/>
      <c r="BF799" s="497"/>
      <c r="BG799" s="497"/>
      <c r="BH799" s="497"/>
      <c r="BI799" s="497"/>
      <c r="BJ799" s="497"/>
      <c r="BK799" s="497"/>
      <c r="BL799" s="497"/>
      <c r="BM799" s="497"/>
      <c r="BN799" s="497"/>
      <c r="BO799" s="497"/>
      <c r="BP799" s="497"/>
      <c r="BQ799" s="497"/>
      <c r="BR799" s="497"/>
      <c r="BS799" s="497"/>
      <c r="BT799" s="497"/>
      <c r="BU799" s="497"/>
      <c r="BV799" s="497"/>
      <c r="BW799" s="497"/>
      <c r="BX799" s="497"/>
      <c r="BY799" s="497"/>
      <c r="BZ799" s="497"/>
      <c r="CA799" s="497"/>
      <c r="CB799" s="497"/>
      <c r="CC799" s="497"/>
      <c r="CD799" s="497"/>
      <c r="CE799" s="497"/>
      <c r="CF799" s="497"/>
      <c r="CG799" s="497"/>
      <c r="CH799" s="497"/>
    </row>
    <row r="800" spans="1:86" s="335" customFormat="1">
      <c r="A800" s="517"/>
      <c r="B800" s="517"/>
      <c r="C800" s="517"/>
      <c r="D800" s="517"/>
      <c r="E800" s="517"/>
      <c r="F800" s="517"/>
      <c r="G800" s="517"/>
      <c r="H800" s="639"/>
      <c r="I800" s="639"/>
      <c r="J800" s="336"/>
      <c r="K800" s="2056"/>
      <c r="L800" s="337"/>
      <c r="N800" s="2057"/>
      <c r="O800" s="337"/>
      <c r="P800" s="337"/>
      <c r="Q800" s="337"/>
      <c r="R800" s="337"/>
      <c r="S800" s="337"/>
      <c r="T800" s="337"/>
      <c r="U800" s="497"/>
      <c r="V800" s="497"/>
      <c r="W800" s="497"/>
      <c r="X800" s="497"/>
      <c r="Y800" s="497"/>
      <c r="Z800" s="497"/>
      <c r="AA800" s="497"/>
      <c r="AB800" s="497"/>
      <c r="AC800" s="497"/>
      <c r="AD800" s="497"/>
      <c r="AE800" s="497"/>
      <c r="AF800" s="497"/>
      <c r="AG800" s="497"/>
      <c r="AH800" s="497"/>
      <c r="AI800" s="497"/>
      <c r="AJ800" s="497"/>
      <c r="AK800" s="497"/>
      <c r="AL800" s="497"/>
      <c r="AM800" s="497"/>
      <c r="AN800" s="497"/>
      <c r="AO800" s="497"/>
      <c r="AP800" s="497"/>
      <c r="AQ800" s="497"/>
      <c r="AR800" s="497"/>
      <c r="AS800" s="497"/>
      <c r="AT800" s="497"/>
      <c r="AU800" s="497"/>
      <c r="AV800" s="497"/>
      <c r="AW800" s="497"/>
      <c r="AX800" s="497"/>
      <c r="AY800" s="497"/>
      <c r="AZ800" s="497"/>
      <c r="BA800" s="497"/>
      <c r="BB800" s="497"/>
      <c r="BC800" s="497"/>
      <c r="BD800" s="497"/>
      <c r="BE800" s="497"/>
      <c r="BF800" s="497"/>
      <c r="BG800" s="497"/>
      <c r="BH800" s="497"/>
      <c r="BI800" s="497"/>
      <c r="BJ800" s="497"/>
      <c r="BK800" s="497"/>
      <c r="BL800" s="497"/>
      <c r="BM800" s="497"/>
      <c r="BN800" s="497"/>
      <c r="BO800" s="497"/>
      <c r="BP800" s="497"/>
      <c r="BQ800" s="497"/>
      <c r="BR800" s="497"/>
      <c r="BS800" s="497"/>
      <c r="BT800" s="497"/>
      <c r="BU800" s="497"/>
      <c r="BV800" s="497"/>
      <c r="BW800" s="497"/>
      <c r="BX800" s="497"/>
      <c r="BY800" s="497"/>
      <c r="BZ800" s="497"/>
      <c r="CA800" s="497"/>
      <c r="CB800" s="497"/>
      <c r="CC800" s="497"/>
      <c r="CD800" s="497"/>
      <c r="CE800" s="497"/>
      <c r="CF800" s="497"/>
      <c r="CG800" s="497"/>
      <c r="CH800" s="497"/>
    </row>
    <row r="801" spans="1:86" s="335" customFormat="1">
      <c r="A801" s="517"/>
      <c r="B801" s="517"/>
      <c r="C801" s="517"/>
      <c r="D801" s="517"/>
      <c r="E801" s="517"/>
      <c r="F801" s="517"/>
      <c r="G801" s="517"/>
      <c r="H801" s="639"/>
      <c r="I801" s="639"/>
      <c r="J801" s="336"/>
      <c r="K801" s="2056"/>
      <c r="L801" s="337"/>
      <c r="N801" s="2057"/>
      <c r="O801" s="337"/>
      <c r="P801" s="337"/>
      <c r="Q801" s="337"/>
      <c r="R801" s="337"/>
      <c r="S801" s="337"/>
      <c r="T801" s="337"/>
      <c r="U801" s="497"/>
      <c r="V801" s="497"/>
      <c r="W801" s="497"/>
      <c r="X801" s="497"/>
      <c r="Y801" s="497"/>
      <c r="Z801" s="497"/>
      <c r="AA801" s="497"/>
      <c r="AB801" s="497"/>
      <c r="AC801" s="497"/>
      <c r="AD801" s="497"/>
      <c r="AE801" s="497"/>
      <c r="AF801" s="497"/>
      <c r="AG801" s="497"/>
      <c r="AH801" s="497"/>
      <c r="AI801" s="497"/>
      <c r="AJ801" s="497"/>
      <c r="AK801" s="497"/>
      <c r="AL801" s="497"/>
      <c r="AM801" s="497"/>
      <c r="AN801" s="497"/>
      <c r="AO801" s="497"/>
      <c r="AP801" s="497"/>
      <c r="AQ801" s="497"/>
      <c r="AR801" s="497"/>
      <c r="AS801" s="497"/>
      <c r="AT801" s="497"/>
      <c r="AU801" s="497"/>
      <c r="AV801" s="497"/>
      <c r="AW801" s="497"/>
      <c r="AX801" s="497"/>
      <c r="AY801" s="497"/>
      <c r="AZ801" s="497"/>
      <c r="BA801" s="497"/>
      <c r="BB801" s="497"/>
      <c r="BC801" s="497"/>
      <c r="BD801" s="497"/>
      <c r="BE801" s="497"/>
      <c r="BF801" s="497"/>
      <c r="BG801" s="497"/>
      <c r="BH801" s="497"/>
      <c r="BI801" s="497"/>
      <c r="BJ801" s="497"/>
      <c r="BK801" s="497"/>
      <c r="BL801" s="497"/>
      <c r="BM801" s="497"/>
      <c r="BN801" s="497"/>
      <c r="BO801" s="497"/>
      <c r="BP801" s="497"/>
      <c r="BQ801" s="497"/>
      <c r="BR801" s="497"/>
      <c r="BS801" s="497"/>
      <c r="BT801" s="497"/>
      <c r="BU801" s="497"/>
      <c r="BV801" s="497"/>
      <c r="BW801" s="497"/>
      <c r="BX801" s="497"/>
      <c r="BY801" s="497"/>
      <c r="BZ801" s="497"/>
      <c r="CA801" s="497"/>
      <c r="CB801" s="497"/>
      <c r="CC801" s="497"/>
      <c r="CD801" s="497"/>
      <c r="CE801" s="497"/>
      <c r="CF801" s="497"/>
      <c r="CG801" s="497"/>
      <c r="CH801" s="497"/>
    </row>
    <row r="802" spans="1:86" s="335" customFormat="1">
      <c r="A802" s="517"/>
      <c r="B802" s="517"/>
      <c r="C802" s="517"/>
      <c r="D802" s="517"/>
      <c r="E802" s="517"/>
      <c r="F802" s="517"/>
      <c r="G802" s="517"/>
      <c r="H802" s="639"/>
      <c r="I802" s="639"/>
      <c r="J802" s="336"/>
      <c r="K802" s="2056"/>
      <c r="L802" s="337"/>
      <c r="N802" s="2057"/>
      <c r="O802" s="337"/>
      <c r="P802" s="337"/>
      <c r="Q802" s="337"/>
      <c r="R802" s="337"/>
      <c r="S802" s="337"/>
      <c r="T802" s="337"/>
      <c r="U802" s="497"/>
      <c r="V802" s="497"/>
      <c r="W802" s="497"/>
      <c r="X802" s="497"/>
      <c r="Y802" s="497"/>
      <c r="Z802" s="497"/>
      <c r="AA802" s="497"/>
      <c r="AB802" s="497"/>
      <c r="AC802" s="497"/>
      <c r="AD802" s="497"/>
      <c r="AE802" s="497"/>
      <c r="AF802" s="497"/>
      <c r="AG802" s="497"/>
      <c r="AH802" s="497"/>
      <c r="AI802" s="497"/>
      <c r="AJ802" s="497"/>
      <c r="AK802" s="497"/>
      <c r="AL802" s="497"/>
      <c r="AM802" s="497"/>
      <c r="AN802" s="497"/>
      <c r="AO802" s="497"/>
      <c r="AP802" s="497"/>
      <c r="AQ802" s="497"/>
      <c r="AR802" s="497"/>
      <c r="AS802" s="497"/>
      <c r="AT802" s="497"/>
      <c r="AU802" s="497"/>
      <c r="AV802" s="497"/>
      <c r="AW802" s="497"/>
      <c r="AX802" s="497"/>
      <c r="AY802" s="497"/>
      <c r="AZ802" s="497"/>
      <c r="BA802" s="497"/>
      <c r="BB802" s="497"/>
      <c r="BC802" s="497"/>
      <c r="BD802" s="497"/>
      <c r="BE802" s="497"/>
      <c r="BF802" s="497"/>
      <c r="BG802" s="497"/>
      <c r="BH802" s="497"/>
      <c r="BI802" s="497"/>
      <c r="BJ802" s="497"/>
      <c r="BK802" s="497"/>
      <c r="BL802" s="497"/>
      <c r="BM802" s="497"/>
      <c r="BN802" s="497"/>
      <c r="BO802" s="497"/>
      <c r="BP802" s="497"/>
      <c r="BQ802" s="497"/>
      <c r="BR802" s="497"/>
      <c r="BS802" s="497"/>
      <c r="BT802" s="497"/>
      <c r="BU802" s="497"/>
      <c r="BV802" s="497"/>
      <c r="BW802" s="497"/>
      <c r="BX802" s="497"/>
      <c r="BY802" s="497"/>
      <c r="BZ802" s="497"/>
      <c r="CA802" s="497"/>
      <c r="CB802" s="497"/>
      <c r="CC802" s="497"/>
      <c r="CD802" s="497"/>
      <c r="CE802" s="497"/>
      <c r="CF802" s="497"/>
      <c r="CG802" s="497"/>
      <c r="CH802" s="497"/>
    </row>
    <row r="803" spans="1:86" s="335" customFormat="1">
      <c r="A803" s="517"/>
      <c r="B803" s="517"/>
      <c r="C803" s="517"/>
      <c r="D803" s="517"/>
      <c r="E803" s="517"/>
      <c r="F803" s="517"/>
      <c r="G803" s="517"/>
      <c r="H803" s="639"/>
      <c r="I803" s="639"/>
      <c r="J803" s="336"/>
      <c r="K803" s="2056"/>
      <c r="L803" s="337"/>
      <c r="N803" s="2057"/>
      <c r="O803" s="337"/>
      <c r="P803" s="337"/>
      <c r="Q803" s="337"/>
      <c r="R803" s="337"/>
      <c r="S803" s="337"/>
      <c r="T803" s="337"/>
      <c r="U803" s="497"/>
      <c r="V803" s="497"/>
      <c r="W803" s="497"/>
      <c r="X803" s="497"/>
      <c r="Y803" s="497"/>
      <c r="Z803" s="497"/>
      <c r="AA803" s="497"/>
      <c r="AB803" s="497"/>
      <c r="AC803" s="497"/>
      <c r="AD803" s="497"/>
      <c r="AE803" s="497"/>
      <c r="AF803" s="497"/>
      <c r="AG803" s="497"/>
      <c r="AH803" s="497"/>
      <c r="AI803" s="497"/>
      <c r="AJ803" s="497"/>
      <c r="AK803" s="497"/>
      <c r="AL803" s="497"/>
      <c r="AM803" s="497"/>
      <c r="AN803" s="497"/>
      <c r="AO803" s="497"/>
      <c r="AP803" s="497"/>
      <c r="AQ803" s="497"/>
      <c r="AR803" s="497"/>
      <c r="AS803" s="497"/>
      <c r="AT803" s="497"/>
      <c r="AU803" s="497"/>
      <c r="AV803" s="497"/>
      <c r="AW803" s="497"/>
      <c r="AX803" s="497"/>
      <c r="AY803" s="497"/>
      <c r="AZ803" s="497"/>
      <c r="BA803" s="497"/>
      <c r="BB803" s="497"/>
      <c r="BC803" s="497"/>
      <c r="BD803" s="497"/>
      <c r="BE803" s="497"/>
      <c r="BF803" s="497"/>
      <c r="BG803" s="497"/>
      <c r="BH803" s="497"/>
      <c r="BI803" s="497"/>
      <c r="BJ803" s="497"/>
      <c r="BK803" s="497"/>
      <c r="BL803" s="497"/>
      <c r="BM803" s="497"/>
      <c r="BN803" s="497"/>
      <c r="BO803" s="497"/>
      <c r="BP803" s="497"/>
      <c r="BQ803" s="497"/>
      <c r="BR803" s="497"/>
      <c r="BS803" s="497"/>
      <c r="BT803" s="497"/>
      <c r="BU803" s="497"/>
      <c r="BV803" s="497"/>
      <c r="BW803" s="497"/>
      <c r="BX803" s="497"/>
      <c r="BY803" s="497"/>
      <c r="BZ803" s="497"/>
      <c r="CA803" s="497"/>
      <c r="CB803" s="497"/>
      <c r="CC803" s="497"/>
      <c r="CD803" s="497"/>
      <c r="CE803" s="497"/>
      <c r="CF803" s="497"/>
      <c r="CG803" s="497"/>
      <c r="CH803" s="497"/>
    </row>
    <row r="804" spans="1:86" s="335" customFormat="1">
      <c r="A804" s="517"/>
      <c r="B804" s="517"/>
      <c r="C804" s="517"/>
      <c r="D804" s="517"/>
      <c r="E804" s="517"/>
      <c r="F804" s="517"/>
      <c r="G804" s="517"/>
      <c r="H804" s="639"/>
      <c r="I804" s="639"/>
      <c r="J804" s="336"/>
      <c r="K804" s="2056"/>
      <c r="L804" s="337"/>
      <c r="N804" s="2057"/>
      <c r="O804" s="337"/>
      <c r="P804" s="337"/>
      <c r="Q804" s="337"/>
      <c r="R804" s="337"/>
      <c r="S804" s="337"/>
      <c r="T804" s="337"/>
      <c r="U804" s="497"/>
      <c r="V804" s="497"/>
      <c r="W804" s="497"/>
      <c r="X804" s="497"/>
      <c r="Y804" s="497"/>
      <c r="Z804" s="497"/>
      <c r="AA804" s="497"/>
      <c r="AB804" s="497"/>
      <c r="AC804" s="497"/>
      <c r="AD804" s="497"/>
      <c r="AE804" s="497"/>
      <c r="AF804" s="497"/>
      <c r="AG804" s="497"/>
      <c r="AH804" s="497"/>
      <c r="AI804" s="497"/>
      <c r="AJ804" s="497"/>
      <c r="AK804" s="497"/>
      <c r="AL804" s="497"/>
      <c r="AM804" s="497"/>
      <c r="AN804" s="497"/>
      <c r="AO804" s="497"/>
      <c r="AP804" s="497"/>
      <c r="AQ804" s="497"/>
      <c r="AR804" s="497"/>
      <c r="AS804" s="497"/>
      <c r="AT804" s="497"/>
      <c r="AU804" s="497"/>
      <c r="AV804" s="497"/>
      <c r="AW804" s="497"/>
      <c r="AX804" s="497"/>
      <c r="AY804" s="497"/>
      <c r="AZ804" s="497"/>
      <c r="BA804" s="497"/>
      <c r="BB804" s="497"/>
      <c r="BC804" s="497"/>
      <c r="BD804" s="497"/>
      <c r="BE804" s="497"/>
      <c r="BF804" s="497"/>
      <c r="BG804" s="497"/>
      <c r="BH804" s="497"/>
      <c r="BI804" s="497"/>
      <c r="BJ804" s="497"/>
      <c r="BK804" s="497"/>
      <c r="BL804" s="497"/>
      <c r="BM804" s="497"/>
      <c r="BN804" s="497"/>
      <c r="BO804" s="497"/>
      <c r="BP804" s="497"/>
      <c r="BQ804" s="497"/>
      <c r="BR804" s="497"/>
      <c r="BS804" s="497"/>
      <c r="BT804" s="497"/>
      <c r="BU804" s="497"/>
      <c r="BV804" s="497"/>
      <c r="BW804" s="497"/>
      <c r="BX804" s="497"/>
      <c r="BY804" s="497"/>
      <c r="BZ804" s="497"/>
      <c r="CA804" s="497"/>
      <c r="CB804" s="497"/>
      <c r="CC804" s="497"/>
      <c r="CD804" s="497"/>
      <c r="CE804" s="497"/>
      <c r="CF804" s="497"/>
      <c r="CG804" s="497"/>
      <c r="CH804" s="497"/>
    </row>
    <row r="805" spans="1:86" s="335" customFormat="1">
      <c r="A805" s="517"/>
      <c r="B805" s="517"/>
      <c r="C805" s="517"/>
      <c r="D805" s="517"/>
      <c r="E805" s="517"/>
      <c r="F805" s="517"/>
      <c r="G805" s="517"/>
      <c r="H805" s="639"/>
      <c r="I805" s="639"/>
      <c r="J805" s="336"/>
      <c r="K805" s="2056"/>
      <c r="L805" s="337"/>
      <c r="N805" s="2057"/>
      <c r="O805" s="337"/>
      <c r="P805" s="337"/>
      <c r="Q805" s="337"/>
      <c r="R805" s="337"/>
      <c r="S805" s="337"/>
      <c r="T805" s="337"/>
      <c r="U805" s="497"/>
      <c r="V805" s="497"/>
      <c r="W805" s="497"/>
      <c r="X805" s="497"/>
      <c r="Y805" s="497"/>
      <c r="Z805" s="497"/>
      <c r="AA805" s="497"/>
      <c r="AB805" s="497"/>
      <c r="AC805" s="497"/>
      <c r="AD805" s="497"/>
      <c r="AE805" s="497"/>
      <c r="AF805" s="497"/>
      <c r="AG805" s="497"/>
      <c r="AH805" s="497"/>
      <c r="AI805" s="497"/>
      <c r="AJ805" s="497"/>
      <c r="AK805" s="497"/>
      <c r="AL805" s="497"/>
      <c r="AM805" s="497"/>
      <c r="AN805" s="497"/>
      <c r="AO805" s="497"/>
      <c r="AP805" s="497"/>
      <c r="AQ805" s="497"/>
      <c r="AR805" s="497"/>
      <c r="AS805" s="497"/>
      <c r="AT805" s="497"/>
      <c r="AU805" s="497"/>
      <c r="AV805" s="497"/>
      <c r="AW805" s="497"/>
      <c r="AX805" s="497"/>
      <c r="AY805" s="497"/>
      <c r="AZ805" s="497"/>
      <c r="BA805" s="497"/>
      <c r="BB805" s="497"/>
      <c r="BC805" s="497"/>
      <c r="BD805" s="497"/>
      <c r="BE805" s="497"/>
      <c r="BF805" s="497"/>
      <c r="BG805" s="497"/>
      <c r="BH805" s="497"/>
      <c r="BI805" s="497"/>
      <c r="BJ805" s="497"/>
      <c r="BK805" s="497"/>
      <c r="BL805" s="497"/>
      <c r="BM805" s="497"/>
      <c r="BN805" s="497"/>
      <c r="BO805" s="497"/>
      <c r="BP805" s="497"/>
      <c r="BQ805" s="497"/>
      <c r="BR805" s="497"/>
      <c r="BS805" s="497"/>
      <c r="BT805" s="497"/>
      <c r="BU805" s="497"/>
      <c r="BV805" s="497"/>
      <c r="BW805" s="497"/>
      <c r="BX805" s="497"/>
      <c r="BY805" s="497"/>
      <c r="BZ805" s="497"/>
      <c r="CA805" s="497"/>
      <c r="CB805" s="497"/>
      <c r="CC805" s="497"/>
      <c r="CD805" s="497"/>
      <c r="CE805" s="497"/>
      <c r="CF805" s="497"/>
      <c r="CG805" s="497"/>
      <c r="CH805" s="497"/>
    </row>
    <row r="806" spans="1:86" s="335" customFormat="1">
      <c r="A806" s="517"/>
      <c r="B806" s="517"/>
      <c r="C806" s="517"/>
      <c r="D806" s="517"/>
      <c r="E806" s="517"/>
      <c r="F806" s="517"/>
      <c r="G806" s="517"/>
      <c r="H806" s="639"/>
      <c r="I806" s="639"/>
      <c r="J806" s="336"/>
      <c r="K806" s="2056"/>
      <c r="L806" s="337"/>
      <c r="N806" s="2057"/>
      <c r="O806" s="337"/>
      <c r="P806" s="337"/>
      <c r="Q806" s="337"/>
      <c r="R806" s="337"/>
      <c r="S806" s="337"/>
      <c r="T806" s="337"/>
      <c r="U806" s="497"/>
      <c r="V806" s="497"/>
      <c r="W806" s="497"/>
      <c r="X806" s="497"/>
      <c r="Y806" s="497"/>
      <c r="Z806" s="497"/>
      <c r="AA806" s="497"/>
      <c r="AB806" s="497"/>
      <c r="AC806" s="497"/>
      <c r="AD806" s="497"/>
      <c r="AE806" s="497"/>
      <c r="AF806" s="497"/>
      <c r="AG806" s="497"/>
      <c r="AH806" s="497"/>
      <c r="AI806" s="497"/>
      <c r="AJ806" s="497"/>
      <c r="AK806" s="497"/>
      <c r="AL806" s="497"/>
      <c r="AM806" s="497"/>
      <c r="AN806" s="497"/>
      <c r="AO806" s="497"/>
      <c r="AP806" s="497"/>
      <c r="AQ806" s="497"/>
      <c r="AR806" s="497"/>
      <c r="AS806" s="497"/>
      <c r="AT806" s="497"/>
      <c r="AU806" s="497"/>
      <c r="AV806" s="497"/>
      <c r="AW806" s="497"/>
      <c r="AX806" s="497"/>
      <c r="AY806" s="497"/>
      <c r="AZ806" s="497"/>
      <c r="BA806" s="497"/>
      <c r="BB806" s="497"/>
      <c r="BC806" s="497"/>
      <c r="BD806" s="497"/>
      <c r="BE806" s="497"/>
      <c r="BF806" s="497"/>
      <c r="BG806" s="497"/>
      <c r="BH806" s="497"/>
      <c r="BI806" s="497"/>
      <c r="BJ806" s="497"/>
      <c r="BK806" s="497"/>
      <c r="BL806" s="497"/>
      <c r="BM806" s="497"/>
      <c r="BN806" s="497"/>
      <c r="BO806" s="497"/>
      <c r="BP806" s="497"/>
      <c r="BQ806" s="497"/>
      <c r="BR806" s="497"/>
      <c r="BS806" s="497"/>
      <c r="BT806" s="497"/>
      <c r="BU806" s="497"/>
      <c r="BV806" s="497"/>
      <c r="BW806" s="497"/>
      <c r="BX806" s="497"/>
      <c r="BY806" s="497"/>
      <c r="BZ806" s="497"/>
      <c r="CA806" s="497"/>
      <c r="CB806" s="497"/>
      <c r="CC806" s="497"/>
      <c r="CD806" s="497"/>
      <c r="CE806" s="497"/>
      <c r="CF806" s="497"/>
      <c r="CG806" s="497"/>
      <c r="CH806" s="497"/>
    </row>
    <row r="807" spans="1:86" s="335" customFormat="1">
      <c r="A807" s="517"/>
      <c r="B807" s="517"/>
      <c r="C807" s="517"/>
      <c r="D807" s="517"/>
      <c r="E807" s="517"/>
      <c r="F807" s="517"/>
      <c r="G807" s="517"/>
      <c r="H807" s="639"/>
      <c r="I807" s="639"/>
      <c r="J807" s="336"/>
      <c r="K807" s="2056"/>
      <c r="L807" s="337"/>
      <c r="N807" s="2057"/>
      <c r="O807" s="337"/>
      <c r="P807" s="337"/>
      <c r="Q807" s="337"/>
      <c r="R807" s="337"/>
      <c r="S807" s="337"/>
      <c r="T807" s="337"/>
      <c r="U807" s="497"/>
      <c r="V807" s="497"/>
      <c r="W807" s="497"/>
      <c r="X807" s="497"/>
      <c r="Y807" s="497"/>
      <c r="Z807" s="497"/>
      <c r="AA807" s="497"/>
      <c r="AB807" s="497"/>
      <c r="AC807" s="497"/>
      <c r="AD807" s="497"/>
      <c r="AE807" s="497"/>
      <c r="AF807" s="497"/>
      <c r="AG807" s="497"/>
      <c r="AH807" s="497"/>
      <c r="AI807" s="497"/>
      <c r="AJ807" s="497"/>
      <c r="AK807" s="497"/>
      <c r="AL807" s="497"/>
      <c r="AM807" s="497"/>
      <c r="AN807" s="497"/>
      <c r="AO807" s="497"/>
      <c r="AP807" s="497"/>
      <c r="AQ807" s="497"/>
      <c r="AR807" s="497"/>
      <c r="AS807" s="497"/>
      <c r="AT807" s="497"/>
      <c r="AU807" s="497"/>
      <c r="AV807" s="497"/>
      <c r="AW807" s="497"/>
      <c r="AX807" s="497"/>
      <c r="AY807" s="497"/>
      <c r="AZ807" s="497"/>
      <c r="BA807" s="497"/>
      <c r="BB807" s="497"/>
      <c r="BC807" s="497"/>
      <c r="BD807" s="497"/>
      <c r="BE807" s="497"/>
      <c r="BF807" s="497"/>
      <c r="BG807" s="497"/>
      <c r="BH807" s="497"/>
      <c r="BI807" s="497"/>
      <c r="BJ807" s="497"/>
      <c r="BK807" s="497"/>
      <c r="BL807" s="497"/>
      <c r="BM807" s="497"/>
      <c r="BN807" s="497"/>
      <c r="BO807" s="497"/>
      <c r="BP807" s="497"/>
      <c r="BQ807" s="497"/>
      <c r="BR807" s="497"/>
      <c r="BS807" s="497"/>
      <c r="BT807" s="497"/>
      <c r="BU807" s="497"/>
      <c r="BV807" s="497"/>
      <c r="BW807" s="497"/>
      <c r="BX807" s="497"/>
      <c r="BY807" s="497"/>
      <c r="BZ807" s="497"/>
      <c r="CA807" s="497"/>
      <c r="CB807" s="497"/>
      <c r="CC807" s="497"/>
      <c r="CD807" s="497"/>
      <c r="CE807" s="497"/>
      <c r="CF807" s="497"/>
      <c r="CG807" s="497"/>
      <c r="CH807" s="497"/>
    </row>
    <row r="808" spans="1:86" s="335" customFormat="1">
      <c r="A808" s="517"/>
      <c r="B808" s="517"/>
      <c r="C808" s="517"/>
      <c r="D808" s="517"/>
      <c r="E808" s="517"/>
      <c r="F808" s="517"/>
      <c r="G808" s="517"/>
      <c r="H808" s="639"/>
      <c r="I808" s="639"/>
      <c r="J808" s="336"/>
      <c r="K808" s="2056"/>
      <c r="L808" s="337"/>
      <c r="N808" s="2057"/>
      <c r="O808" s="337"/>
      <c r="P808" s="337"/>
      <c r="Q808" s="337"/>
      <c r="R808" s="337"/>
      <c r="S808" s="337"/>
      <c r="T808" s="337"/>
      <c r="U808" s="497"/>
      <c r="V808" s="497"/>
      <c r="W808" s="497"/>
      <c r="X808" s="497"/>
      <c r="Y808" s="497"/>
      <c r="Z808" s="497"/>
      <c r="AA808" s="497"/>
      <c r="AB808" s="497"/>
      <c r="AC808" s="497"/>
      <c r="AD808" s="497"/>
      <c r="AE808" s="497"/>
      <c r="AF808" s="497"/>
      <c r="AG808" s="497"/>
      <c r="AH808" s="497"/>
      <c r="AI808" s="497"/>
      <c r="AJ808" s="497"/>
      <c r="AK808" s="497"/>
      <c r="AL808" s="497"/>
      <c r="AM808" s="497"/>
      <c r="AN808" s="497"/>
      <c r="AO808" s="497"/>
      <c r="AP808" s="497"/>
      <c r="AQ808" s="497"/>
      <c r="AR808" s="497"/>
      <c r="AS808" s="497"/>
      <c r="AT808" s="497"/>
      <c r="AU808" s="497"/>
      <c r="AV808" s="497"/>
      <c r="AW808" s="497"/>
      <c r="AX808" s="497"/>
      <c r="AY808" s="497"/>
      <c r="AZ808" s="497"/>
      <c r="BA808" s="497"/>
      <c r="BB808" s="497"/>
      <c r="BC808" s="497"/>
      <c r="BD808" s="497"/>
      <c r="BE808" s="497"/>
      <c r="BF808" s="497"/>
      <c r="BG808" s="497"/>
      <c r="BH808" s="497"/>
      <c r="BI808" s="497"/>
      <c r="BJ808" s="497"/>
      <c r="BK808" s="497"/>
      <c r="BL808" s="497"/>
      <c r="BM808" s="497"/>
      <c r="BN808" s="497"/>
      <c r="BO808" s="497"/>
      <c r="BP808" s="497"/>
      <c r="BQ808" s="497"/>
      <c r="BR808" s="497"/>
      <c r="BS808" s="497"/>
      <c r="BT808" s="497"/>
      <c r="BU808" s="497"/>
      <c r="BV808" s="497"/>
      <c r="BW808" s="497"/>
      <c r="BX808" s="497"/>
      <c r="BY808" s="497"/>
      <c r="BZ808" s="497"/>
      <c r="CA808" s="497"/>
      <c r="CB808" s="497"/>
      <c r="CC808" s="497"/>
      <c r="CD808" s="497"/>
      <c r="CE808" s="497"/>
      <c r="CF808" s="497"/>
      <c r="CG808" s="497"/>
      <c r="CH808" s="497"/>
    </row>
    <row r="809" spans="1:86" s="335" customFormat="1">
      <c r="A809" s="517"/>
      <c r="B809" s="517"/>
      <c r="C809" s="517"/>
      <c r="D809" s="517"/>
      <c r="E809" s="517"/>
      <c r="F809" s="517"/>
      <c r="G809" s="517"/>
      <c r="H809" s="639"/>
      <c r="I809" s="639"/>
      <c r="J809" s="336"/>
      <c r="K809" s="2056"/>
      <c r="L809" s="337"/>
      <c r="N809" s="2057"/>
      <c r="O809" s="337"/>
      <c r="P809" s="337"/>
      <c r="Q809" s="337"/>
      <c r="R809" s="337"/>
      <c r="S809" s="337"/>
      <c r="T809" s="337"/>
      <c r="U809" s="497"/>
      <c r="V809" s="497"/>
      <c r="W809" s="497"/>
      <c r="X809" s="497"/>
      <c r="Y809" s="497"/>
      <c r="Z809" s="497"/>
      <c r="AA809" s="497"/>
      <c r="AB809" s="497"/>
      <c r="AC809" s="497"/>
      <c r="AD809" s="497"/>
      <c r="AE809" s="497"/>
      <c r="AF809" s="497"/>
      <c r="AG809" s="497"/>
      <c r="AH809" s="497"/>
      <c r="AI809" s="497"/>
      <c r="AJ809" s="497"/>
      <c r="AK809" s="497"/>
      <c r="AL809" s="497"/>
      <c r="AM809" s="497"/>
      <c r="AN809" s="497"/>
      <c r="AO809" s="497"/>
      <c r="AP809" s="497"/>
      <c r="AQ809" s="497"/>
      <c r="AR809" s="497"/>
      <c r="AS809" s="497"/>
      <c r="AT809" s="497"/>
      <c r="AU809" s="497"/>
      <c r="AV809" s="497"/>
      <c r="AW809" s="497"/>
      <c r="AX809" s="497"/>
      <c r="AY809" s="497"/>
      <c r="AZ809" s="497"/>
      <c r="BA809" s="497"/>
      <c r="BB809" s="497"/>
      <c r="BC809" s="497"/>
      <c r="BD809" s="497"/>
      <c r="BE809" s="497"/>
      <c r="BF809" s="497"/>
      <c r="BG809" s="497"/>
      <c r="BH809" s="497"/>
      <c r="BI809" s="497"/>
      <c r="BJ809" s="497"/>
      <c r="BK809" s="497"/>
      <c r="BL809" s="497"/>
      <c r="BM809" s="497"/>
      <c r="BN809" s="497"/>
      <c r="BO809" s="497"/>
      <c r="BP809" s="497"/>
      <c r="BQ809" s="497"/>
      <c r="BR809" s="497"/>
      <c r="BS809" s="497"/>
      <c r="BT809" s="497"/>
      <c r="BU809" s="497"/>
      <c r="BV809" s="497"/>
      <c r="BW809" s="497"/>
      <c r="BX809" s="497"/>
      <c r="BY809" s="497"/>
      <c r="BZ809" s="497"/>
      <c r="CA809" s="497"/>
      <c r="CB809" s="497"/>
      <c r="CC809" s="497"/>
      <c r="CD809" s="497"/>
      <c r="CE809" s="497"/>
      <c r="CF809" s="497"/>
      <c r="CG809" s="497"/>
      <c r="CH809" s="497"/>
    </row>
    <row r="810" spans="1:86" s="335" customFormat="1">
      <c r="A810" s="517"/>
      <c r="B810" s="517"/>
      <c r="C810" s="517"/>
      <c r="D810" s="517"/>
      <c r="E810" s="517"/>
      <c r="F810" s="517"/>
      <c r="G810" s="517"/>
      <c r="H810" s="639"/>
      <c r="I810" s="639"/>
      <c r="J810" s="336"/>
      <c r="K810" s="2056"/>
      <c r="L810" s="337"/>
      <c r="N810" s="2057"/>
      <c r="O810" s="337"/>
      <c r="P810" s="337"/>
      <c r="Q810" s="337"/>
      <c r="R810" s="337"/>
      <c r="S810" s="337"/>
      <c r="T810" s="337"/>
      <c r="U810" s="497"/>
      <c r="V810" s="497"/>
      <c r="W810" s="497"/>
      <c r="X810" s="497"/>
      <c r="Y810" s="497"/>
      <c r="Z810" s="497"/>
      <c r="AA810" s="497"/>
      <c r="AB810" s="497"/>
      <c r="AC810" s="497"/>
      <c r="AD810" s="497"/>
      <c r="AE810" s="497"/>
      <c r="AF810" s="497"/>
      <c r="AG810" s="497"/>
      <c r="AH810" s="497"/>
      <c r="AI810" s="497"/>
      <c r="AJ810" s="497"/>
      <c r="AK810" s="497"/>
      <c r="AL810" s="497"/>
      <c r="AM810" s="497"/>
      <c r="AN810" s="497"/>
      <c r="AO810" s="497"/>
      <c r="AP810" s="497"/>
      <c r="AQ810" s="497"/>
      <c r="AR810" s="497"/>
      <c r="AS810" s="497"/>
      <c r="AT810" s="497"/>
      <c r="AU810" s="497"/>
      <c r="AV810" s="497"/>
      <c r="AW810" s="497"/>
      <c r="AX810" s="497"/>
      <c r="AY810" s="497"/>
      <c r="AZ810" s="497"/>
      <c r="BA810" s="497"/>
      <c r="BB810" s="497"/>
      <c r="BC810" s="497"/>
      <c r="BD810" s="497"/>
      <c r="BE810" s="497"/>
      <c r="BF810" s="497"/>
      <c r="BG810" s="497"/>
      <c r="BH810" s="497"/>
      <c r="BI810" s="497"/>
      <c r="BJ810" s="497"/>
      <c r="BK810" s="497"/>
      <c r="BL810" s="497"/>
      <c r="BM810" s="497"/>
      <c r="BN810" s="497"/>
      <c r="BO810" s="497"/>
      <c r="BP810" s="497"/>
      <c r="BQ810" s="497"/>
      <c r="BR810" s="497"/>
      <c r="BS810" s="497"/>
      <c r="BT810" s="497"/>
      <c r="BU810" s="497"/>
      <c r="BV810" s="497"/>
      <c r="BW810" s="497"/>
      <c r="BX810" s="497"/>
      <c r="BY810" s="497"/>
      <c r="BZ810" s="497"/>
      <c r="CA810" s="497"/>
      <c r="CB810" s="497"/>
      <c r="CC810" s="497"/>
      <c r="CD810" s="497"/>
      <c r="CE810" s="497"/>
      <c r="CF810" s="497"/>
      <c r="CG810" s="497"/>
      <c r="CH810" s="497"/>
    </row>
    <row r="811" spans="1:86" s="335" customFormat="1">
      <c r="A811" s="517"/>
      <c r="B811" s="517"/>
      <c r="C811" s="517"/>
      <c r="D811" s="517"/>
      <c r="E811" s="517"/>
      <c r="F811" s="517"/>
      <c r="G811" s="517"/>
      <c r="H811" s="639"/>
      <c r="I811" s="639"/>
      <c r="J811" s="336"/>
      <c r="K811" s="2056"/>
      <c r="L811" s="337"/>
      <c r="N811" s="2057"/>
      <c r="O811" s="337"/>
      <c r="P811" s="337"/>
      <c r="Q811" s="337"/>
      <c r="R811" s="337"/>
      <c r="S811" s="337"/>
      <c r="T811" s="337"/>
      <c r="U811" s="497"/>
      <c r="V811" s="497"/>
      <c r="W811" s="497"/>
      <c r="X811" s="497"/>
      <c r="Y811" s="497"/>
      <c r="Z811" s="497"/>
      <c r="AA811" s="497"/>
      <c r="AB811" s="497"/>
      <c r="AC811" s="497"/>
      <c r="AD811" s="497"/>
      <c r="AE811" s="497"/>
      <c r="AF811" s="497"/>
      <c r="AG811" s="497"/>
      <c r="AH811" s="497"/>
      <c r="AI811" s="497"/>
      <c r="AJ811" s="497"/>
      <c r="AK811" s="497"/>
      <c r="AL811" s="497"/>
      <c r="AM811" s="497"/>
      <c r="AN811" s="497"/>
      <c r="AO811" s="497"/>
      <c r="AP811" s="497"/>
      <c r="AQ811" s="497"/>
      <c r="AR811" s="497"/>
      <c r="AS811" s="497"/>
      <c r="AT811" s="497"/>
      <c r="AU811" s="497"/>
      <c r="AV811" s="497"/>
      <c r="AW811" s="497"/>
      <c r="AX811" s="497"/>
      <c r="AY811" s="497"/>
      <c r="AZ811" s="497"/>
      <c r="BA811" s="497"/>
      <c r="BB811" s="497"/>
      <c r="BC811" s="497"/>
      <c r="BD811" s="497"/>
      <c r="BE811" s="497"/>
      <c r="BF811" s="497"/>
      <c r="BG811" s="497"/>
      <c r="BH811" s="497"/>
      <c r="BI811" s="497"/>
      <c r="BJ811" s="497"/>
      <c r="BK811" s="497"/>
      <c r="BL811" s="497"/>
      <c r="BM811" s="497"/>
      <c r="BN811" s="497"/>
      <c r="BO811" s="497"/>
      <c r="BP811" s="497"/>
      <c r="BQ811" s="497"/>
      <c r="BR811" s="497"/>
      <c r="BS811" s="497"/>
      <c r="BT811" s="497"/>
      <c r="BU811" s="497"/>
      <c r="BV811" s="497"/>
      <c r="BW811" s="497"/>
      <c r="BX811" s="497"/>
      <c r="BY811" s="497"/>
      <c r="BZ811" s="497"/>
      <c r="CA811" s="497"/>
      <c r="CB811" s="497"/>
      <c r="CC811" s="497"/>
      <c r="CD811" s="497"/>
      <c r="CE811" s="497"/>
      <c r="CF811" s="497"/>
      <c r="CG811" s="497"/>
      <c r="CH811" s="497"/>
    </row>
    <row r="812" spans="1:86" s="335" customFormat="1">
      <c r="A812" s="517"/>
      <c r="B812" s="517"/>
      <c r="C812" s="517"/>
      <c r="D812" s="517"/>
      <c r="E812" s="517"/>
      <c r="F812" s="517"/>
      <c r="G812" s="517"/>
      <c r="H812" s="639"/>
      <c r="I812" s="639"/>
      <c r="J812" s="336"/>
      <c r="K812" s="2056"/>
      <c r="L812" s="337"/>
      <c r="N812" s="2057"/>
      <c r="O812" s="337"/>
      <c r="P812" s="337"/>
      <c r="Q812" s="337"/>
      <c r="R812" s="337"/>
      <c r="S812" s="337"/>
      <c r="T812" s="337"/>
      <c r="U812" s="497"/>
      <c r="V812" s="497"/>
      <c r="W812" s="497"/>
      <c r="X812" s="497"/>
      <c r="Y812" s="497"/>
      <c r="Z812" s="497"/>
      <c r="AA812" s="497"/>
      <c r="AB812" s="497"/>
      <c r="AC812" s="497"/>
      <c r="AD812" s="497"/>
      <c r="AE812" s="497"/>
      <c r="AF812" s="497"/>
      <c r="AG812" s="497"/>
      <c r="AH812" s="497"/>
      <c r="AI812" s="497"/>
      <c r="AJ812" s="497"/>
      <c r="AK812" s="497"/>
      <c r="AL812" s="497"/>
      <c r="AM812" s="497"/>
      <c r="AN812" s="497"/>
      <c r="AO812" s="497"/>
      <c r="AP812" s="497"/>
      <c r="AQ812" s="497"/>
      <c r="AR812" s="497"/>
      <c r="AS812" s="497"/>
      <c r="AT812" s="497"/>
      <c r="AU812" s="497"/>
      <c r="AV812" s="497"/>
      <c r="AW812" s="497"/>
      <c r="AX812" s="497"/>
      <c r="AY812" s="497"/>
      <c r="AZ812" s="497"/>
      <c r="BA812" s="497"/>
      <c r="BB812" s="497"/>
      <c r="BC812" s="497"/>
      <c r="BD812" s="497"/>
      <c r="BE812" s="497"/>
      <c r="BF812" s="497"/>
      <c r="BG812" s="497"/>
      <c r="BH812" s="497"/>
      <c r="BI812" s="497"/>
      <c r="BJ812" s="497"/>
      <c r="BK812" s="497"/>
      <c r="BL812" s="497"/>
      <c r="BM812" s="497"/>
      <c r="BN812" s="497"/>
      <c r="BO812" s="497"/>
      <c r="BP812" s="497"/>
      <c r="BQ812" s="497"/>
      <c r="BR812" s="497"/>
      <c r="BS812" s="497"/>
      <c r="BT812" s="497"/>
      <c r="BU812" s="497"/>
      <c r="BV812" s="497"/>
      <c r="BW812" s="497"/>
      <c r="BX812" s="497"/>
      <c r="BY812" s="497"/>
      <c r="BZ812" s="497"/>
      <c r="CA812" s="497"/>
      <c r="CB812" s="497"/>
      <c r="CC812" s="497"/>
      <c r="CD812" s="497"/>
      <c r="CE812" s="497"/>
      <c r="CF812" s="497"/>
      <c r="CG812" s="497"/>
      <c r="CH812" s="497"/>
    </row>
    <row r="813" spans="1:86" s="335" customFormat="1">
      <c r="A813" s="517"/>
      <c r="B813" s="517"/>
      <c r="C813" s="517"/>
      <c r="D813" s="517"/>
      <c r="E813" s="517"/>
      <c r="F813" s="517"/>
      <c r="G813" s="517"/>
      <c r="H813" s="639"/>
      <c r="I813" s="639"/>
      <c r="J813" s="336"/>
      <c r="K813" s="2056"/>
      <c r="L813" s="337"/>
      <c r="N813" s="2057"/>
      <c r="O813" s="337"/>
      <c r="P813" s="337"/>
      <c r="Q813" s="337"/>
      <c r="R813" s="337"/>
      <c r="S813" s="337"/>
      <c r="T813" s="337"/>
      <c r="U813" s="497"/>
      <c r="V813" s="497"/>
      <c r="W813" s="497"/>
      <c r="X813" s="497"/>
      <c r="Y813" s="497"/>
      <c r="Z813" s="497"/>
      <c r="AA813" s="497"/>
      <c r="AB813" s="497"/>
      <c r="AC813" s="497"/>
      <c r="AD813" s="497"/>
      <c r="AE813" s="497"/>
      <c r="AF813" s="497"/>
      <c r="AG813" s="497"/>
      <c r="AH813" s="497"/>
      <c r="AI813" s="497"/>
      <c r="AJ813" s="497"/>
      <c r="AK813" s="497"/>
      <c r="AL813" s="497"/>
      <c r="AM813" s="497"/>
      <c r="AN813" s="497"/>
      <c r="AO813" s="497"/>
      <c r="AP813" s="497"/>
      <c r="AQ813" s="497"/>
      <c r="AR813" s="497"/>
      <c r="AS813" s="497"/>
      <c r="AT813" s="497"/>
      <c r="AU813" s="497"/>
      <c r="AV813" s="497"/>
      <c r="AW813" s="497"/>
      <c r="AX813" s="497"/>
      <c r="AY813" s="497"/>
      <c r="AZ813" s="497"/>
      <c r="BA813" s="497"/>
      <c r="BB813" s="497"/>
      <c r="BC813" s="497"/>
      <c r="BD813" s="497"/>
      <c r="BE813" s="497"/>
      <c r="BF813" s="497"/>
      <c r="BG813" s="497"/>
      <c r="BH813" s="497"/>
      <c r="BI813" s="497"/>
      <c r="BJ813" s="497"/>
      <c r="BK813" s="497"/>
      <c r="BL813" s="497"/>
      <c r="BM813" s="497"/>
      <c r="BN813" s="497"/>
      <c r="BO813" s="497"/>
      <c r="BP813" s="497"/>
      <c r="BQ813" s="497"/>
      <c r="BR813" s="497"/>
      <c r="BS813" s="497"/>
      <c r="BT813" s="497"/>
      <c r="BU813" s="497"/>
      <c r="BV813" s="497"/>
      <c r="BW813" s="497"/>
      <c r="BX813" s="497"/>
      <c r="BY813" s="497"/>
      <c r="BZ813" s="497"/>
      <c r="CA813" s="497"/>
      <c r="CB813" s="497"/>
      <c r="CC813" s="497"/>
      <c r="CD813" s="497"/>
      <c r="CE813" s="497"/>
      <c r="CF813" s="497"/>
      <c r="CG813" s="497"/>
      <c r="CH813" s="497"/>
    </row>
    <row r="814" spans="1:86" s="335" customFormat="1">
      <c r="A814" s="517"/>
      <c r="B814" s="517"/>
      <c r="C814" s="517"/>
      <c r="D814" s="517"/>
      <c r="E814" s="517"/>
      <c r="F814" s="517"/>
      <c r="G814" s="517"/>
      <c r="H814" s="639"/>
      <c r="I814" s="639"/>
      <c r="J814" s="336"/>
      <c r="K814" s="2056"/>
      <c r="L814" s="337"/>
      <c r="N814" s="2057"/>
      <c r="O814" s="337"/>
      <c r="P814" s="337"/>
      <c r="Q814" s="337"/>
      <c r="R814" s="337"/>
      <c r="S814" s="337"/>
      <c r="T814" s="337"/>
      <c r="U814" s="497"/>
      <c r="V814" s="497"/>
      <c r="W814" s="497"/>
      <c r="X814" s="497"/>
      <c r="Y814" s="497"/>
      <c r="Z814" s="497"/>
      <c r="AA814" s="497"/>
      <c r="AB814" s="497"/>
      <c r="AC814" s="497"/>
      <c r="AD814" s="497"/>
      <c r="AE814" s="497"/>
      <c r="AF814" s="497"/>
      <c r="AG814" s="497"/>
      <c r="AH814" s="497"/>
      <c r="AI814" s="497"/>
      <c r="AJ814" s="497"/>
      <c r="AK814" s="497"/>
      <c r="AL814" s="497"/>
      <c r="AM814" s="497"/>
      <c r="AN814" s="497"/>
      <c r="AO814" s="497"/>
      <c r="AP814" s="497"/>
      <c r="AQ814" s="497"/>
      <c r="AR814" s="497"/>
      <c r="AS814" s="497"/>
      <c r="AT814" s="497"/>
      <c r="AU814" s="497"/>
      <c r="AV814" s="497"/>
      <c r="AW814" s="497"/>
      <c r="AX814" s="497"/>
      <c r="AY814" s="497"/>
      <c r="AZ814" s="497"/>
      <c r="BA814" s="497"/>
      <c r="BB814" s="497"/>
      <c r="BC814" s="497"/>
      <c r="BD814" s="497"/>
      <c r="BE814" s="497"/>
      <c r="BF814" s="497"/>
      <c r="BG814" s="497"/>
      <c r="BH814" s="497"/>
      <c r="BI814" s="497"/>
      <c r="BJ814" s="497"/>
      <c r="BK814" s="497"/>
      <c r="BL814" s="497"/>
      <c r="BM814" s="497"/>
      <c r="BN814" s="497"/>
      <c r="BO814" s="497"/>
      <c r="BP814" s="497"/>
      <c r="BQ814" s="497"/>
      <c r="BR814" s="497"/>
      <c r="BS814" s="497"/>
      <c r="BT814" s="497"/>
      <c r="BU814" s="497"/>
      <c r="BV814" s="497"/>
      <c r="BW814" s="497"/>
      <c r="BX814" s="497"/>
      <c r="BY814" s="497"/>
      <c r="BZ814" s="497"/>
      <c r="CA814" s="497"/>
      <c r="CB814" s="497"/>
      <c r="CC814" s="497"/>
      <c r="CD814" s="497"/>
      <c r="CE814" s="497"/>
      <c r="CF814" s="497"/>
      <c r="CG814" s="497"/>
      <c r="CH814" s="497"/>
    </row>
    <row r="815" spans="1:86" s="335" customFormat="1">
      <c r="A815" s="517"/>
      <c r="B815" s="517"/>
      <c r="C815" s="517"/>
      <c r="D815" s="517"/>
      <c r="E815" s="517"/>
      <c r="F815" s="517"/>
      <c r="G815" s="517"/>
      <c r="H815" s="639"/>
      <c r="I815" s="639"/>
      <c r="J815" s="336"/>
      <c r="K815" s="2056"/>
      <c r="L815" s="337"/>
      <c r="N815" s="2057"/>
      <c r="O815" s="337"/>
      <c r="P815" s="337"/>
      <c r="Q815" s="337"/>
      <c r="R815" s="337"/>
      <c r="S815" s="337"/>
      <c r="T815" s="337"/>
      <c r="U815" s="497"/>
      <c r="V815" s="497"/>
      <c r="W815" s="497"/>
      <c r="X815" s="497"/>
      <c r="Y815" s="497"/>
      <c r="Z815" s="497"/>
      <c r="AA815" s="497"/>
      <c r="AB815" s="497"/>
      <c r="AC815" s="497"/>
      <c r="AD815" s="497"/>
      <c r="AE815" s="497"/>
      <c r="AF815" s="497"/>
      <c r="AG815" s="497"/>
      <c r="AH815" s="497"/>
      <c r="AI815" s="497"/>
      <c r="AJ815" s="497"/>
      <c r="AK815" s="497"/>
      <c r="AL815" s="497"/>
      <c r="AM815" s="497"/>
      <c r="AN815" s="497"/>
      <c r="AO815" s="497"/>
      <c r="AP815" s="497"/>
      <c r="AQ815" s="497"/>
      <c r="AR815" s="497"/>
      <c r="AS815" s="497"/>
      <c r="AT815" s="497"/>
      <c r="AU815" s="497"/>
      <c r="AV815" s="497"/>
      <c r="AW815" s="497"/>
      <c r="AX815" s="497"/>
      <c r="AY815" s="497"/>
      <c r="AZ815" s="497"/>
      <c r="BA815" s="497"/>
      <c r="BB815" s="497"/>
      <c r="BC815" s="497"/>
      <c r="BD815" s="497"/>
      <c r="BE815" s="497"/>
      <c r="BF815" s="497"/>
      <c r="BG815" s="497"/>
      <c r="BH815" s="497"/>
      <c r="BI815" s="497"/>
      <c r="BJ815" s="497"/>
      <c r="BK815" s="497"/>
      <c r="BL815" s="497"/>
      <c r="BM815" s="497"/>
      <c r="BN815" s="497"/>
      <c r="BO815" s="497"/>
      <c r="BP815" s="497"/>
      <c r="BQ815" s="497"/>
      <c r="BR815" s="497"/>
      <c r="BS815" s="497"/>
      <c r="BT815" s="497"/>
      <c r="BU815" s="497"/>
      <c r="BV815" s="497"/>
      <c r="BW815" s="497"/>
      <c r="BX815" s="497"/>
      <c r="BY815" s="497"/>
      <c r="BZ815" s="497"/>
      <c r="CA815" s="497"/>
      <c r="CB815" s="497"/>
      <c r="CC815" s="497"/>
      <c r="CD815" s="497"/>
      <c r="CE815" s="497"/>
      <c r="CF815" s="497"/>
      <c r="CG815" s="497"/>
      <c r="CH815" s="497"/>
    </row>
    <row r="816" spans="1:86" s="335" customFormat="1">
      <c r="A816" s="517"/>
      <c r="B816" s="517"/>
      <c r="C816" s="517"/>
      <c r="D816" s="517"/>
      <c r="E816" s="517"/>
      <c r="F816" s="517"/>
      <c r="G816" s="517"/>
      <c r="H816" s="639"/>
      <c r="I816" s="639"/>
      <c r="J816" s="336"/>
      <c r="K816" s="2056"/>
      <c r="L816" s="337"/>
      <c r="N816" s="2057"/>
      <c r="O816" s="337"/>
      <c r="P816" s="337"/>
      <c r="Q816" s="337"/>
      <c r="R816" s="337"/>
      <c r="S816" s="337"/>
      <c r="T816" s="337"/>
      <c r="U816" s="497"/>
      <c r="V816" s="497"/>
      <c r="W816" s="497"/>
      <c r="X816" s="497"/>
      <c r="Y816" s="497"/>
      <c r="Z816" s="497"/>
      <c r="AA816" s="497"/>
      <c r="AB816" s="497"/>
      <c r="AC816" s="497"/>
      <c r="AD816" s="497"/>
      <c r="AE816" s="497"/>
      <c r="AF816" s="497"/>
      <c r="AG816" s="497"/>
      <c r="AH816" s="497"/>
      <c r="AI816" s="497"/>
      <c r="AJ816" s="497"/>
      <c r="AK816" s="497"/>
      <c r="AL816" s="497"/>
      <c r="AM816" s="497"/>
      <c r="AN816" s="497"/>
      <c r="AO816" s="497"/>
      <c r="AP816" s="497"/>
      <c r="AQ816" s="497"/>
      <c r="AR816" s="497"/>
      <c r="AS816" s="497"/>
      <c r="AT816" s="497"/>
      <c r="AU816" s="497"/>
      <c r="AV816" s="497"/>
      <c r="AW816" s="497"/>
      <c r="AX816" s="497"/>
      <c r="AY816" s="497"/>
      <c r="AZ816" s="497"/>
      <c r="BA816" s="497"/>
      <c r="BB816" s="497"/>
      <c r="BC816" s="497"/>
      <c r="BD816" s="497"/>
      <c r="BE816" s="497"/>
      <c r="BF816" s="497"/>
      <c r="BG816" s="497"/>
      <c r="BH816" s="497"/>
      <c r="BI816" s="497"/>
      <c r="BJ816" s="497"/>
      <c r="BK816" s="497"/>
      <c r="BL816" s="497"/>
      <c r="BM816" s="497"/>
      <c r="BN816" s="497"/>
      <c r="BO816" s="497"/>
      <c r="BP816" s="497"/>
      <c r="BQ816" s="497"/>
      <c r="BR816" s="497"/>
      <c r="BS816" s="497"/>
      <c r="BT816" s="497"/>
      <c r="BU816" s="497"/>
      <c r="BV816" s="497"/>
      <c r="BW816" s="497"/>
      <c r="BX816" s="497"/>
      <c r="BY816" s="497"/>
      <c r="BZ816" s="497"/>
      <c r="CA816" s="497"/>
      <c r="CB816" s="497"/>
      <c r="CC816" s="497"/>
      <c r="CD816" s="497"/>
      <c r="CE816" s="497"/>
      <c r="CF816" s="497"/>
      <c r="CG816" s="497"/>
      <c r="CH816" s="497"/>
    </row>
    <row r="817" spans="1:86" s="335" customFormat="1">
      <c r="A817" s="517"/>
      <c r="B817" s="517"/>
      <c r="C817" s="517"/>
      <c r="D817" s="517"/>
      <c r="E817" s="517"/>
      <c r="F817" s="517"/>
      <c r="G817" s="517"/>
      <c r="H817" s="639"/>
      <c r="I817" s="639"/>
      <c r="J817" s="336"/>
      <c r="K817" s="2056"/>
      <c r="L817" s="337"/>
      <c r="N817" s="2057"/>
      <c r="O817" s="337"/>
      <c r="P817" s="337"/>
      <c r="Q817" s="337"/>
      <c r="R817" s="337"/>
      <c r="S817" s="337"/>
      <c r="T817" s="337"/>
      <c r="U817" s="497"/>
      <c r="V817" s="497"/>
      <c r="W817" s="497"/>
      <c r="X817" s="497"/>
      <c r="Y817" s="497"/>
      <c r="Z817" s="497"/>
      <c r="AA817" s="497"/>
      <c r="AB817" s="497"/>
      <c r="AC817" s="497"/>
      <c r="AD817" s="497"/>
      <c r="AE817" s="497"/>
      <c r="AF817" s="497"/>
      <c r="AG817" s="497"/>
      <c r="AH817" s="497"/>
      <c r="AI817" s="497"/>
      <c r="AJ817" s="497"/>
      <c r="AK817" s="497"/>
      <c r="AL817" s="497"/>
      <c r="AM817" s="497"/>
      <c r="AN817" s="497"/>
      <c r="AO817" s="497"/>
      <c r="AP817" s="497"/>
      <c r="AQ817" s="497"/>
      <c r="AR817" s="497"/>
      <c r="AS817" s="497"/>
      <c r="AT817" s="497"/>
      <c r="AU817" s="497"/>
      <c r="AV817" s="497"/>
      <c r="AW817" s="497"/>
      <c r="AX817" s="497"/>
      <c r="AY817" s="497"/>
      <c r="AZ817" s="497"/>
      <c r="BA817" s="497"/>
      <c r="BB817" s="497"/>
      <c r="BC817" s="497"/>
      <c r="BD817" s="497"/>
      <c r="BE817" s="497"/>
      <c r="BF817" s="497"/>
      <c r="BG817" s="497"/>
      <c r="BH817" s="497"/>
      <c r="BI817" s="497"/>
      <c r="BJ817" s="497"/>
      <c r="BK817" s="497"/>
      <c r="BL817" s="497"/>
      <c r="BM817" s="497"/>
      <c r="BN817" s="497"/>
      <c r="BO817" s="497"/>
      <c r="BP817" s="497"/>
      <c r="BQ817" s="497"/>
      <c r="BR817" s="497"/>
      <c r="BS817" s="497"/>
      <c r="BT817" s="497"/>
      <c r="BU817" s="497"/>
      <c r="BV817" s="497"/>
      <c r="BW817" s="497"/>
      <c r="BX817" s="497"/>
      <c r="BY817" s="497"/>
      <c r="BZ817" s="497"/>
      <c r="CA817" s="497"/>
      <c r="CB817" s="497"/>
      <c r="CC817" s="497"/>
      <c r="CD817" s="497"/>
      <c r="CE817" s="497"/>
      <c r="CF817" s="497"/>
      <c r="CG817" s="497"/>
      <c r="CH817" s="497"/>
    </row>
    <row r="818" spans="1:86" s="335" customFormat="1">
      <c r="A818" s="517"/>
      <c r="B818" s="517"/>
      <c r="C818" s="517"/>
      <c r="D818" s="517"/>
      <c r="E818" s="517"/>
      <c r="F818" s="517"/>
      <c r="G818" s="517"/>
      <c r="H818" s="639"/>
      <c r="I818" s="639"/>
      <c r="J818" s="336"/>
      <c r="K818" s="2056"/>
      <c r="L818" s="337"/>
      <c r="N818" s="2057"/>
      <c r="O818" s="337"/>
      <c r="P818" s="337"/>
      <c r="Q818" s="337"/>
      <c r="R818" s="337"/>
      <c r="S818" s="337"/>
      <c r="T818" s="337"/>
      <c r="U818" s="497"/>
      <c r="V818" s="497"/>
      <c r="W818" s="497"/>
      <c r="X818" s="497"/>
      <c r="Y818" s="497"/>
      <c r="Z818" s="497"/>
      <c r="AA818" s="497"/>
      <c r="AB818" s="497"/>
      <c r="AC818" s="497"/>
      <c r="AD818" s="497"/>
      <c r="AE818" s="497"/>
      <c r="AF818" s="497"/>
      <c r="AG818" s="497"/>
      <c r="AH818" s="497"/>
      <c r="AI818" s="497"/>
      <c r="AJ818" s="497"/>
      <c r="AK818" s="497"/>
      <c r="AL818" s="497"/>
      <c r="AM818" s="497"/>
      <c r="AN818" s="497"/>
      <c r="AO818" s="497"/>
      <c r="AP818" s="497"/>
      <c r="AQ818" s="497"/>
      <c r="AR818" s="497"/>
      <c r="AS818" s="497"/>
      <c r="AT818" s="497"/>
      <c r="AU818" s="497"/>
      <c r="AV818" s="497"/>
      <c r="AW818" s="497"/>
      <c r="AX818" s="497"/>
      <c r="AY818" s="497"/>
      <c r="AZ818" s="497"/>
      <c r="BA818" s="497"/>
      <c r="BB818" s="497"/>
      <c r="BC818" s="497"/>
      <c r="BD818" s="497"/>
      <c r="BE818" s="497"/>
      <c r="BF818" s="497"/>
      <c r="BG818" s="497"/>
      <c r="BH818" s="497"/>
      <c r="BI818" s="497"/>
      <c r="BJ818" s="497"/>
      <c r="BK818" s="497"/>
      <c r="BL818" s="497"/>
      <c r="BM818" s="497"/>
      <c r="BN818" s="497"/>
      <c r="BO818" s="497"/>
      <c r="BP818" s="497"/>
      <c r="BQ818" s="497"/>
      <c r="BR818" s="497"/>
      <c r="BS818" s="497"/>
      <c r="BT818" s="497"/>
      <c r="BU818" s="497"/>
      <c r="BV818" s="497"/>
      <c r="BW818" s="497"/>
      <c r="BX818" s="497"/>
      <c r="BY818" s="497"/>
      <c r="BZ818" s="497"/>
      <c r="CA818" s="497"/>
      <c r="CB818" s="497"/>
      <c r="CC818" s="497"/>
      <c r="CD818" s="497"/>
      <c r="CE818" s="497"/>
      <c r="CF818" s="497"/>
      <c r="CG818" s="497"/>
      <c r="CH818" s="497"/>
    </row>
    <row r="819" spans="1:86" s="335" customFormat="1">
      <c r="A819" s="517"/>
      <c r="B819" s="517"/>
      <c r="C819" s="517"/>
      <c r="D819" s="517"/>
      <c r="E819" s="517"/>
      <c r="F819" s="517"/>
      <c r="G819" s="517"/>
      <c r="H819" s="639"/>
      <c r="I819" s="639"/>
      <c r="J819" s="336"/>
      <c r="K819" s="2056"/>
      <c r="L819" s="337"/>
      <c r="N819" s="2057"/>
      <c r="O819" s="337"/>
      <c r="P819" s="337"/>
      <c r="Q819" s="337"/>
      <c r="R819" s="337"/>
      <c r="S819" s="337"/>
      <c r="T819" s="337"/>
      <c r="U819" s="497"/>
      <c r="V819" s="497"/>
      <c r="W819" s="497"/>
      <c r="X819" s="497"/>
      <c r="Y819" s="497"/>
      <c r="Z819" s="497"/>
      <c r="AA819" s="497"/>
      <c r="AB819" s="497"/>
      <c r="AC819" s="497"/>
      <c r="AD819" s="497"/>
      <c r="AE819" s="497"/>
      <c r="AF819" s="497"/>
      <c r="AG819" s="497"/>
      <c r="AH819" s="497"/>
      <c r="AI819" s="497"/>
      <c r="AJ819" s="497"/>
      <c r="AK819" s="497"/>
      <c r="AL819" s="497"/>
      <c r="AM819" s="497"/>
      <c r="AN819" s="497"/>
      <c r="AO819" s="497"/>
      <c r="AP819" s="497"/>
      <c r="AQ819" s="497"/>
      <c r="AR819" s="497"/>
      <c r="AS819" s="497"/>
      <c r="AT819" s="497"/>
      <c r="AU819" s="497"/>
      <c r="AV819" s="497"/>
      <c r="AW819" s="497"/>
      <c r="AX819" s="497"/>
      <c r="AY819" s="497"/>
      <c r="AZ819" s="497"/>
      <c r="BA819" s="497"/>
      <c r="BB819" s="497"/>
      <c r="BC819" s="497"/>
      <c r="BD819" s="497"/>
      <c r="BE819" s="497"/>
      <c r="BF819" s="497"/>
      <c r="BG819" s="497"/>
      <c r="BH819" s="497"/>
      <c r="BI819" s="497"/>
      <c r="BJ819" s="497"/>
      <c r="BK819" s="497"/>
      <c r="BL819" s="497"/>
      <c r="BM819" s="497"/>
      <c r="BN819" s="497"/>
      <c r="BO819" s="497"/>
      <c r="BP819" s="497"/>
      <c r="BQ819" s="497"/>
      <c r="BR819" s="497"/>
      <c r="BS819" s="497"/>
      <c r="BT819" s="497"/>
      <c r="BU819" s="497"/>
      <c r="BV819" s="497"/>
      <c r="BW819" s="497"/>
      <c r="BX819" s="497"/>
      <c r="BY819" s="497"/>
      <c r="BZ819" s="497"/>
      <c r="CA819" s="497"/>
      <c r="CB819" s="497"/>
      <c r="CC819" s="497"/>
      <c r="CD819" s="497"/>
      <c r="CE819" s="497"/>
      <c r="CF819" s="497"/>
      <c r="CG819" s="497"/>
      <c r="CH819" s="497"/>
    </row>
    <row r="820" spans="1:86" s="335" customFormat="1">
      <c r="A820" s="517"/>
      <c r="B820" s="517"/>
      <c r="C820" s="517"/>
      <c r="D820" s="517"/>
      <c r="E820" s="517"/>
      <c r="F820" s="517"/>
      <c r="G820" s="517"/>
      <c r="H820" s="639"/>
      <c r="I820" s="639"/>
      <c r="J820" s="336"/>
      <c r="K820" s="2056"/>
      <c r="L820" s="337"/>
      <c r="N820" s="2057"/>
      <c r="O820" s="337"/>
      <c r="P820" s="337"/>
      <c r="Q820" s="337"/>
      <c r="R820" s="337"/>
      <c r="S820" s="337"/>
      <c r="T820" s="337"/>
      <c r="U820" s="497"/>
      <c r="V820" s="497"/>
      <c r="W820" s="497"/>
      <c r="X820" s="497"/>
      <c r="Y820" s="497"/>
      <c r="Z820" s="497"/>
      <c r="AA820" s="497"/>
      <c r="AB820" s="497"/>
      <c r="AC820" s="497"/>
      <c r="AD820" s="497"/>
      <c r="AE820" s="497"/>
      <c r="AF820" s="497"/>
      <c r="AG820" s="497"/>
      <c r="AH820" s="497"/>
      <c r="AI820" s="497"/>
      <c r="AJ820" s="497"/>
      <c r="AK820" s="497"/>
      <c r="AL820" s="497"/>
      <c r="AM820" s="497"/>
      <c r="AN820" s="497"/>
      <c r="AO820" s="497"/>
      <c r="AP820" s="497"/>
      <c r="AQ820" s="497"/>
      <c r="AR820" s="497"/>
      <c r="AS820" s="497"/>
      <c r="AT820" s="497"/>
      <c r="AU820" s="497"/>
      <c r="AV820" s="497"/>
      <c r="AW820" s="497"/>
      <c r="AX820" s="497"/>
      <c r="AY820" s="497"/>
      <c r="AZ820" s="497"/>
      <c r="BA820" s="497"/>
      <c r="BB820" s="497"/>
      <c r="BC820" s="497"/>
      <c r="BD820" s="497"/>
      <c r="BE820" s="497"/>
      <c r="BF820" s="497"/>
      <c r="BG820" s="497"/>
      <c r="BH820" s="497"/>
      <c r="BI820" s="497"/>
      <c r="BJ820" s="497"/>
      <c r="BK820" s="497"/>
      <c r="BL820" s="497"/>
      <c r="BM820" s="497"/>
      <c r="BN820" s="497"/>
      <c r="BO820" s="497"/>
      <c r="BP820" s="497"/>
      <c r="BQ820" s="497"/>
      <c r="BR820" s="497"/>
      <c r="BS820" s="497"/>
      <c r="BT820" s="497"/>
      <c r="BU820" s="497"/>
      <c r="BV820" s="497"/>
      <c r="BW820" s="497"/>
      <c r="BX820" s="497"/>
      <c r="BY820" s="497"/>
      <c r="BZ820" s="497"/>
      <c r="CA820" s="497"/>
      <c r="CB820" s="497"/>
      <c r="CC820" s="497"/>
      <c r="CD820" s="497"/>
      <c r="CE820" s="497"/>
      <c r="CF820" s="497"/>
      <c r="CG820" s="497"/>
      <c r="CH820" s="497"/>
    </row>
    <row r="821" spans="1:86" s="335" customFormat="1">
      <c r="A821" s="517"/>
      <c r="B821" s="517"/>
      <c r="C821" s="517"/>
      <c r="D821" s="517"/>
      <c r="E821" s="517"/>
      <c r="F821" s="517"/>
      <c r="G821" s="517"/>
      <c r="H821" s="639"/>
      <c r="I821" s="639"/>
      <c r="J821" s="336"/>
      <c r="K821" s="2056"/>
      <c r="L821" s="337"/>
      <c r="N821" s="2057"/>
      <c r="O821" s="337"/>
      <c r="P821" s="337"/>
      <c r="Q821" s="337"/>
      <c r="R821" s="337"/>
      <c r="S821" s="337"/>
      <c r="T821" s="337"/>
      <c r="U821" s="497"/>
      <c r="V821" s="497"/>
      <c r="W821" s="497"/>
      <c r="X821" s="497"/>
      <c r="Y821" s="497"/>
      <c r="Z821" s="497"/>
      <c r="AA821" s="497"/>
      <c r="AB821" s="497"/>
      <c r="AC821" s="497"/>
      <c r="AD821" s="497"/>
      <c r="AE821" s="497"/>
      <c r="AF821" s="497"/>
      <c r="AG821" s="497"/>
      <c r="AH821" s="497"/>
      <c r="AI821" s="497"/>
      <c r="AJ821" s="497"/>
      <c r="AK821" s="497"/>
      <c r="AL821" s="497"/>
      <c r="AM821" s="497"/>
      <c r="AN821" s="497"/>
      <c r="AO821" s="497"/>
      <c r="AP821" s="497"/>
      <c r="AQ821" s="497"/>
      <c r="AR821" s="497"/>
      <c r="AS821" s="497"/>
      <c r="AT821" s="497"/>
      <c r="AU821" s="497"/>
      <c r="AV821" s="497"/>
      <c r="AW821" s="497"/>
      <c r="AX821" s="497"/>
      <c r="AY821" s="497"/>
      <c r="AZ821" s="497"/>
      <c r="BA821" s="497"/>
      <c r="BB821" s="497"/>
      <c r="BC821" s="497"/>
      <c r="BD821" s="497"/>
      <c r="BE821" s="497"/>
      <c r="BF821" s="497"/>
      <c r="BG821" s="497"/>
      <c r="BH821" s="497"/>
      <c r="BI821" s="497"/>
      <c r="BJ821" s="497"/>
      <c r="BK821" s="497"/>
      <c r="BL821" s="497"/>
      <c r="BM821" s="497"/>
      <c r="BN821" s="497"/>
      <c r="BO821" s="497"/>
      <c r="BP821" s="497"/>
      <c r="BQ821" s="497"/>
      <c r="BR821" s="497"/>
      <c r="BS821" s="497"/>
      <c r="BT821" s="497"/>
      <c r="BU821" s="497"/>
      <c r="BV821" s="497"/>
      <c r="BW821" s="497"/>
      <c r="BX821" s="497"/>
      <c r="BY821" s="497"/>
      <c r="BZ821" s="497"/>
      <c r="CA821" s="497"/>
      <c r="CB821" s="497"/>
      <c r="CC821" s="497"/>
      <c r="CD821" s="497"/>
      <c r="CE821" s="497"/>
      <c r="CF821" s="497"/>
      <c r="CG821" s="497"/>
      <c r="CH821" s="497"/>
    </row>
    <row r="822" spans="1:86" s="335" customFormat="1">
      <c r="A822" s="517"/>
      <c r="B822" s="517"/>
      <c r="C822" s="517"/>
      <c r="D822" s="517"/>
      <c r="E822" s="517"/>
      <c r="F822" s="517"/>
      <c r="G822" s="517"/>
      <c r="H822" s="639"/>
      <c r="I822" s="639"/>
      <c r="J822" s="336"/>
      <c r="K822" s="2056"/>
      <c r="L822" s="337"/>
      <c r="N822" s="2057"/>
      <c r="O822" s="337"/>
      <c r="P822" s="337"/>
      <c r="Q822" s="337"/>
      <c r="R822" s="337"/>
      <c r="S822" s="337"/>
      <c r="T822" s="337"/>
      <c r="U822" s="497"/>
      <c r="V822" s="497"/>
      <c r="W822" s="497"/>
      <c r="X822" s="497"/>
      <c r="Y822" s="497"/>
      <c r="Z822" s="497"/>
      <c r="AA822" s="497"/>
      <c r="AB822" s="497"/>
      <c r="AC822" s="497"/>
      <c r="AD822" s="497"/>
      <c r="AE822" s="497"/>
      <c r="AF822" s="497"/>
      <c r="AG822" s="497"/>
      <c r="AH822" s="497"/>
      <c r="AI822" s="497"/>
      <c r="AJ822" s="497"/>
      <c r="AK822" s="497"/>
      <c r="AL822" s="497"/>
      <c r="AM822" s="497"/>
      <c r="AN822" s="497"/>
      <c r="AO822" s="497"/>
      <c r="AP822" s="497"/>
      <c r="AQ822" s="497"/>
      <c r="AR822" s="497"/>
      <c r="AS822" s="497"/>
      <c r="AT822" s="497"/>
      <c r="AU822" s="497"/>
      <c r="AV822" s="497"/>
      <c r="AW822" s="497"/>
      <c r="AX822" s="497"/>
      <c r="AY822" s="497"/>
      <c r="AZ822" s="497"/>
      <c r="BA822" s="497"/>
      <c r="BB822" s="497"/>
      <c r="BC822" s="497"/>
      <c r="BD822" s="497"/>
      <c r="BE822" s="497"/>
      <c r="BF822" s="497"/>
      <c r="BG822" s="497"/>
      <c r="BH822" s="497"/>
      <c r="BI822" s="497"/>
      <c r="BJ822" s="497"/>
      <c r="BK822" s="497"/>
      <c r="BL822" s="497"/>
      <c r="BM822" s="497"/>
      <c r="BN822" s="497"/>
      <c r="BO822" s="497"/>
      <c r="BP822" s="497"/>
      <c r="BQ822" s="497"/>
      <c r="BR822" s="497"/>
      <c r="BS822" s="497"/>
      <c r="BT822" s="497"/>
      <c r="BU822" s="497"/>
      <c r="BV822" s="497"/>
      <c r="BW822" s="497"/>
      <c r="BX822" s="497"/>
      <c r="BY822" s="497"/>
      <c r="BZ822" s="497"/>
      <c r="CA822" s="497"/>
      <c r="CB822" s="497"/>
      <c r="CC822" s="497"/>
      <c r="CD822" s="497"/>
      <c r="CE822" s="497"/>
      <c r="CF822" s="497"/>
      <c r="CG822" s="497"/>
      <c r="CH822" s="497"/>
    </row>
    <row r="823" spans="1:86" s="335" customFormat="1">
      <c r="A823" s="517"/>
      <c r="B823" s="517"/>
      <c r="C823" s="517"/>
      <c r="D823" s="517"/>
      <c r="E823" s="517"/>
      <c r="F823" s="517"/>
      <c r="G823" s="517"/>
      <c r="H823" s="639"/>
      <c r="I823" s="639"/>
      <c r="J823" s="336"/>
      <c r="K823" s="2056"/>
      <c r="L823" s="337"/>
      <c r="N823" s="2057"/>
      <c r="O823" s="337"/>
      <c r="P823" s="337"/>
      <c r="Q823" s="337"/>
      <c r="R823" s="337"/>
      <c r="S823" s="337"/>
      <c r="T823" s="337"/>
      <c r="U823" s="497"/>
      <c r="V823" s="497"/>
      <c r="W823" s="497"/>
      <c r="X823" s="497"/>
      <c r="Y823" s="497"/>
      <c r="Z823" s="497"/>
      <c r="AA823" s="497"/>
      <c r="AB823" s="497"/>
      <c r="AC823" s="497"/>
      <c r="AD823" s="497"/>
      <c r="AE823" s="497"/>
      <c r="AF823" s="497"/>
      <c r="AG823" s="497"/>
      <c r="AH823" s="497"/>
      <c r="AI823" s="497"/>
      <c r="AJ823" s="497"/>
      <c r="AK823" s="497"/>
      <c r="AL823" s="497"/>
      <c r="AM823" s="497"/>
      <c r="AN823" s="497"/>
      <c r="AO823" s="497"/>
      <c r="AP823" s="497"/>
      <c r="AQ823" s="497"/>
      <c r="AR823" s="497"/>
      <c r="AS823" s="497"/>
      <c r="AT823" s="497"/>
      <c r="AU823" s="497"/>
      <c r="AV823" s="497"/>
      <c r="AW823" s="497"/>
      <c r="AX823" s="497"/>
      <c r="AY823" s="497"/>
      <c r="AZ823" s="497"/>
      <c r="BA823" s="497"/>
      <c r="BB823" s="497"/>
      <c r="BC823" s="497"/>
      <c r="BD823" s="497"/>
      <c r="BE823" s="497"/>
      <c r="BF823" s="497"/>
      <c r="BG823" s="497"/>
      <c r="BH823" s="497"/>
      <c r="BI823" s="497"/>
      <c r="BJ823" s="497"/>
      <c r="BK823" s="497"/>
      <c r="BL823" s="497"/>
      <c r="BM823" s="497"/>
      <c r="BN823" s="497"/>
      <c r="BO823" s="497"/>
      <c r="BP823" s="497"/>
      <c r="BQ823" s="497"/>
      <c r="BR823" s="497"/>
      <c r="BS823" s="497"/>
      <c r="BT823" s="497"/>
      <c r="BU823" s="497"/>
      <c r="BV823" s="497"/>
      <c r="BW823" s="497"/>
      <c r="BX823" s="497"/>
      <c r="BY823" s="497"/>
      <c r="BZ823" s="497"/>
      <c r="CA823" s="497"/>
      <c r="CB823" s="497"/>
      <c r="CC823" s="497"/>
      <c r="CD823" s="497"/>
      <c r="CE823" s="497"/>
      <c r="CF823" s="497"/>
      <c r="CG823" s="497"/>
      <c r="CH823" s="497"/>
    </row>
    <row r="824" spans="1:86" s="335" customFormat="1">
      <c r="A824" s="517"/>
      <c r="B824" s="517"/>
      <c r="C824" s="517"/>
      <c r="D824" s="517"/>
      <c r="E824" s="517"/>
      <c r="F824" s="517"/>
      <c r="G824" s="517"/>
      <c r="H824" s="639"/>
      <c r="I824" s="639"/>
      <c r="J824" s="336"/>
      <c r="K824" s="2056"/>
      <c r="L824" s="337"/>
      <c r="N824" s="2057"/>
      <c r="O824" s="337"/>
      <c r="P824" s="337"/>
      <c r="Q824" s="337"/>
      <c r="R824" s="337"/>
      <c r="S824" s="337"/>
      <c r="T824" s="337"/>
      <c r="U824" s="497"/>
      <c r="V824" s="497"/>
      <c r="W824" s="497"/>
      <c r="X824" s="497"/>
      <c r="Y824" s="497"/>
      <c r="Z824" s="497"/>
      <c r="AA824" s="497"/>
      <c r="AB824" s="497"/>
      <c r="AC824" s="497"/>
      <c r="AD824" s="497"/>
      <c r="AE824" s="497"/>
      <c r="AF824" s="497"/>
      <c r="AG824" s="497"/>
      <c r="AH824" s="497"/>
      <c r="AI824" s="497"/>
      <c r="AJ824" s="497"/>
      <c r="AK824" s="497"/>
      <c r="AL824" s="497"/>
      <c r="AM824" s="497"/>
      <c r="AN824" s="497"/>
      <c r="AO824" s="497"/>
      <c r="AP824" s="497"/>
      <c r="AQ824" s="497"/>
      <c r="AR824" s="497"/>
      <c r="AS824" s="497"/>
      <c r="AT824" s="497"/>
      <c r="AU824" s="497"/>
      <c r="AV824" s="497"/>
      <c r="AW824" s="497"/>
      <c r="AX824" s="497"/>
      <c r="AY824" s="497"/>
      <c r="AZ824" s="497"/>
      <c r="BA824" s="497"/>
      <c r="BB824" s="497"/>
      <c r="BC824" s="497"/>
      <c r="BD824" s="497"/>
      <c r="BE824" s="497"/>
      <c r="BF824" s="497"/>
      <c r="BG824" s="497"/>
      <c r="BH824" s="497"/>
      <c r="BI824" s="497"/>
      <c r="BJ824" s="497"/>
      <c r="BK824" s="497"/>
      <c r="BL824" s="497"/>
      <c r="BM824" s="497"/>
      <c r="BN824" s="497"/>
      <c r="BO824" s="497"/>
      <c r="BP824" s="497"/>
      <c r="BQ824" s="497"/>
      <c r="BR824" s="497"/>
      <c r="BS824" s="497"/>
      <c r="BT824" s="497"/>
      <c r="BU824" s="497"/>
      <c r="BV824" s="497"/>
      <c r="BW824" s="497"/>
      <c r="BX824" s="497"/>
      <c r="BY824" s="497"/>
      <c r="BZ824" s="497"/>
      <c r="CA824" s="497"/>
      <c r="CB824" s="497"/>
      <c r="CC824" s="497"/>
      <c r="CD824" s="497"/>
      <c r="CE824" s="497"/>
      <c r="CF824" s="497"/>
      <c r="CG824" s="497"/>
      <c r="CH824" s="497"/>
    </row>
    <row r="825" spans="1:86" s="335" customFormat="1">
      <c r="A825" s="517"/>
      <c r="B825" s="517"/>
      <c r="C825" s="517"/>
      <c r="D825" s="517"/>
      <c r="E825" s="517"/>
      <c r="F825" s="517"/>
      <c r="G825" s="517"/>
      <c r="H825" s="639"/>
      <c r="I825" s="639"/>
      <c r="J825" s="336"/>
      <c r="K825" s="2056"/>
      <c r="L825" s="337"/>
      <c r="N825" s="2057"/>
      <c r="O825" s="337"/>
      <c r="P825" s="337"/>
      <c r="Q825" s="337"/>
      <c r="R825" s="337"/>
      <c r="S825" s="337"/>
      <c r="T825" s="337"/>
      <c r="U825" s="497"/>
      <c r="V825" s="497"/>
      <c r="W825" s="497"/>
      <c r="X825" s="497"/>
      <c r="Y825" s="497"/>
      <c r="Z825" s="497"/>
      <c r="AA825" s="497"/>
      <c r="AB825" s="497"/>
      <c r="AC825" s="497"/>
      <c r="AD825" s="497"/>
      <c r="AE825" s="497"/>
      <c r="AF825" s="497"/>
      <c r="AG825" s="497"/>
      <c r="AH825" s="497"/>
      <c r="AI825" s="497"/>
      <c r="AJ825" s="497"/>
      <c r="AK825" s="497"/>
      <c r="AL825" s="497"/>
      <c r="AM825" s="497"/>
      <c r="AN825" s="497"/>
      <c r="AO825" s="497"/>
      <c r="AP825" s="497"/>
      <c r="AQ825" s="497"/>
      <c r="AR825" s="497"/>
      <c r="AS825" s="497"/>
      <c r="AT825" s="497"/>
      <c r="AU825" s="497"/>
      <c r="AV825" s="497"/>
      <c r="AW825" s="497"/>
      <c r="AX825" s="497"/>
      <c r="AY825" s="497"/>
      <c r="AZ825" s="497"/>
      <c r="BA825" s="497"/>
      <c r="BB825" s="497"/>
      <c r="BC825" s="497"/>
      <c r="BD825" s="497"/>
      <c r="BE825" s="497"/>
      <c r="BF825" s="497"/>
      <c r="BG825" s="497"/>
      <c r="BH825" s="497"/>
      <c r="BI825" s="497"/>
      <c r="BJ825" s="497"/>
      <c r="BK825" s="497"/>
      <c r="BL825" s="497"/>
      <c r="BM825" s="497"/>
      <c r="BN825" s="497"/>
      <c r="BO825" s="497"/>
      <c r="BP825" s="497"/>
      <c r="BQ825" s="497"/>
      <c r="BR825" s="497"/>
      <c r="BS825" s="497"/>
      <c r="BT825" s="497"/>
      <c r="BU825" s="497"/>
      <c r="BV825" s="497"/>
      <c r="BW825" s="497"/>
      <c r="BX825" s="497"/>
      <c r="BY825" s="497"/>
      <c r="BZ825" s="497"/>
      <c r="CA825" s="497"/>
      <c r="CB825" s="497"/>
      <c r="CC825" s="497"/>
      <c r="CD825" s="497"/>
      <c r="CE825" s="497"/>
      <c r="CF825" s="497"/>
      <c r="CG825" s="497"/>
      <c r="CH825" s="497"/>
    </row>
    <row r="826" spans="1:86" s="335" customFormat="1">
      <c r="A826" s="517"/>
      <c r="B826" s="517"/>
      <c r="C826" s="517"/>
      <c r="D826" s="517"/>
      <c r="E826" s="517"/>
      <c r="F826" s="517"/>
      <c r="G826" s="517"/>
      <c r="H826" s="639"/>
      <c r="I826" s="639"/>
      <c r="J826" s="336"/>
      <c r="K826" s="2056"/>
      <c r="L826" s="337"/>
      <c r="N826" s="2057"/>
      <c r="O826" s="337"/>
      <c r="P826" s="337"/>
      <c r="Q826" s="337"/>
      <c r="R826" s="337"/>
      <c r="S826" s="337"/>
      <c r="T826" s="337"/>
      <c r="U826" s="497"/>
      <c r="V826" s="497"/>
      <c r="W826" s="497"/>
      <c r="X826" s="497"/>
      <c r="Y826" s="497"/>
      <c r="Z826" s="497"/>
      <c r="AA826" s="497"/>
      <c r="AB826" s="497"/>
      <c r="AC826" s="497"/>
      <c r="AD826" s="497"/>
      <c r="AE826" s="497"/>
      <c r="AF826" s="497"/>
      <c r="AG826" s="497"/>
      <c r="AH826" s="497"/>
      <c r="AI826" s="497"/>
      <c r="AJ826" s="497"/>
      <c r="AK826" s="497"/>
      <c r="AL826" s="497"/>
      <c r="AM826" s="497"/>
      <c r="AN826" s="497"/>
      <c r="AO826" s="497"/>
      <c r="AP826" s="497"/>
      <c r="AQ826" s="497"/>
      <c r="AR826" s="497"/>
      <c r="AS826" s="497"/>
      <c r="AT826" s="497"/>
      <c r="AU826" s="497"/>
      <c r="AV826" s="497"/>
      <c r="AW826" s="497"/>
      <c r="AX826" s="497"/>
      <c r="AY826" s="497"/>
      <c r="AZ826" s="497"/>
      <c r="BA826" s="497"/>
      <c r="BB826" s="497"/>
      <c r="BC826" s="497"/>
      <c r="BD826" s="497"/>
      <c r="BE826" s="497"/>
      <c r="BF826" s="497"/>
      <c r="BG826" s="497"/>
      <c r="BH826" s="497"/>
      <c r="BI826" s="497"/>
      <c r="BJ826" s="497"/>
      <c r="BK826" s="497"/>
      <c r="BL826" s="497"/>
      <c r="BM826" s="497"/>
      <c r="BN826" s="497"/>
      <c r="BO826" s="497"/>
      <c r="BP826" s="497"/>
      <c r="BQ826" s="497"/>
      <c r="BR826" s="497"/>
      <c r="BS826" s="497"/>
      <c r="BT826" s="497"/>
      <c r="BU826" s="497"/>
      <c r="BV826" s="497"/>
      <c r="BW826" s="497"/>
      <c r="BX826" s="497"/>
      <c r="BY826" s="497"/>
      <c r="BZ826" s="497"/>
      <c r="CA826" s="497"/>
      <c r="CB826" s="497"/>
      <c r="CC826" s="497"/>
      <c r="CD826" s="497"/>
      <c r="CE826" s="497"/>
      <c r="CF826" s="497"/>
      <c r="CG826" s="497"/>
      <c r="CH826" s="497"/>
    </row>
    <row r="827" spans="1:86" s="335" customFormat="1">
      <c r="A827" s="517"/>
      <c r="B827" s="517"/>
      <c r="C827" s="517"/>
      <c r="D827" s="517"/>
      <c r="E827" s="517"/>
      <c r="F827" s="517"/>
      <c r="G827" s="517"/>
      <c r="H827" s="639"/>
      <c r="I827" s="639"/>
      <c r="J827" s="336"/>
      <c r="K827" s="2056"/>
      <c r="L827" s="337"/>
      <c r="N827" s="2057"/>
      <c r="O827" s="337"/>
      <c r="P827" s="337"/>
      <c r="Q827" s="337"/>
      <c r="R827" s="337"/>
      <c r="S827" s="337"/>
      <c r="T827" s="337"/>
      <c r="U827" s="497"/>
      <c r="V827" s="497"/>
      <c r="W827" s="497"/>
      <c r="X827" s="497"/>
      <c r="Y827" s="497"/>
      <c r="Z827" s="497"/>
      <c r="AA827" s="497"/>
      <c r="AB827" s="497"/>
      <c r="AC827" s="497"/>
      <c r="AD827" s="497"/>
      <c r="AE827" s="497"/>
      <c r="AF827" s="497"/>
      <c r="AG827" s="497"/>
      <c r="AH827" s="497"/>
      <c r="AI827" s="497"/>
      <c r="AJ827" s="497"/>
      <c r="AK827" s="497"/>
      <c r="AL827" s="497"/>
      <c r="AM827" s="497"/>
      <c r="AN827" s="497"/>
      <c r="AO827" s="497"/>
      <c r="AP827" s="497"/>
      <c r="AQ827" s="497"/>
      <c r="AR827" s="497"/>
      <c r="AS827" s="497"/>
      <c r="AT827" s="497"/>
      <c r="AU827" s="497"/>
      <c r="AV827" s="497"/>
      <c r="AW827" s="497"/>
      <c r="AX827" s="497"/>
      <c r="AY827" s="497"/>
      <c r="AZ827" s="497"/>
      <c r="BA827" s="497"/>
      <c r="BB827" s="497"/>
      <c r="BC827" s="497"/>
      <c r="BD827" s="497"/>
      <c r="BE827" s="497"/>
      <c r="BF827" s="497"/>
      <c r="BG827" s="497"/>
      <c r="BH827" s="497"/>
      <c r="BI827" s="497"/>
      <c r="BJ827" s="497"/>
      <c r="BK827" s="497"/>
      <c r="BL827" s="497"/>
      <c r="BM827" s="497"/>
      <c r="BN827" s="497"/>
      <c r="BO827" s="497"/>
      <c r="BP827" s="497"/>
      <c r="BQ827" s="497"/>
      <c r="BR827" s="497"/>
      <c r="BS827" s="497"/>
      <c r="BT827" s="497"/>
      <c r="BU827" s="497"/>
      <c r="BV827" s="497"/>
      <c r="BW827" s="497"/>
      <c r="BX827" s="497"/>
      <c r="BY827" s="497"/>
      <c r="BZ827" s="497"/>
      <c r="CA827" s="497"/>
      <c r="CB827" s="497"/>
      <c r="CC827" s="497"/>
      <c r="CD827" s="497"/>
      <c r="CE827" s="497"/>
      <c r="CF827" s="497"/>
      <c r="CG827" s="497"/>
      <c r="CH827" s="497"/>
    </row>
    <row r="828" spans="1:86" s="335" customFormat="1">
      <c r="A828" s="517"/>
      <c r="B828" s="517"/>
      <c r="C828" s="517"/>
      <c r="D828" s="517"/>
      <c r="E828" s="517"/>
      <c r="F828" s="517"/>
      <c r="G828" s="517"/>
      <c r="H828" s="639"/>
      <c r="I828" s="639"/>
      <c r="J828" s="336"/>
      <c r="K828" s="2056"/>
      <c r="L828" s="337"/>
      <c r="N828" s="2057"/>
      <c r="O828" s="337"/>
      <c r="P828" s="337"/>
      <c r="Q828" s="337"/>
      <c r="R828" s="337"/>
      <c r="S828" s="337"/>
      <c r="T828" s="337"/>
      <c r="U828" s="497"/>
      <c r="V828" s="497"/>
      <c r="W828" s="497"/>
      <c r="X828" s="497"/>
      <c r="Y828" s="497"/>
      <c r="Z828" s="497"/>
      <c r="AA828" s="497"/>
      <c r="AB828" s="497"/>
      <c r="AC828" s="497"/>
      <c r="AD828" s="497"/>
      <c r="AE828" s="497"/>
      <c r="AF828" s="497"/>
      <c r="AG828" s="497"/>
      <c r="AH828" s="497"/>
      <c r="AI828" s="497"/>
      <c r="AJ828" s="497"/>
      <c r="AK828" s="497"/>
      <c r="AL828" s="497"/>
      <c r="AM828" s="497"/>
      <c r="AN828" s="497"/>
      <c r="AO828" s="497"/>
      <c r="AP828" s="497"/>
      <c r="AQ828" s="497"/>
      <c r="AR828" s="497"/>
      <c r="AS828" s="497"/>
      <c r="AT828" s="497"/>
      <c r="AU828" s="497"/>
      <c r="AV828" s="497"/>
      <c r="AW828" s="497"/>
      <c r="AX828" s="497"/>
      <c r="AY828" s="497"/>
      <c r="AZ828" s="497"/>
      <c r="BA828" s="497"/>
      <c r="BB828" s="497"/>
      <c r="BC828" s="497"/>
      <c r="BD828" s="497"/>
      <c r="BE828" s="497"/>
      <c r="BF828" s="497"/>
      <c r="BG828" s="497"/>
      <c r="BH828" s="497"/>
      <c r="BI828" s="497"/>
      <c r="BJ828" s="497"/>
      <c r="BK828" s="497"/>
      <c r="BL828" s="497"/>
      <c r="BM828" s="497"/>
      <c r="BN828" s="497"/>
      <c r="BO828" s="497"/>
      <c r="BP828" s="497"/>
      <c r="BQ828" s="497"/>
      <c r="BR828" s="497"/>
      <c r="BS828" s="497"/>
      <c r="BT828" s="497"/>
      <c r="BU828" s="497"/>
      <c r="BV828" s="497"/>
      <c r="BW828" s="497"/>
      <c r="BX828" s="497"/>
      <c r="BY828" s="497"/>
      <c r="BZ828" s="497"/>
      <c r="CA828" s="497"/>
      <c r="CB828" s="497"/>
      <c r="CC828" s="497"/>
      <c r="CD828" s="497"/>
      <c r="CE828" s="497"/>
      <c r="CF828" s="497"/>
      <c r="CG828" s="497"/>
      <c r="CH828" s="497"/>
    </row>
    <row r="829" spans="1:86" s="335" customFormat="1">
      <c r="A829" s="517"/>
      <c r="B829" s="517"/>
      <c r="C829" s="517"/>
      <c r="D829" s="517"/>
      <c r="E829" s="517"/>
      <c r="F829" s="517"/>
      <c r="G829" s="517"/>
      <c r="H829" s="639"/>
      <c r="I829" s="639"/>
      <c r="J829" s="336"/>
      <c r="K829" s="2056"/>
      <c r="L829" s="337"/>
      <c r="N829" s="2057"/>
      <c r="O829" s="337"/>
      <c r="P829" s="337"/>
      <c r="Q829" s="337"/>
      <c r="R829" s="337"/>
      <c r="S829" s="337"/>
      <c r="T829" s="337"/>
      <c r="U829" s="497"/>
      <c r="V829" s="497"/>
      <c r="W829" s="497"/>
      <c r="X829" s="497"/>
      <c r="Y829" s="497"/>
      <c r="Z829" s="497"/>
      <c r="AA829" s="497"/>
      <c r="AB829" s="497"/>
      <c r="AC829" s="497"/>
      <c r="AD829" s="497"/>
      <c r="AE829" s="497"/>
      <c r="AF829" s="497"/>
      <c r="AG829" s="497"/>
      <c r="AH829" s="497"/>
      <c r="AI829" s="497"/>
      <c r="AJ829" s="497"/>
      <c r="AK829" s="497"/>
      <c r="AL829" s="497"/>
      <c r="AM829" s="497"/>
      <c r="AN829" s="497"/>
      <c r="AO829" s="497"/>
      <c r="AP829" s="497"/>
      <c r="AQ829" s="497"/>
      <c r="AR829" s="497"/>
      <c r="AS829" s="497"/>
      <c r="AT829" s="497"/>
      <c r="AU829" s="497"/>
      <c r="AV829" s="497"/>
      <c r="AW829" s="497"/>
      <c r="AX829" s="497"/>
      <c r="AY829" s="497"/>
      <c r="AZ829" s="497"/>
      <c r="BA829" s="497"/>
      <c r="BB829" s="497"/>
      <c r="BC829" s="497"/>
      <c r="BD829" s="497"/>
      <c r="BE829" s="497"/>
      <c r="BF829" s="497"/>
      <c r="BG829" s="497"/>
      <c r="BH829" s="497"/>
      <c r="BI829" s="497"/>
      <c r="BJ829" s="497"/>
      <c r="BK829" s="497"/>
      <c r="BL829" s="497"/>
      <c r="BM829" s="497"/>
      <c r="BN829" s="497"/>
      <c r="BO829" s="497"/>
      <c r="BP829" s="497"/>
      <c r="BQ829" s="497"/>
      <c r="BR829" s="497"/>
      <c r="BS829" s="497"/>
      <c r="BT829" s="497"/>
      <c r="BU829" s="497"/>
      <c r="BV829" s="497"/>
      <c r="BW829" s="497"/>
      <c r="BX829" s="497"/>
      <c r="BY829" s="497"/>
      <c r="BZ829" s="497"/>
      <c r="CA829" s="497"/>
      <c r="CB829" s="497"/>
      <c r="CC829" s="497"/>
      <c r="CD829" s="497"/>
      <c r="CE829" s="497"/>
      <c r="CF829" s="497"/>
      <c r="CG829" s="497"/>
      <c r="CH829" s="497"/>
    </row>
    <row r="830" spans="1:86" s="335" customFormat="1">
      <c r="A830" s="517"/>
      <c r="B830" s="517"/>
      <c r="C830" s="517"/>
      <c r="D830" s="517"/>
      <c r="E830" s="517"/>
      <c r="F830" s="517"/>
      <c r="G830" s="517"/>
      <c r="H830" s="639"/>
      <c r="I830" s="639"/>
      <c r="J830" s="336"/>
      <c r="K830" s="2056"/>
      <c r="L830" s="337"/>
      <c r="N830" s="2057"/>
      <c r="O830" s="337"/>
      <c r="P830" s="337"/>
      <c r="Q830" s="337"/>
      <c r="R830" s="337"/>
      <c r="S830" s="337"/>
      <c r="T830" s="337"/>
      <c r="U830" s="497"/>
      <c r="V830" s="497"/>
      <c r="W830" s="497"/>
      <c r="X830" s="497"/>
      <c r="Y830" s="497"/>
      <c r="Z830" s="497"/>
      <c r="AA830" s="497"/>
      <c r="AB830" s="497"/>
      <c r="AC830" s="497"/>
      <c r="AD830" s="497"/>
      <c r="AE830" s="497"/>
      <c r="AF830" s="497"/>
      <c r="AG830" s="497"/>
      <c r="AH830" s="497"/>
      <c r="AI830" s="497"/>
      <c r="AJ830" s="497"/>
      <c r="AK830" s="497"/>
      <c r="AL830" s="497"/>
      <c r="AM830" s="497"/>
      <c r="AN830" s="497"/>
      <c r="AO830" s="497"/>
      <c r="AP830" s="497"/>
      <c r="AQ830" s="497"/>
      <c r="AR830" s="497"/>
      <c r="AS830" s="497"/>
      <c r="AT830" s="497"/>
      <c r="AU830" s="497"/>
      <c r="AV830" s="497"/>
      <c r="AW830" s="497"/>
      <c r="AX830" s="497"/>
      <c r="AY830" s="497"/>
      <c r="AZ830" s="497"/>
      <c r="BA830" s="497"/>
      <c r="BB830" s="497"/>
      <c r="BC830" s="497"/>
      <c r="BD830" s="497"/>
      <c r="BE830" s="497"/>
      <c r="BF830" s="497"/>
      <c r="BG830" s="497"/>
      <c r="BH830" s="497"/>
      <c r="BI830" s="497"/>
      <c r="BJ830" s="497"/>
      <c r="BK830" s="497"/>
      <c r="BL830" s="497"/>
      <c r="BM830" s="497"/>
      <c r="BN830" s="497"/>
      <c r="BO830" s="497"/>
      <c r="BP830" s="497"/>
      <c r="BQ830" s="497"/>
      <c r="BR830" s="497"/>
      <c r="BS830" s="497"/>
      <c r="BT830" s="497"/>
      <c r="BU830" s="497"/>
      <c r="BV830" s="497"/>
      <c r="BW830" s="497"/>
      <c r="BX830" s="497"/>
      <c r="BY830" s="497"/>
      <c r="BZ830" s="497"/>
      <c r="CA830" s="497"/>
      <c r="CB830" s="497"/>
      <c r="CC830" s="497"/>
      <c r="CD830" s="497"/>
      <c r="CE830" s="497"/>
      <c r="CF830" s="497"/>
      <c r="CG830" s="497"/>
      <c r="CH830" s="497"/>
    </row>
    <row r="831" spans="1:86" s="335" customFormat="1">
      <c r="A831" s="517"/>
      <c r="B831" s="517"/>
      <c r="C831" s="517"/>
      <c r="D831" s="517"/>
      <c r="E831" s="517"/>
      <c r="F831" s="517"/>
      <c r="G831" s="517"/>
      <c r="H831" s="639"/>
      <c r="I831" s="639"/>
      <c r="J831" s="336"/>
      <c r="K831" s="2056"/>
      <c r="L831" s="337"/>
      <c r="N831" s="2057"/>
      <c r="O831" s="337"/>
      <c r="P831" s="337"/>
      <c r="Q831" s="337"/>
      <c r="R831" s="337"/>
      <c r="S831" s="337"/>
      <c r="T831" s="337"/>
      <c r="U831" s="497"/>
      <c r="V831" s="497"/>
      <c r="W831" s="497"/>
      <c r="X831" s="497"/>
      <c r="Y831" s="497"/>
      <c r="Z831" s="497"/>
      <c r="AA831" s="497"/>
      <c r="AB831" s="497"/>
      <c r="AC831" s="497"/>
      <c r="AD831" s="497"/>
      <c r="AE831" s="497"/>
      <c r="AF831" s="497"/>
      <c r="AG831" s="497"/>
      <c r="AH831" s="497"/>
      <c r="AI831" s="497"/>
      <c r="AJ831" s="497"/>
      <c r="AK831" s="497"/>
      <c r="AL831" s="497"/>
      <c r="AM831" s="497"/>
      <c r="AN831" s="497"/>
      <c r="AO831" s="497"/>
      <c r="AP831" s="497"/>
      <c r="AQ831" s="497"/>
      <c r="AR831" s="497"/>
      <c r="AS831" s="497"/>
      <c r="AT831" s="497"/>
      <c r="AU831" s="497"/>
      <c r="AV831" s="497"/>
      <c r="AW831" s="497"/>
      <c r="AX831" s="497"/>
      <c r="AY831" s="497"/>
      <c r="AZ831" s="497"/>
      <c r="BA831" s="497"/>
      <c r="BB831" s="497"/>
      <c r="BC831" s="497"/>
      <c r="BD831" s="497"/>
      <c r="BE831" s="497"/>
      <c r="BF831" s="497"/>
      <c r="BG831" s="497"/>
      <c r="BH831" s="497"/>
      <c r="BI831" s="497"/>
      <c r="BJ831" s="497"/>
      <c r="BK831" s="497"/>
      <c r="BL831" s="497"/>
      <c r="BM831" s="497"/>
      <c r="BN831" s="497"/>
      <c r="BO831" s="497"/>
      <c r="BP831" s="497"/>
      <c r="BQ831" s="497"/>
      <c r="BR831" s="497"/>
      <c r="BS831" s="497"/>
      <c r="BT831" s="497"/>
      <c r="BU831" s="497"/>
      <c r="BV831" s="497"/>
      <c r="BW831" s="497"/>
      <c r="BX831" s="497"/>
      <c r="BY831" s="497"/>
      <c r="BZ831" s="497"/>
      <c r="CA831" s="497"/>
      <c r="CB831" s="497"/>
      <c r="CC831" s="497"/>
      <c r="CD831" s="497"/>
      <c r="CE831" s="497"/>
      <c r="CF831" s="497"/>
      <c r="CG831" s="497"/>
      <c r="CH831" s="497"/>
    </row>
    <row r="832" spans="1:86" s="335" customFormat="1">
      <c r="A832" s="517"/>
      <c r="B832" s="517"/>
      <c r="C832" s="517"/>
      <c r="D832" s="517"/>
      <c r="E832" s="517"/>
      <c r="F832" s="517"/>
      <c r="G832" s="517"/>
      <c r="H832" s="639"/>
      <c r="I832" s="639"/>
      <c r="J832" s="336"/>
      <c r="K832" s="2056"/>
      <c r="L832" s="337"/>
      <c r="N832" s="2057"/>
      <c r="O832" s="337"/>
      <c r="P832" s="337"/>
      <c r="Q832" s="337"/>
      <c r="R832" s="337"/>
      <c r="S832" s="337"/>
      <c r="T832" s="337"/>
      <c r="U832" s="497"/>
      <c r="V832" s="497"/>
      <c r="W832" s="497"/>
      <c r="X832" s="497"/>
      <c r="Y832" s="497"/>
      <c r="Z832" s="497"/>
      <c r="AA832" s="497"/>
      <c r="AB832" s="497"/>
      <c r="AC832" s="497"/>
      <c r="AD832" s="497"/>
      <c r="AE832" s="497"/>
      <c r="AF832" s="497"/>
      <c r="AG832" s="497"/>
      <c r="AH832" s="497"/>
      <c r="AI832" s="497"/>
      <c r="AJ832" s="497"/>
      <c r="AK832" s="497"/>
      <c r="AL832" s="497"/>
      <c r="AM832" s="497"/>
      <c r="AN832" s="497"/>
      <c r="AO832" s="497"/>
      <c r="AP832" s="497"/>
      <c r="AQ832" s="497"/>
      <c r="AR832" s="497"/>
      <c r="AS832" s="497"/>
      <c r="AT832" s="497"/>
      <c r="AU832" s="497"/>
      <c r="AV832" s="497"/>
      <c r="AW832" s="497"/>
      <c r="AX832" s="497"/>
      <c r="AY832" s="497"/>
      <c r="AZ832" s="497"/>
      <c r="BA832" s="497"/>
      <c r="BB832" s="497"/>
      <c r="BC832" s="497"/>
      <c r="BD832" s="497"/>
      <c r="BE832" s="497"/>
      <c r="BF832" s="497"/>
      <c r="BG832" s="497"/>
      <c r="BH832" s="497"/>
      <c r="BI832" s="497"/>
      <c r="BJ832" s="497"/>
      <c r="BK832" s="497"/>
      <c r="BL832" s="497"/>
      <c r="BM832" s="497"/>
      <c r="BN832" s="497"/>
      <c r="BO832" s="497"/>
      <c r="BP832" s="497"/>
      <c r="BQ832" s="497"/>
      <c r="BR832" s="497"/>
      <c r="BS832" s="497"/>
      <c r="BT832" s="497"/>
      <c r="BU832" s="497"/>
      <c r="BV832" s="497"/>
      <c r="BW832" s="497"/>
      <c r="BX832" s="497"/>
      <c r="BY832" s="497"/>
      <c r="BZ832" s="497"/>
      <c r="CA832" s="497"/>
      <c r="CB832" s="497"/>
      <c r="CC832" s="497"/>
      <c r="CD832" s="497"/>
      <c r="CE832" s="497"/>
      <c r="CF832" s="497"/>
      <c r="CG832" s="497"/>
      <c r="CH832" s="497"/>
    </row>
    <row r="833" spans="1:86" s="335" customFormat="1">
      <c r="A833" s="517"/>
      <c r="B833" s="517"/>
      <c r="C833" s="517"/>
      <c r="D833" s="517"/>
      <c r="E833" s="517"/>
      <c r="F833" s="517"/>
      <c r="G833" s="517"/>
      <c r="H833" s="639"/>
      <c r="I833" s="639"/>
      <c r="J833" s="336"/>
      <c r="K833" s="2056"/>
      <c r="L833" s="337"/>
      <c r="N833" s="2057"/>
      <c r="O833" s="337"/>
      <c r="P833" s="337"/>
      <c r="Q833" s="337"/>
      <c r="R833" s="337"/>
      <c r="S833" s="337"/>
      <c r="T833" s="337"/>
      <c r="U833" s="497"/>
      <c r="V833" s="497"/>
      <c r="W833" s="497"/>
      <c r="X833" s="497"/>
      <c r="Y833" s="497"/>
      <c r="Z833" s="497"/>
      <c r="AA833" s="497"/>
      <c r="AB833" s="497"/>
      <c r="AC833" s="497"/>
      <c r="AD833" s="497"/>
      <c r="AE833" s="497"/>
      <c r="AF833" s="497"/>
      <c r="AG833" s="497"/>
      <c r="AH833" s="497"/>
      <c r="AI833" s="497"/>
      <c r="AJ833" s="497"/>
      <c r="AK833" s="497"/>
      <c r="AL833" s="497"/>
      <c r="AM833" s="497"/>
      <c r="AN833" s="497"/>
      <c r="AO833" s="497"/>
      <c r="AP833" s="497"/>
      <c r="AQ833" s="497"/>
      <c r="AR833" s="497"/>
      <c r="AS833" s="497"/>
      <c r="AT833" s="497"/>
      <c r="AU833" s="497"/>
      <c r="AV833" s="497"/>
      <c r="AW833" s="497"/>
      <c r="AX833" s="497"/>
      <c r="AY833" s="497"/>
      <c r="AZ833" s="497"/>
      <c r="BA833" s="497"/>
      <c r="BB833" s="497"/>
      <c r="BC833" s="497"/>
      <c r="BD833" s="497"/>
      <c r="BE833" s="497"/>
      <c r="BF833" s="497"/>
      <c r="BG833" s="497"/>
      <c r="BH833" s="497"/>
      <c r="BI833" s="497"/>
      <c r="BJ833" s="497"/>
      <c r="BK833" s="497"/>
      <c r="BL833" s="497"/>
      <c r="BM833" s="497"/>
      <c r="BN833" s="497"/>
      <c r="BO833" s="497"/>
      <c r="BP833" s="497"/>
      <c r="BQ833" s="497"/>
      <c r="BR833" s="497"/>
      <c r="BS833" s="497"/>
      <c r="BT833" s="497"/>
      <c r="BU833" s="497"/>
      <c r="BV833" s="497"/>
      <c r="BW833" s="497"/>
      <c r="BX833" s="497"/>
      <c r="BY833" s="497"/>
      <c r="BZ833" s="497"/>
      <c r="CA833" s="497"/>
      <c r="CB833" s="497"/>
      <c r="CC833" s="497"/>
      <c r="CD833" s="497"/>
      <c r="CE833" s="497"/>
      <c r="CF833" s="497"/>
      <c r="CG833" s="497"/>
      <c r="CH833" s="497"/>
    </row>
    <row r="834" spans="1:86" s="335" customFormat="1">
      <c r="A834" s="517"/>
      <c r="B834" s="517"/>
      <c r="C834" s="517"/>
      <c r="D834" s="517"/>
      <c r="E834" s="517"/>
      <c r="F834" s="517"/>
      <c r="G834" s="517"/>
      <c r="H834" s="639"/>
      <c r="I834" s="639"/>
      <c r="J834" s="336"/>
      <c r="K834" s="2056"/>
      <c r="L834" s="337"/>
      <c r="N834" s="2057"/>
      <c r="O834" s="337"/>
      <c r="P834" s="337"/>
      <c r="Q834" s="337"/>
      <c r="R834" s="337"/>
      <c r="S834" s="337"/>
      <c r="T834" s="337"/>
      <c r="U834" s="497"/>
      <c r="V834" s="497"/>
      <c r="W834" s="497"/>
      <c r="X834" s="497"/>
      <c r="Y834" s="497"/>
      <c r="Z834" s="497"/>
      <c r="AA834" s="497"/>
      <c r="AB834" s="497"/>
      <c r="AC834" s="497"/>
      <c r="AD834" s="497"/>
      <c r="AE834" s="497"/>
      <c r="AF834" s="497"/>
      <c r="AG834" s="497"/>
      <c r="AH834" s="497"/>
      <c r="AI834" s="497"/>
      <c r="AJ834" s="497"/>
      <c r="AK834" s="497"/>
      <c r="AL834" s="497"/>
      <c r="AM834" s="497"/>
      <c r="AN834" s="497"/>
      <c r="AO834" s="497"/>
      <c r="AP834" s="497"/>
      <c r="AQ834" s="497"/>
      <c r="AR834" s="497"/>
      <c r="AS834" s="497"/>
      <c r="AT834" s="497"/>
      <c r="AU834" s="497"/>
      <c r="AV834" s="497"/>
      <c r="AW834" s="497"/>
      <c r="AX834" s="497"/>
      <c r="AY834" s="497"/>
      <c r="AZ834" s="497"/>
      <c r="BA834" s="497"/>
      <c r="BB834" s="497"/>
      <c r="BC834" s="497"/>
      <c r="BD834" s="497"/>
      <c r="BE834" s="497"/>
      <c r="BF834" s="497"/>
      <c r="BG834" s="497"/>
      <c r="BH834" s="497"/>
      <c r="BI834" s="497"/>
      <c r="BJ834" s="497"/>
      <c r="BK834" s="497"/>
      <c r="BL834" s="497"/>
      <c r="BM834" s="497"/>
      <c r="BN834" s="497"/>
      <c r="BO834" s="497"/>
      <c r="BP834" s="497"/>
      <c r="BQ834" s="497"/>
      <c r="BR834" s="497"/>
      <c r="BS834" s="497"/>
      <c r="BT834" s="497"/>
      <c r="BU834" s="497"/>
      <c r="BV834" s="497"/>
      <c r="BW834" s="497"/>
      <c r="BX834" s="497"/>
      <c r="BY834" s="497"/>
      <c r="BZ834" s="497"/>
      <c r="CA834" s="497"/>
      <c r="CB834" s="497"/>
      <c r="CC834" s="497"/>
      <c r="CD834" s="497"/>
      <c r="CE834" s="497"/>
      <c r="CF834" s="497"/>
      <c r="CG834" s="497"/>
      <c r="CH834" s="497"/>
    </row>
    <row r="835" spans="1:86" s="335" customFormat="1">
      <c r="A835" s="517"/>
      <c r="B835" s="517"/>
      <c r="C835" s="517"/>
      <c r="D835" s="517"/>
      <c r="E835" s="517"/>
      <c r="F835" s="517"/>
      <c r="G835" s="517"/>
      <c r="H835" s="639"/>
      <c r="I835" s="639"/>
      <c r="J835" s="336"/>
      <c r="K835" s="2056"/>
      <c r="L835" s="337"/>
      <c r="N835" s="2057"/>
      <c r="O835" s="337"/>
      <c r="P835" s="337"/>
      <c r="Q835" s="337"/>
      <c r="R835" s="337"/>
      <c r="S835" s="337"/>
      <c r="T835" s="337"/>
      <c r="U835" s="497"/>
      <c r="V835" s="497"/>
      <c r="W835" s="497"/>
      <c r="X835" s="497"/>
      <c r="Y835" s="497"/>
      <c r="Z835" s="497"/>
      <c r="AA835" s="497"/>
      <c r="AB835" s="497"/>
      <c r="AC835" s="497"/>
      <c r="AD835" s="497"/>
      <c r="AE835" s="497"/>
      <c r="AF835" s="497"/>
      <c r="AG835" s="497"/>
      <c r="AH835" s="497"/>
      <c r="AI835" s="497"/>
      <c r="AJ835" s="497"/>
      <c r="AK835" s="497"/>
      <c r="AL835" s="497"/>
      <c r="AM835" s="497"/>
      <c r="AN835" s="497"/>
      <c r="AO835" s="497"/>
      <c r="AP835" s="497"/>
      <c r="AQ835" s="497"/>
      <c r="AR835" s="497"/>
      <c r="AS835" s="497"/>
      <c r="AT835" s="497"/>
      <c r="AU835" s="497"/>
      <c r="AV835" s="497"/>
      <c r="AW835" s="497"/>
      <c r="AX835" s="497"/>
      <c r="AY835" s="497"/>
      <c r="AZ835" s="497"/>
      <c r="BA835" s="497"/>
      <c r="BB835" s="497"/>
      <c r="BC835" s="497"/>
      <c r="BD835" s="497"/>
      <c r="BE835" s="497"/>
      <c r="BF835" s="497"/>
      <c r="BG835" s="497"/>
      <c r="BH835" s="497"/>
      <c r="BI835" s="497"/>
      <c r="BJ835" s="497"/>
      <c r="BK835" s="497"/>
      <c r="BL835" s="497"/>
      <c r="BM835" s="497"/>
      <c r="BN835" s="497"/>
      <c r="BO835" s="497"/>
      <c r="BP835" s="497"/>
      <c r="BQ835" s="497"/>
      <c r="BR835" s="497"/>
      <c r="BS835" s="497"/>
      <c r="BT835" s="497"/>
      <c r="BU835" s="497"/>
      <c r="BV835" s="497"/>
      <c r="BW835" s="497"/>
      <c r="BX835" s="497"/>
      <c r="BY835" s="497"/>
      <c r="BZ835" s="497"/>
      <c r="CA835" s="497"/>
      <c r="CB835" s="497"/>
      <c r="CC835" s="497"/>
      <c r="CD835" s="497"/>
      <c r="CE835" s="497"/>
      <c r="CF835" s="497"/>
      <c r="CG835" s="497"/>
      <c r="CH835" s="497"/>
    </row>
    <row r="836" spans="1:86" s="335" customFormat="1">
      <c r="A836" s="517"/>
      <c r="B836" s="517"/>
      <c r="C836" s="517"/>
      <c r="D836" s="517"/>
      <c r="E836" s="517"/>
      <c r="F836" s="517"/>
      <c r="G836" s="517"/>
      <c r="H836" s="639"/>
      <c r="I836" s="639"/>
      <c r="J836" s="336"/>
      <c r="K836" s="2056"/>
      <c r="L836" s="337"/>
      <c r="N836" s="2057"/>
      <c r="O836" s="337"/>
      <c r="P836" s="337"/>
      <c r="Q836" s="337"/>
      <c r="R836" s="337"/>
      <c r="S836" s="337"/>
      <c r="T836" s="337"/>
      <c r="U836" s="497"/>
      <c r="V836" s="497"/>
      <c r="W836" s="497"/>
      <c r="X836" s="497"/>
      <c r="Y836" s="497"/>
      <c r="Z836" s="497"/>
      <c r="AA836" s="497"/>
      <c r="AB836" s="497"/>
      <c r="AC836" s="497"/>
      <c r="AD836" s="497"/>
      <c r="AE836" s="497"/>
      <c r="AF836" s="497"/>
      <c r="AG836" s="497"/>
      <c r="AH836" s="497"/>
      <c r="AI836" s="497"/>
      <c r="AJ836" s="497"/>
      <c r="AK836" s="497"/>
      <c r="AL836" s="497"/>
      <c r="AM836" s="497"/>
      <c r="AN836" s="497"/>
      <c r="AO836" s="497"/>
      <c r="AP836" s="497"/>
      <c r="AQ836" s="497"/>
      <c r="AR836" s="497"/>
      <c r="AS836" s="497"/>
      <c r="AT836" s="497"/>
      <c r="AU836" s="497"/>
      <c r="AV836" s="497"/>
      <c r="AW836" s="497"/>
      <c r="AX836" s="497"/>
      <c r="AY836" s="497"/>
      <c r="AZ836" s="497"/>
      <c r="BA836" s="497"/>
      <c r="BB836" s="497"/>
      <c r="BC836" s="497"/>
      <c r="BD836" s="497"/>
      <c r="BE836" s="497"/>
      <c r="BF836" s="497"/>
      <c r="BG836" s="497"/>
      <c r="BH836" s="497"/>
      <c r="BI836" s="497"/>
      <c r="BJ836" s="497"/>
      <c r="BK836" s="497"/>
      <c r="BL836" s="497"/>
      <c r="BM836" s="497"/>
      <c r="BN836" s="497"/>
      <c r="BO836" s="497"/>
      <c r="BP836" s="497"/>
      <c r="BQ836" s="497"/>
      <c r="BR836" s="497"/>
      <c r="BS836" s="497"/>
      <c r="BT836" s="497"/>
      <c r="BU836" s="497"/>
      <c r="BV836" s="497"/>
      <c r="BW836" s="497"/>
      <c r="BX836" s="497"/>
      <c r="BY836" s="497"/>
      <c r="BZ836" s="497"/>
      <c r="CA836" s="497"/>
      <c r="CB836" s="497"/>
      <c r="CC836" s="497"/>
      <c r="CD836" s="497"/>
      <c r="CE836" s="497"/>
      <c r="CF836" s="497"/>
      <c r="CG836" s="497"/>
      <c r="CH836" s="497"/>
    </row>
    <row r="837" spans="1:86" s="335" customFormat="1">
      <c r="A837" s="517"/>
      <c r="B837" s="517"/>
      <c r="C837" s="517"/>
      <c r="D837" s="517"/>
      <c r="E837" s="517"/>
      <c r="F837" s="517"/>
      <c r="G837" s="517"/>
      <c r="H837" s="639"/>
      <c r="I837" s="639"/>
      <c r="J837" s="336"/>
      <c r="K837" s="2056"/>
      <c r="L837" s="337"/>
      <c r="N837" s="2057"/>
      <c r="O837" s="337"/>
      <c r="P837" s="337"/>
      <c r="Q837" s="337"/>
      <c r="R837" s="337"/>
      <c r="S837" s="337"/>
      <c r="T837" s="337"/>
      <c r="U837" s="497"/>
      <c r="V837" s="497"/>
      <c r="W837" s="497"/>
      <c r="X837" s="497"/>
      <c r="Y837" s="497"/>
      <c r="Z837" s="497"/>
      <c r="AA837" s="497"/>
      <c r="AB837" s="497"/>
      <c r="AC837" s="497"/>
      <c r="AD837" s="497"/>
      <c r="AE837" s="497"/>
      <c r="AF837" s="497"/>
      <c r="AG837" s="497"/>
      <c r="AH837" s="497"/>
      <c r="AI837" s="497"/>
      <c r="AJ837" s="497"/>
      <c r="AK837" s="497"/>
      <c r="AL837" s="497"/>
      <c r="AM837" s="497"/>
      <c r="AN837" s="497"/>
      <c r="AO837" s="497"/>
      <c r="AP837" s="497"/>
      <c r="AQ837" s="497"/>
      <c r="AR837" s="497"/>
      <c r="AS837" s="497"/>
      <c r="AT837" s="497"/>
      <c r="AU837" s="497"/>
      <c r="AV837" s="497"/>
      <c r="AW837" s="497"/>
      <c r="AX837" s="497"/>
      <c r="AY837" s="497"/>
      <c r="AZ837" s="497"/>
      <c r="BA837" s="497"/>
      <c r="BB837" s="497"/>
      <c r="BC837" s="497"/>
      <c r="BD837" s="497"/>
      <c r="BE837" s="497"/>
      <c r="BF837" s="497"/>
      <c r="BG837" s="497"/>
      <c r="BH837" s="497"/>
      <c r="BI837" s="497"/>
      <c r="BJ837" s="497"/>
      <c r="BK837" s="497"/>
      <c r="BL837" s="497"/>
      <c r="BM837" s="497"/>
      <c r="BN837" s="497"/>
      <c r="BO837" s="497"/>
      <c r="BP837" s="497"/>
      <c r="BQ837" s="497"/>
      <c r="BR837" s="497"/>
      <c r="BS837" s="497"/>
      <c r="BT837" s="497"/>
      <c r="BU837" s="497"/>
      <c r="BV837" s="497"/>
      <c r="BW837" s="497"/>
      <c r="BX837" s="497"/>
      <c r="BY837" s="497"/>
      <c r="BZ837" s="497"/>
      <c r="CA837" s="497"/>
      <c r="CB837" s="497"/>
      <c r="CC837" s="497"/>
      <c r="CD837" s="497"/>
      <c r="CE837" s="497"/>
      <c r="CF837" s="497"/>
      <c r="CG837" s="497"/>
      <c r="CH837" s="497"/>
    </row>
    <row r="838" spans="1:86" s="335" customFormat="1">
      <c r="A838" s="517"/>
      <c r="B838" s="517"/>
      <c r="C838" s="517"/>
      <c r="D838" s="517"/>
      <c r="E838" s="517"/>
      <c r="F838" s="517"/>
      <c r="G838" s="517"/>
      <c r="H838" s="639"/>
      <c r="I838" s="639"/>
      <c r="J838" s="336"/>
      <c r="K838" s="2056"/>
      <c r="L838" s="337"/>
      <c r="N838" s="2057"/>
      <c r="O838" s="337"/>
      <c r="P838" s="337"/>
      <c r="Q838" s="337"/>
      <c r="R838" s="337"/>
      <c r="S838" s="337"/>
      <c r="T838" s="337"/>
      <c r="U838" s="497"/>
      <c r="V838" s="497"/>
      <c r="W838" s="497"/>
      <c r="X838" s="497"/>
      <c r="Y838" s="497"/>
      <c r="Z838" s="497"/>
      <c r="AA838" s="497"/>
      <c r="AB838" s="497"/>
      <c r="AC838" s="497"/>
      <c r="AD838" s="497"/>
      <c r="AE838" s="497"/>
      <c r="AF838" s="497"/>
      <c r="AG838" s="497"/>
      <c r="AH838" s="497"/>
      <c r="AI838" s="497"/>
      <c r="AJ838" s="497"/>
      <c r="AK838" s="497"/>
      <c r="AL838" s="497"/>
      <c r="AM838" s="497"/>
      <c r="AN838" s="497"/>
      <c r="AO838" s="497"/>
      <c r="AP838" s="497"/>
      <c r="AQ838" s="497"/>
      <c r="AR838" s="497"/>
      <c r="AS838" s="497"/>
      <c r="AT838" s="497"/>
      <c r="AU838" s="497"/>
      <c r="AV838" s="497"/>
      <c r="AW838" s="497"/>
      <c r="AX838" s="497"/>
      <c r="AY838" s="497"/>
      <c r="AZ838" s="497"/>
      <c r="BA838" s="497"/>
      <c r="BB838" s="497"/>
      <c r="BC838" s="497"/>
      <c r="BD838" s="497"/>
      <c r="BE838" s="497"/>
      <c r="BF838" s="497"/>
      <c r="BG838" s="497"/>
      <c r="BH838" s="497"/>
      <c r="BI838" s="497"/>
      <c r="BJ838" s="497"/>
      <c r="BK838" s="497"/>
      <c r="BL838" s="497"/>
      <c r="BM838" s="497"/>
      <c r="BN838" s="497"/>
      <c r="BO838" s="497"/>
      <c r="BP838" s="497"/>
      <c r="BQ838" s="497"/>
      <c r="BR838" s="497"/>
      <c r="BS838" s="497"/>
      <c r="BT838" s="497"/>
      <c r="BU838" s="497"/>
      <c r="BV838" s="497"/>
      <c r="BW838" s="497"/>
      <c r="BX838" s="497"/>
      <c r="BY838" s="497"/>
      <c r="BZ838" s="497"/>
      <c r="CA838" s="497"/>
      <c r="CB838" s="497"/>
      <c r="CC838" s="497"/>
      <c r="CD838" s="497"/>
      <c r="CE838" s="497"/>
      <c r="CF838" s="497"/>
      <c r="CG838" s="497"/>
      <c r="CH838" s="497"/>
    </row>
    <row r="839" spans="1:86" s="335" customFormat="1">
      <c r="A839" s="517"/>
      <c r="B839" s="517"/>
      <c r="C839" s="517"/>
      <c r="D839" s="517"/>
      <c r="E839" s="517"/>
      <c r="F839" s="517"/>
      <c r="G839" s="517"/>
      <c r="H839" s="639"/>
      <c r="I839" s="639"/>
      <c r="J839" s="336"/>
      <c r="K839" s="2056"/>
      <c r="L839" s="337"/>
      <c r="N839" s="2057"/>
      <c r="O839" s="337"/>
      <c r="P839" s="337"/>
      <c r="Q839" s="337"/>
      <c r="R839" s="337"/>
      <c r="S839" s="337"/>
      <c r="T839" s="337"/>
      <c r="U839" s="497"/>
      <c r="V839" s="497"/>
      <c r="W839" s="497"/>
      <c r="X839" s="497"/>
      <c r="Y839" s="497"/>
      <c r="Z839" s="497"/>
      <c r="AA839" s="497"/>
      <c r="AB839" s="497"/>
      <c r="AC839" s="497"/>
      <c r="AD839" s="497"/>
      <c r="AE839" s="497"/>
      <c r="AF839" s="497"/>
      <c r="AG839" s="497"/>
      <c r="AH839" s="497"/>
      <c r="AI839" s="497"/>
      <c r="AJ839" s="497"/>
      <c r="AK839" s="497"/>
      <c r="AL839" s="497"/>
      <c r="AM839" s="497"/>
      <c r="AN839" s="497"/>
      <c r="AO839" s="497"/>
      <c r="AP839" s="497"/>
      <c r="AQ839" s="497"/>
      <c r="AR839" s="497"/>
      <c r="AS839" s="497"/>
      <c r="AT839" s="497"/>
      <c r="AU839" s="497"/>
      <c r="AV839" s="497"/>
      <c r="AW839" s="497"/>
      <c r="AX839" s="497"/>
      <c r="AY839" s="497"/>
      <c r="AZ839" s="497"/>
      <c r="BA839" s="497"/>
      <c r="BB839" s="497"/>
      <c r="BC839" s="497"/>
      <c r="BD839" s="497"/>
      <c r="BE839" s="497"/>
      <c r="BF839" s="497"/>
      <c r="BG839" s="497"/>
      <c r="BH839" s="497"/>
      <c r="BI839" s="497"/>
      <c r="BJ839" s="497"/>
      <c r="BK839" s="497"/>
      <c r="BL839" s="497"/>
      <c r="BM839" s="497"/>
      <c r="BN839" s="497"/>
      <c r="BO839" s="497"/>
      <c r="BP839" s="497"/>
      <c r="BQ839" s="497"/>
      <c r="BR839" s="497"/>
      <c r="BS839" s="497"/>
      <c r="BT839" s="497"/>
      <c r="BU839" s="497"/>
      <c r="BV839" s="497"/>
      <c r="BW839" s="497"/>
      <c r="BX839" s="497"/>
      <c r="BY839" s="497"/>
      <c r="BZ839" s="497"/>
      <c r="CA839" s="497"/>
      <c r="CB839" s="497"/>
      <c r="CC839" s="497"/>
      <c r="CD839" s="497"/>
      <c r="CE839" s="497"/>
      <c r="CF839" s="497"/>
      <c r="CG839" s="497"/>
      <c r="CH839" s="497"/>
    </row>
    <row r="840" spans="1:86" s="335" customFormat="1">
      <c r="A840" s="517"/>
      <c r="B840" s="517"/>
      <c r="C840" s="517"/>
      <c r="D840" s="517"/>
      <c r="E840" s="517"/>
      <c r="F840" s="517"/>
      <c r="G840" s="517"/>
      <c r="H840" s="639"/>
      <c r="I840" s="639"/>
      <c r="J840" s="336"/>
      <c r="K840" s="2056"/>
      <c r="L840" s="337"/>
      <c r="N840" s="2057"/>
      <c r="O840" s="337"/>
      <c r="P840" s="337"/>
      <c r="Q840" s="337"/>
      <c r="R840" s="337"/>
      <c r="S840" s="337"/>
      <c r="T840" s="337"/>
      <c r="U840" s="497"/>
      <c r="V840" s="497"/>
      <c r="W840" s="497"/>
      <c r="X840" s="497"/>
      <c r="Y840" s="497"/>
      <c r="Z840" s="497"/>
      <c r="AA840" s="497"/>
      <c r="AB840" s="497"/>
      <c r="AC840" s="497"/>
      <c r="AD840" s="497"/>
      <c r="AE840" s="497"/>
      <c r="AF840" s="497"/>
      <c r="AG840" s="497"/>
      <c r="AH840" s="497"/>
      <c r="AI840" s="497"/>
      <c r="AJ840" s="497"/>
      <c r="AK840" s="497"/>
      <c r="AL840" s="497"/>
      <c r="AM840" s="497"/>
      <c r="AN840" s="497"/>
      <c r="AO840" s="497"/>
      <c r="AP840" s="497"/>
      <c r="AQ840" s="497"/>
      <c r="AR840" s="497"/>
      <c r="AS840" s="497"/>
      <c r="AT840" s="497"/>
      <c r="AU840" s="497"/>
      <c r="AV840" s="497"/>
      <c r="AW840" s="497"/>
      <c r="AX840" s="497"/>
      <c r="AY840" s="497"/>
      <c r="AZ840" s="497"/>
      <c r="BA840" s="497"/>
      <c r="BB840" s="497"/>
      <c r="BC840" s="497"/>
      <c r="BD840" s="497"/>
      <c r="BE840" s="497"/>
      <c r="BF840" s="497"/>
      <c r="BG840" s="497"/>
      <c r="BH840" s="497"/>
      <c r="BI840" s="497"/>
      <c r="BJ840" s="497"/>
      <c r="BK840" s="497"/>
      <c r="BL840" s="497"/>
      <c r="BM840" s="497"/>
      <c r="BN840" s="497"/>
      <c r="BO840" s="497"/>
      <c r="BP840" s="497"/>
      <c r="BQ840" s="497"/>
      <c r="BR840" s="497"/>
      <c r="BS840" s="497"/>
      <c r="BT840" s="497"/>
      <c r="BU840" s="497"/>
      <c r="BV840" s="497"/>
      <c r="BW840" s="497"/>
      <c r="BX840" s="497"/>
      <c r="BY840" s="497"/>
      <c r="BZ840" s="497"/>
      <c r="CA840" s="497"/>
      <c r="CB840" s="497"/>
      <c r="CC840" s="497"/>
      <c r="CD840" s="497"/>
      <c r="CE840" s="497"/>
      <c r="CF840" s="497"/>
      <c r="CG840" s="497"/>
      <c r="CH840" s="497"/>
    </row>
    <row r="841" spans="1:86" s="335" customFormat="1">
      <c r="A841" s="517"/>
      <c r="B841" s="517"/>
      <c r="C841" s="517"/>
      <c r="D841" s="517"/>
      <c r="E841" s="517"/>
      <c r="F841" s="517"/>
      <c r="G841" s="517"/>
      <c r="H841" s="639"/>
      <c r="I841" s="639"/>
      <c r="J841" s="336"/>
      <c r="K841" s="2056"/>
      <c r="L841" s="337"/>
      <c r="N841" s="2057"/>
      <c r="O841" s="337"/>
      <c r="P841" s="337"/>
      <c r="Q841" s="337"/>
      <c r="R841" s="337"/>
      <c r="S841" s="337"/>
      <c r="T841" s="337"/>
      <c r="U841" s="497"/>
      <c r="V841" s="497"/>
      <c r="W841" s="497"/>
      <c r="X841" s="497"/>
      <c r="Y841" s="497"/>
      <c r="Z841" s="497"/>
      <c r="AA841" s="497"/>
      <c r="AB841" s="497"/>
      <c r="AC841" s="497"/>
      <c r="AD841" s="497"/>
      <c r="AE841" s="497"/>
      <c r="AF841" s="497"/>
      <c r="AG841" s="497"/>
      <c r="AH841" s="497"/>
      <c r="AI841" s="497"/>
      <c r="AJ841" s="497"/>
      <c r="AK841" s="497"/>
      <c r="AL841" s="497"/>
      <c r="AM841" s="497"/>
      <c r="AN841" s="497"/>
      <c r="AO841" s="497"/>
      <c r="AP841" s="497"/>
      <c r="AQ841" s="497"/>
      <c r="AR841" s="497"/>
      <c r="AS841" s="497"/>
      <c r="AT841" s="497"/>
      <c r="AU841" s="497"/>
      <c r="AV841" s="497"/>
      <c r="AW841" s="497"/>
      <c r="AX841" s="497"/>
      <c r="AY841" s="497"/>
      <c r="AZ841" s="497"/>
      <c r="BA841" s="497"/>
      <c r="BB841" s="497"/>
      <c r="BC841" s="497"/>
      <c r="BD841" s="497"/>
      <c r="BE841" s="497"/>
      <c r="BF841" s="497"/>
      <c r="BG841" s="497"/>
      <c r="BH841" s="497"/>
      <c r="BI841" s="497"/>
      <c r="BJ841" s="497"/>
      <c r="BK841" s="497"/>
      <c r="BL841" s="497"/>
      <c r="BM841" s="497"/>
      <c r="BN841" s="497"/>
      <c r="BO841" s="497"/>
      <c r="BP841" s="497"/>
      <c r="BQ841" s="497"/>
      <c r="BR841" s="497"/>
      <c r="BS841" s="497"/>
      <c r="BT841" s="497"/>
      <c r="BU841" s="497"/>
      <c r="BV841" s="497"/>
      <c r="BW841" s="497"/>
      <c r="BX841" s="497"/>
      <c r="BY841" s="497"/>
      <c r="BZ841" s="497"/>
      <c r="CA841" s="497"/>
      <c r="CB841" s="497"/>
      <c r="CC841" s="497"/>
      <c r="CD841" s="497"/>
      <c r="CE841" s="497"/>
      <c r="CF841" s="497"/>
      <c r="CG841" s="497"/>
      <c r="CH841" s="497"/>
    </row>
    <row r="842" spans="1:86" s="335" customFormat="1">
      <c r="A842" s="517"/>
      <c r="B842" s="517"/>
      <c r="C842" s="517"/>
      <c r="D842" s="517"/>
      <c r="E842" s="517"/>
      <c r="F842" s="517"/>
      <c r="G842" s="517"/>
      <c r="H842" s="639"/>
      <c r="I842" s="639"/>
      <c r="J842" s="336"/>
      <c r="K842" s="2056"/>
      <c r="L842" s="337"/>
      <c r="N842" s="2057"/>
      <c r="O842" s="337"/>
      <c r="P842" s="337"/>
      <c r="Q842" s="337"/>
      <c r="R842" s="337"/>
      <c r="S842" s="337"/>
      <c r="T842" s="337"/>
      <c r="U842" s="497"/>
      <c r="V842" s="497"/>
      <c r="W842" s="497"/>
      <c r="X842" s="497"/>
      <c r="Y842" s="497"/>
      <c r="Z842" s="497"/>
      <c r="AA842" s="497"/>
      <c r="AB842" s="497"/>
      <c r="AC842" s="497"/>
      <c r="AD842" s="497"/>
      <c r="AE842" s="497"/>
      <c r="AF842" s="497"/>
      <c r="AG842" s="497"/>
      <c r="AH842" s="497"/>
      <c r="AI842" s="497"/>
      <c r="AJ842" s="497"/>
      <c r="AK842" s="497"/>
      <c r="AL842" s="497"/>
      <c r="AM842" s="497"/>
      <c r="AN842" s="497"/>
      <c r="AO842" s="497"/>
      <c r="AP842" s="497"/>
      <c r="AQ842" s="497"/>
      <c r="AR842" s="497"/>
      <c r="AS842" s="497"/>
      <c r="AT842" s="497"/>
      <c r="AU842" s="497"/>
      <c r="AV842" s="497"/>
      <c r="AW842" s="497"/>
      <c r="AX842" s="497"/>
      <c r="AY842" s="497"/>
      <c r="AZ842" s="497"/>
      <c r="BA842" s="497"/>
      <c r="BB842" s="497"/>
      <c r="BC842" s="497"/>
      <c r="BD842" s="497"/>
      <c r="BE842" s="497"/>
      <c r="BF842" s="497"/>
      <c r="BG842" s="497"/>
      <c r="BH842" s="497"/>
      <c r="BI842" s="497"/>
      <c r="BJ842" s="497"/>
      <c r="BK842" s="497"/>
      <c r="BL842" s="497"/>
      <c r="BM842" s="497"/>
      <c r="BN842" s="497"/>
      <c r="BO842" s="497"/>
      <c r="BP842" s="497"/>
      <c r="BQ842" s="497"/>
      <c r="BR842" s="497"/>
      <c r="BS842" s="497"/>
      <c r="BT842" s="497"/>
      <c r="BU842" s="497"/>
      <c r="BV842" s="497"/>
      <c r="BW842" s="497"/>
      <c r="BX842" s="497"/>
      <c r="BY842" s="497"/>
      <c r="BZ842" s="497"/>
      <c r="CA842" s="497"/>
      <c r="CB842" s="497"/>
      <c r="CC842" s="497"/>
      <c r="CD842" s="497"/>
      <c r="CE842" s="497"/>
      <c r="CF842" s="497"/>
      <c r="CG842" s="497"/>
      <c r="CH842" s="497"/>
    </row>
    <row r="843" spans="1:86" s="335" customFormat="1">
      <c r="A843" s="517"/>
      <c r="B843" s="517"/>
      <c r="C843" s="517"/>
      <c r="D843" s="517"/>
      <c r="E843" s="517"/>
      <c r="F843" s="517"/>
      <c r="G843" s="517"/>
      <c r="H843" s="639"/>
      <c r="I843" s="639"/>
      <c r="J843" s="336"/>
      <c r="K843" s="2056"/>
      <c r="L843" s="337"/>
      <c r="N843" s="2057"/>
      <c r="O843" s="337"/>
      <c r="P843" s="337"/>
      <c r="Q843" s="337"/>
      <c r="R843" s="337"/>
      <c r="S843" s="337"/>
      <c r="T843" s="337"/>
      <c r="U843" s="497"/>
      <c r="V843" s="497"/>
      <c r="W843" s="497"/>
      <c r="X843" s="497"/>
      <c r="Y843" s="497"/>
      <c r="Z843" s="497"/>
      <c r="AA843" s="497"/>
      <c r="AB843" s="497"/>
      <c r="AC843" s="497"/>
      <c r="AD843" s="497"/>
      <c r="AE843" s="497"/>
      <c r="AF843" s="497"/>
      <c r="AG843" s="497"/>
      <c r="AH843" s="497"/>
      <c r="AI843" s="497"/>
      <c r="AJ843" s="497"/>
      <c r="AK843" s="497"/>
      <c r="AL843" s="497"/>
      <c r="AM843" s="497"/>
      <c r="AN843" s="497"/>
      <c r="AO843" s="497"/>
      <c r="AP843" s="497"/>
      <c r="AQ843" s="497"/>
      <c r="AR843" s="497"/>
      <c r="AS843" s="497"/>
      <c r="AT843" s="497"/>
      <c r="AU843" s="497"/>
      <c r="AV843" s="497"/>
      <c r="AW843" s="497"/>
      <c r="AX843" s="497"/>
      <c r="AY843" s="497"/>
      <c r="AZ843" s="497"/>
      <c r="BA843" s="497"/>
      <c r="BB843" s="497"/>
      <c r="BC843" s="497"/>
      <c r="BD843" s="497"/>
      <c r="BE843" s="497"/>
      <c r="BF843" s="497"/>
      <c r="BG843" s="497"/>
      <c r="BH843" s="497"/>
      <c r="BI843" s="497"/>
      <c r="BJ843" s="497"/>
      <c r="BK843" s="497"/>
      <c r="BL843" s="497"/>
      <c r="BM843" s="497"/>
      <c r="BN843" s="497"/>
      <c r="BO843" s="497"/>
      <c r="BP843" s="497"/>
      <c r="BQ843" s="497"/>
      <c r="BR843" s="497"/>
      <c r="BS843" s="497"/>
      <c r="BT843" s="497"/>
      <c r="BU843" s="497"/>
      <c r="BV843" s="497"/>
      <c r="BW843" s="497"/>
      <c r="BX843" s="497"/>
      <c r="BY843" s="497"/>
      <c r="BZ843" s="497"/>
      <c r="CA843" s="497"/>
      <c r="CB843" s="497"/>
      <c r="CC843" s="497"/>
      <c r="CD843" s="497"/>
      <c r="CE843" s="497"/>
      <c r="CF843" s="497"/>
      <c r="CG843" s="497"/>
      <c r="CH843" s="497"/>
    </row>
    <row r="844" spans="1:86" s="335" customFormat="1">
      <c r="A844" s="517"/>
      <c r="B844" s="517"/>
      <c r="C844" s="517"/>
      <c r="D844" s="517"/>
      <c r="E844" s="517"/>
      <c r="F844" s="517"/>
      <c r="G844" s="517"/>
      <c r="H844" s="639"/>
      <c r="I844" s="639"/>
      <c r="J844" s="336"/>
      <c r="K844" s="2056"/>
      <c r="L844" s="337"/>
      <c r="N844" s="2057"/>
      <c r="O844" s="337"/>
      <c r="P844" s="337"/>
      <c r="Q844" s="337"/>
      <c r="R844" s="337"/>
      <c r="S844" s="337"/>
      <c r="T844" s="337"/>
      <c r="U844" s="497"/>
      <c r="V844" s="497"/>
      <c r="W844" s="497"/>
      <c r="X844" s="497"/>
      <c r="Y844" s="497"/>
      <c r="Z844" s="497"/>
      <c r="AA844" s="497"/>
      <c r="AB844" s="497"/>
      <c r="AC844" s="497"/>
      <c r="AD844" s="497"/>
      <c r="AE844" s="497"/>
      <c r="AF844" s="497"/>
      <c r="AG844" s="497"/>
      <c r="AH844" s="497"/>
      <c r="AI844" s="497"/>
      <c r="AJ844" s="497"/>
      <c r="AK844" s="497"/>
      <c r="AL844" s="497"/>
      <c r="AM844" s="497"/>
      <c r="AN844" s="497"/>
      <c r="AO844" s="497"/>
      <c r="AP844" s="497"/>
      <c r="AQ844" s="497"/>
      <c r="AR844" s="497"/>
      <c r="AS844" s="497"/>
      <c r="AT844" s="497"/>
      <c r="AU844" s="497"/>
      <c r="AV844" s="497"/>
      <c r="AW844" s="497"/>
      <c r="AX844" s="497"/>
      <c r="AY844" s="497"/>
      <c r="AZ844" s="497"/>
      <c r="BA844" s="497"/>
      <c r="BB844" s="497"/>
      <c r="BC844" s="497"/>
      <c r="BD844" s="497"/>
      <c r="BE844" s="497"/>
      <c r="BF844" s="497"/>
      <c r="BG844" s="497"/>
      <c r="BH844" s="497"/>
      <c r="BI844" s="497"/>
      <c r="BJ844" s="497"/>
      <c r="BK844" s="497"/>
      <c r="BL844" s="497"/>
      <c r="BM844" s="497"/>
      <c r="BN844" s="497"/>
      <c r="BO844" s="497"/>
      <c r="BP844" s="497"/>
      <c r="BQ844" s="497"/>
      <c r="BR844" s="497"/>
      <c r="BS844" s="497"/>
      <c r="BT844" s="497"/>
      <c r="BU844" s="497"/>
      <c r="BV844" s="497"/>
      <c r="BW844" s="497"/>
      <c r="BX844" s="497"/>
      <c r="BY844" s="497"/>
      <c r="BZ844" s="497"/>
      <c r="CA844" s="497"/>
      <c r="CB844" s="497"/>
      <c r="CC844" s="497"/>
      <c r="CD844" s="497"/>
      <c r="CE844" s="497"/>
      <c r="CF844" s="497"/>
      <c r="CG844" s="497"/>
      <c r="CH844" s="497"/>
    </row>
    <row r="845" spans="1:86" s="335" customFormat="1">
      <c r="A845" s="517"/>
      <c r="B845" s="517"/>
      <c r="C845" s="517"/>
      <c r="D845" s="517"/>
      <c r="E845" s="517"/>
      <c r="F845" s="517"/>
      <c r="G845" s="517"/>
      <c r="H845" s="639"/>
      <c r="I845" s="639"/>
      <c r="J845" s="336"/>
      <c r="K845" s="2056"/>
      <c r="L845" s="337"/>
      <c r="N845" s="2057"/>
      <c r="O845" s="337"/>
      <c r="P845" s="337"/>
      <c r="Q845" s="337"/>
      <c r="R845" s="337"/>
      <c r="S845" s="337"/>
      <c r="T845" s="337"/>
      <c r="U845" s="497"/>
      <c r="V845" s="497"/>
      <c r="W845" s="497"/>
      <c r="X845" s="497"/>
      <c r="Y845" s="497"/>
      <c r="Z845" s="497"/>
      <c r="AA845" s="497"/>
      <c r="AB845" s="497"/>
      <c r="AC845" s="497"/>
      <c r="AD845" s="497"/>
      <c r="AE845" s="497"/>
      <c r="AF845" s="497"/>
      <c r="AG845" s="497"/>
      <c r="AH845" s="497"/>
      <c r="AI845" s="497"/>
      <c r="AJ845" s="497"/>
      <c r="AK845" s="497"/>
      <c r="AL845" s="497"/>
      <c r="AM845" s="497"/>
      <c r="AN845" s="497"/>
      <c r="AO845" s="497"/>
      <c r="AP845" s="497"/>
      <c r="AQ845" s="497"/>
      <c r="AR845" s="497"/>
      <c r="AS845" s="497"/>
      <c r="AT845" s="497"/>
      <c r="AU845" s="497"/>
      <c r="AV845" s="497"/>
      <c r="AW845" s="497"/>
      <c r="AX845" s="497"/>
      <c r="AY845" s="497"/>
      <c r="AZ845" s="497"/>
      <c r="BA845" s="497"/>
      <c r="BB845" s="497"/>
      <c r="BC845" s="497"/>
      <c r="BD845" s="497"/>
      <c r="BE845" s="497"/>
      <c r="BF845" s="497"/>
      <c r="BG845" s="497"/>
      <c r="BH845" s="497"/>
      <c r="BI845" s="497"/>
      <c r="BJ845" s="497"/>
      <c r="BK845" s="497"/>
      <c r="BL845" s="497"/>
      <c r="BM845" s="497"/>
      <c r="BN845" s="497"/>
      <c r="BO845" s="497"/>
      <c r="BP845" s="497"/>
      <c r="BQ845" s="497"/>
      <c r="BR845" s="497"/>
      <c r="BS845" s="497"/>
      <c r="BT845" s="497"/>
      <c r="BU845" s="497"/>
      <c r="BV845" s="497"/>
      <c r="BW845" s="497"/>
      <c r="BX845" s="497"/>
      <c r="BY845" s="497"/>
      <c r="BZ845" s="497"/>
      <c r="CA845" s="497"/>
      <c r="CB845" s="497"/>
      <c r="CC845" s="497"/>
      <c r="CD845" s="497"/>
      <c r="CE845" s="497"/>
      <c r="CF845" s="497"/>
      <c r="CG845" s="497"/>
      <c r="CH845" s="497"/>
    </row>
    <row r="846" spans="1:86" s="335" customFormat="1">
      <c r="A846" s="517"/>
      <c r="B846" s="517"/>
      <c r="C846" s="517"/>
      <c r="D846" s="517"/>
      <c r="E846" s="517"/>
      <c r="F846" s="517"/>
      <c r="G846" s="517"/>
      <c r="H846" s="639"/>
      <c r="I846" s="639"/>
      <c r="J846" s="336"/>
      <c r="K846" s="2056"/>
      <c r="L846" s="337"/>
      <c r="N846" s="2057"/>
      <c r="O846" s="337"/>
      <c r="P846" s="337"/>
      <c r="Q846" s="337"/>
      <c r="R846" s="337"/>
      <c r="S846" s="337"/>
      <c r="T846" s="337"/>
      <c r="U846" s="497"/>
      <c r="V846" s="497"/>
      <c r="W846" s="497"/>
      <c r="X846" s="497"/>
      <c r="Y846" s="497"/>
      <c r="Z846" s="497"/>
      <c r="AA846" s="497"/>
      <c r="AB846" s="497"/>
      <c r="AC846" s="497"/>
      <c r="AD846" s="497"/>
      <c r="AE846" s="497"/>
      <c r="AF846" s="497"/>
      <c r="AG846" s="497"/>
      <c r="AH846" s="497"/>
      <c r="AI846" s="497"/>
      <c r="AJ846" s="497"/>
      <c r="AK846" s="497"/>
      <c r="AL846" s="497"/>
      <c r="AM846" s="497"/>
      <c r="AN846" s="497"/>
      <c r="AO846" s="497"/>
      <c r="AP846" s="497"/>
      <c r="AQ846" s="497"/>
      <c r="AR846" s="497"/>
      <c r="AS846" s="497"/>
      <c r="AT846" s="497"/>
      <c r="AU846" s="497"/>
      <c r="AV846" s="497"/>
      <c r="AW846" s="497"/>
      <c r="AX846" s="497"/>
      <c r="AY846" s="497"/>
      <c r="AZ846" s="497"/>
      <c r="BA846" s="497"/>
      <c r="BB846" s="497"/>
      <c r="BC846" s="497"/>
      <c r="BD846" s="497"/>
      <c r="BE846" s="497"/>
      <c r="BF846" s="497"/>
      <c r="BG846" s="497"/>
      <c r="BH846" s="497"/>
      <c r="BI846" s="497"/>
      <c r="BJ846" s="497"/>
      <c r="BK846" s="497"/>
      <c r="BL846" s="497"/>
      <c r="BM846" s="497"/>
      <c r="BN846" s="497"/>
      <c r="BO846" s="497"/>
      <c r="BP846" s="497"/>
      <c r="BQ846" s="497"/>
      <c r="BR846" s="497"/>
      <c r="BS846" s="497"/>
      <c r="BT846" s="497"/>
      <c r="BU846" s="497"/>
      <c r="BV846" s="497"/>
      <c r="BW846" s="497"/>
      <c r="BX846" s="497"/>
      <c r="BY846" s="497"/>
      <c r="BZ846" s="497"/>
      <c r="CA846" s="497"/>
      <c r="CB846" s="497"/>
      <c r="CC846" s="497"/>
      <c r="CD846" s="497"/>
      <c r="CE846" s="497"/>
      <c r="CF846" s="497"/>
      <c r="CG846" s="497"/>
      <c r="CH846" s="497"/>
    </row>
    <row r="847" spans="1:86" s="335" customFormat="1">
      <c r="A847" s="517"/>
      <c r="B847" s="517"/>
      <c r="C847" s="517"/>
      <c r="D847" s="517"/>
      <c r="E847" s="517"/>
      <c r="F847" s="517"/>
      <c r="G847" s="517"/>
      <c r="H847" s="639"/>
      <c r="I847" s="639"/>
      <c r="J847" s="336"/>
      <c r="K847" s="2056"/>
      <c r="L847" s="337"/>
      <c r="N847" s="2057"/>
      <c r="O847" s="337"/>
      <c r="P847" s="337"/>
      <c r="Q847" s="337"/>
      <c r="R847" s="337"/>
      <c r="S847" s="337"/>
      <c r="T847" s="337"/>
      <c r="U847" s="497"/>
      <c r="V847" s="497"/>
      <c r="W847" s="497"/>
      <c r="X847" s="497"/>
      <c r="Y847" s="497"/>
      <c r="Z847" s="497"/>
      <c r="AA847" s="497"/>
      <c r="AB847" s="497"/>
      <c r="AC847" s="497"/>
      <c r="AD847" s="497"/>
      <c r="AE847" s="497"/>
      <c r="AF847" s="497"/>
      <c r="AG847" s="497"/>
      <c r="AH847" s="497"/>
      <c r="AI847" s="497"/>
      <c r="AJ847" s="497"/>
      <c r="AK847" s="497"/>
      <c r="AL847" s="497"/>
      <c r="AM847" s="497"/>
      <c r="AN847" s="497"/>
      <c r="AO847" s="497"/>
      <c r="AP847" s="497"/>
      <c r="AQ847" s="497"/>
      <c r="AR847" s="497"/>
      <c r="AS847" s="497"/>
      <c r="AT847" s="497"/>
      <c r="AU847" s="497"/>
      <c r="AV847" s="497"/>
      <c r="AW847" s="497"/>
      <c r="AX847" s="497"/>
      <c r="AY847" s="497"/>
      <c r="AZ847" s="497"/>
      <c r="BA847" s="497"/>
      <c r="BB847" s="497"/>
      <c r="BC847" s="497"/>
      <c r="BD847" s="497"/>
      <c r="BE847" s="497"/>
      <c r="BF847" s="497"/>
      <c r="BG847" s="497"/>
      <c r="BH847" s="497"/>
      <c r="BI847" s="497"/>
      <c r="BJ847" s="497"/>
      <c r="BK847" s="497"/>
      <c r="BL847" s="497"/>
      <c r="BM847" s="497"/>
      <c r="BN847" s="497"/>
      <c r="BO847" s="497"/>
      <c r="BP847" s="497"/>
      <c r="BQ847" s="497"/>
      <c r="BR847" s="497"/>
      <c r="BS847" s="497"/>
      <c r="BT847" s="497"/>
      <c r="BU847" s="497"/>
      <c r="BV847" s="497"/>
      <c r="BW847" s="497"/>
      <c r="BX847" s="497"/>
      <c r="BY847" s="497"/>
      <c r="BZ847" s="497"/>
      <c r="CA847" s="497"/>
      <c r="CB847" s="497"/>
      <c r="CC847" s="497"/>
      <c r="CD847" s="497"/>
      <c r="CE847" s="497"/>
      <c r="CF847" s="497"/>
      <c r="CG847" s="497"/>
      <c r="CH847" s="497"/>
    </row>
    <row r="848" spans="1:86" s="335" customFormat="1">
      <c r="A848" s="517"/>
      <c r="B848" s="517"/>
      <c r="C848" s="517"/>
      <c r="D848" s="517"/>
      <c r="E848" s="517"/>
      <c r="F848" s="517"/>
      <c r="G848" s="517"/>
      <c r="H848" s="639"/>
      <c r="I848" s="639"/>
      <c r="J848" s="336"/>
      <c r="K848" s="2056"/>
      <c r="L848" s="337"/>
      <c r="N848" s="2057"/>
      <c r="O848" s="337"/>
      <c r="P848" s="337"/>
      <c r="Q848" s="337"/>
      <c r="R848" s="337"/>
      <c r="S848" s="337"/>
      <c r="T848" s="337"/>
      <c r="U848" s="497"/>
      <c r="V848" s="497"/>
      <c r="W848" s="497"/>
      <c r="X848" s="497"/>
      <c r="Y848" s="497"/>
      <c r="Z848" s="497"/>
      <c r="AA848" s="497"/>
      <c r="AB848" s="497"/>
      <c r="AC848" s="497"/>
      <c r="AD848" s="497"/>
      <c r="AE848" s="497"/>
      <c r="AF848" s="497"/>
      <c r="AG848" s="497"/>
      <c r="AH848" s="497"/>
      <c r="AI848" s="497"/>
      <c r="AJ848" s="497"/>
      <c r="AK848" s="497"/>
      <c r="AL848" s="497"/>
      <c r="AM848" s="497"/>
      <c r="AN848" s="497"/>
      <c r="AO848" s="497"/>
      <c r="AP848" s="497"/>
      <c r="AQ848" s="497"/>
      <c r="AR848" s="497"/>
      <c r="AS848" s="497"/>
      <c r="AT848" s="497"/>
      <c r="AU848" s="497"/>
      <c r="AV848" s="497"/>
      <c r="AW848" s="497"/>
      <c r="AX848" s="497"/>
      <c r="AY848" s="497"/>
      <c r="AZ848" s="497"/>
      <c r="BA848" s="497"/>
      <c r="BB848" s="497"/>
      <c r="BC848" s="497"/>
      <c r="BD848" s="497"/>
      <c r="BE848" s="497"/>
      <c r="BF848" s="497"/>
      <c r="BG848" s="497"/>
      <c r="BH848" s="497"/>
      <c r="BI848" s="497"/>
      <c r="BJ848" s="497"/>
      <c r="BK848" s="497"/>
      <c r="BL848" s="497"/>
      <c r="BM848" s="497"/>
      <c r="BN848" s="497"/>
      <c r="BO848" s="497"/>
      <c r="BP848" s="497"/>
      <c r="BQ848" s="497"/>
      <c r="BR848" s="497"/>
      <c r="BS848" s="497"/>
      <c r="BT848" s="497"/>
      <c r="BU848" s="497"/>
      <c r="BV848" s="497"/>
      <c r="BW848" s="497"/>
      <c r="BX848" s="497"/>
      <c r="BY848" s="497"/>
      <c r="BZ848" s="497"/>
      <c r="CA848" s="497"/>
      <c r="CB848" s="497"/>
      <c r="CC848" s="497"/>
      <c r="CD848" s="497"/>
      <c r="CE848" s="497"/>
      <c r="CF848" s="497"/>
      <c r="CG848" s="497"/>
      <c r="CH848" s="497"/>
    </row>
    <row r="849" spans="1:86" s="335" customFormat="1">
      <c r="A849" s="517"/>
      <c r="B849" s="517"/>
      <c r="C849" s="517"/>
      <c r="D849" s="517"/>
      <c r="E849" s="517"/>
      <c r="F849" s="517"/>
      <c r="G849" s="517"/>
      <c r="H849" s="639"/>
      <c r="I849" s="639"/>
      <c r="J849" s="336"/>
      <c r="K849" s="2056"/>
      <c r="L849" s="337"/>
      <c r="N849" s="2057"/>
      <c r="O849" s="337"/>
      <c r="P849" s="337"/>
      <c r="Q849" s="337"/>
      <c r="R849" s="337"/>
      <c r="S849" s="337"/>
      <c r="T849" s="337"/>
      <c r="U849" s="497"/>
      <c r="V849" s="497"/>
      <c r="W849" s="497"/>
      <c r="X849" s="497"/>
      <c r="Y849" s="497"/>
      <c r="Z849" s="497"/>
      <c r="AA849" s="497"/>
      <c r="AB849" s="497"/>
      <c r="AC849" s="497"/>
      <c r="AD849" s="497"/>
      <c r="AE849" s="497"/>
      <c r="AF849" s="497"/>
      <c r="AG849" s="497"/>
      <c r="AH849" s="497"/>
      <c r="AI849" s="497"/>
      <c r="AJ849" s="497"/>
      <c r="AK849" s="497"/>
      <c r="AL849" s="497"/>
      <c r="AM849" s="497"/>
      <c r="AN849" s="497"/>
      <c r="AO849" s="497"/>
      <c r="AP849" s="497"/>
      <c r="AQ849" s="497"/>
      <c r="AR849" s="497"/>
      <c r="AS849" s="497"/>
      <c r="AT849" s="497"/>
      <c r="AU849" s="497"/>
      <c r="AV849" s="497"/>
      <c r="AW849" s="497"/>
      <c r="AX849" s="497"/>
      <c r="AY849" s="497"/>
      <c r="AZ849" s="497"/>
      <c r="BA849" s="497"/>
      <c r="BB849" s="497"/>
      <c r="BC849" s="497"/>
      <c r="BD849" s="497"/>
      <c r="BE849" s="497"/>
      <c r="BF849" s="497"/>
      <c r="BG849" s="497"/>
      <c r="BH849" s="497"/>
      <c r="BI849" s="497"/>
      <c r="BJ849" s="497"/>
      <c r="BK849" s="497"/>
      <c r="BL849" s="497"/>
      <c r="BM849" s="497"/>
      <c r="BN849" s="497"/>
      <c r="BO849" s="497"/>
      <c r="BP849" s="497"/>
      <c r="BQ849" s="497"/>
      <c r="BR849" s="497"/>
      <c r="BS849" s="497"/>
      <c r="BT849" s="497"/>
      <c r="BU849" s="497"/>
      <c r="BV849" s="497"/>
      <c r="BW849" s="497"/>
      <c r="BX849" s="497"/>
      <c r="BY849" s="497"/>
      <c r="BZ849" s="497"/>
      <c r="CA849" s="497"/>
      <c r="CB849" s="497"/>
      <c r="CC849" s="497"/>
      <c r="CD849" s="497"/>
      <c r="CE849" s="497"/>
      <c r="CF849" s="497"/>
      <c r="CG849" s="497"/>
      <c r="CH849" s="497"/>
    </row>
    <row r="850" spans="1:86" s="335" customFormat="1">
      <c r="A850" s="517"/>
      <c r="B850" s="517"/>
      <c r="C850" s="517"/>
      <c r="D850" s="517"/>
      <c r="E850" s="517"/>
      <c r="F850" s="517"/>
      <c r="G850" s="517"/>
      <c r="H850" s="639"/>
      <c r="I850" s="639"/>
      <c r="J850" s="336"/>
      <c r="K850" s="2056"/>
      <c r="L850" s="337"/>
      <c r="N850" s="2057"/>
      <c r="O850" s="337"/>
      <c r="P850" s="337"/>
      <c r="Q850" s="337"/>
      <c r="R850" s="337"/>
      <c r="S850" s="337"/>
      <c r="T850" s="337"/>
      <c r="U850" s="497"/>
      <c r="V850" s="497"/>
      <c r="W850" s="497"/>
      <c r="X850" s="497"/>
      <c r="Y850" s="497"/>
      <c r="Z850" s="497"/>
      <c r="AA850" s="497"/>
      <c r="AB850" s="497"/>
      <c r="AC850" s="497"/>
      <c r="AD850" s="497"/>
      <c r="AE850" s="497"/>
      <c r="AF850" s="497"/>
      <c r="AG850" s="497"/>
      <c r="AH850" s="497"/>
      <c r="AI850" s="497"/>
      <c r="AJ850" s="497"/>
      <c r="AK850" s="497"/>
      <c r="AL850" s="497"/>
      <c r="AM850" s="497"/>
      <c r="AN850" s="497"/>
      <c r="AO850" s="497"/>
      <c r="AP850" s="497"/>
      <c r="AQ850" s="497"/>
      <c r="AR850" s="497"/>
      <c r="AS850" s="497"/>
      <c r="AT850" s="497"/>
      <c r="AU850" s="497"/>
      <c r="AV850" s="497"/>
      <c r="AW850" s="497"/>
      <c r="AX850" s="497"/>
      <c r="AY850" s="497"/>
      <c r="AZ850" s="497"/>
      <c r="BA850" s="497"/>
      <c r="BB850" s="497"/>
      <c r="BC850" s="497"/>
      <c r="BD850" s="497"/>
      <c r="BE850" s="497"/>
      <c r="BF850" s="497"/>
      <c r="BG850" s="497"/>
      <c r="BH850" s="497"/>
      <c r="BI850" s="497"/>
      <c r="BJ850" s="497"/>
      <c r="BK850" s="497"/>
      <c r="BL850" s="497"/>
      <c r="BM850" s="497"/>
      <c r="BN850" s="497"/>
      <c r="BO850" s="497"/>
      <c r="BP850" s="497"/>
      <c r="BQ850" s="497"/>
      <c r="BR850" s="497"/>
      <c r="BS850" s="497"/>
      <c r="BT850" s="497"/>
      <c r="BU850" s="497"/>
      <c r="BV850" s="497"/>
      <c r="BW850" s="497"/>
      <c r="BX850" s="497"/>
      <c r="BY850" s="497"/>
      <c r="BZ850" s="497"/>
      <c r="CA850" s="497"/>
      <c r="CB850" s="497"/>
      <c r="CC850" s="497"/>
      <c r="CD850" s="497"/>
      <c r="CE850" s="497"/>
      <c r="CF850" s="497"/>
      <c r="CG850" s="497"/>
      <c r="CH850" s="497"/>
    </row>
    <row r="851" spans="1:86" s="335" customFormat="1">
      <c r="A851" s="517"/>
      <c r="B851" s="517"/>
      <c r="C851" s="517"/>
      <c r="D851" s="517"/>
      <c r="E851" s="517"/>
      <c r="F851" s="517"/>
      <c r="G851" s="517"/>
      <c r="H851" s="639"/>
      <c r="I851" s="639"/>
      <c r="J851" s="336"/>
      <c r="K851" s="2056"/>
      <c r="L851" s="337"/>
      <c r="N851" s="2057"/>
      <c r="O851" s="337"/>
      <c r="P851" s="337"/>
      <c r="Q851" s="337"/>
      <c r="R851" s="337"/>
      <c r="S851" s="337"/>
      <c r="T851" s="337"/>
      <c r="U851" s="497"/>
      <c r="V851" s="497"/>
      <c r="W851" s="497"/>
      <c r="X851" s="497"/>
      <c r="Y851" s="497"/>
      <c r="Z851" s="497"/>
      <c r="AA851" s="497"/>
      <c r="AB851" s="497"/>
      <c r="AC851" s="497"/>
      <c r="AD851" s="497"/>
      <c r="AE851" s="497"/>
      <c r="AF851" s="497"/>
      <c r="AG851" s="497"/>
      <c r="AH851" s="497"/>
      <c r="AI851" s="497"/>
      <c r="AJ851" s="497"/>
      <c r="AK851" s="497"/>
      <c r="AL851" s="497"/>
      <c r="AM851" s="497"/>
      <c r="AN851" s="497"/>
      <c r="AO851" s="497"/>
      <c r="AP851" s="497"/>
      <c r="AQ851" s="497"/>
      <c r="AR851" s="497"/>
      <c r="AS851" s="497"/>
      <c r="AT851" s="497"/>
      <c r="AU851" s="497"/>
      <c r="AV851" s="497"/>
      <c r="AW851" s="497"/>
      <c r="AX851" s="497"/>
      <c r="AY851" s="497"/>
      <c r="AZ851" s="497"/>
      <c r="BA851" s="497"/>
      <c r="BB851" s="497"/>
      <c r="BC851" s="497"/>
      <c r="BD851" s="497"/>
      <c r="BE851" s="497"/>
      <c r="BF851" s="497"/>
      <c r="BG851" s="497"/>
      <c r="BH851" s="497"/>
      <c r="BI851" s="497"/>
      <c r="BJ851" s="497"/>
      <c r="BK851" s="497"/>
      <c r="BL851" s="497"/>
      <c r="BM851" s="497"/>
      <c r="BN851" s="497"/>
      <c r="BO851" s="497"/>
      <c r="BP851" s="497"/>
      <c r="BQ851" s="497"/>
      <c r="BR851" s="497"/>
      <c r="BS851" s="497"/>
      <c r="BT851" s="497"/>
      <c r="BU851" s="497"/>
      <c r="BV851" s="497"/>
      <c r="BW851" s="497"/>
      <c r="BX851" s="497"/>
      <c r="BY851" s="497"/>
      <c r="BZ851" s="497"/>
      <c r="CA851" s="497"/>
      <c r="CB851" s="497"/>
      <c r="CC851" s="497"/>
      <c r="CD851" s="497"/>
      <c r="CE851" s="497"/>
      <c r="CF851" s="497"/>
      <c r="CG851" s="497"/>
      <c r="CH851" s="497"/>
    </row>
    <row r="852" spans="1:86" s="335" customFormat="1">
      <c r="A852" s="517"/>
      <c r="B852" s="517"/>
      <c r="C852" s="517"/>
      <c r="D852" s="517"/>
      <c r="E852" s="517"/>
      <c r="F852" s="517"/>
      <c r="G852" s="517"/>
      <c r="H852" s="639"/>
      <c r="I852" s="639"/>
      <c r="J852" s="336"/>
      <c r="K852" s="2056"/>
      <c r="L852" s="337"/>
      <c r="N852" s="2057"/>
      <c r="O852" s="337"/>
      <c r="P852" s="337"/>
      <c r="Q852" s="337"/>
      <c r="R852" s="337"/>
      <c r="S852" s="337"/>
      <c r="T852" s="337"/>
      <c r="U852" s="497"/>
      <c r="V852" s="497"/>
      <c r="W852" s="497"/>
      <c r="X852" s="497"/>
      <c r="Y852" s="497"/>
      <c r="Z852" s="497"/>
      <c r="AA852" s="497"/>
      <c r="AB852" s="497"/>
      <c r="AC852" s="497"/>
      <c r="AD852" s="497"/>
      <c r="AE852" s="497"/>
      <c r="AF852" s="497"/>
      <c r="AG852" s="497"/>
      <c r="AH852" s="497"/>
      <c r="AI852" s="497"/>
      <c r="AJ852" s="497"/>
      <c r="AK852" s="497"/>
      <c r="AL852" s="497"/>
      <c r="AM852" s="497"/>
      <c r="AN852" s="497"/>
      <c r="AO852" s="497"/>
      <c r="AP852" s="497"/>
      <c r="AQ852" s="497"/>
      <c r="AR852" s="497"/>
      <c r="AS852" s="497"/>
      <c r="AT852" s="497"/>
      <c r="AU852" s="497"/>
      <c r="AV852" s="497"/>
      <c r="AW852" s="497"/>
      <c r="AX852" s="497"/>
      <c r="AY852" s="497"/>
      <c r="AZ852" s="497"/>
      <c r="BA852" s="497"/>
      <c r="BB852" s="497"/>
      <c r="BC852" s="497"/>
      <c r="BD852" s="497"/>
      <c r="BE852" s="497"/>
      <c r="BF852" s="497"/>
      <c r="BG852" s="497"/>
      <c r="BH852" s="497"/>
      <c r="BI852" s="497"/>
      <c r="BJ852" s="497"/>
      <c r="BK852" s="497"/>
      <c r="BL852" s="497"/>
      <c r="BM852" s="497"/>
      <c r="BN852" s="497"/>
      <c r="BO852" s="497"/>
      <c r="BP852" s="497"/>
      <c r="BQ852" s="497"/>
      <c r="BR852" s="497"/>
      <c r="BS852" s="497"/>
      <c r="BT852" s="497"/>
      <c r="BU852" s="497"/>
      <c r="BV852" s="497"/>
      <c r="BW852" s="497"/>
      <c r="BX852" s="497"/>
      <c r="BY852" s="497"/>
      <c r="BZ852" s="497"/>
      <c r="CA852" s="497"/>
      <c r="CB852" s="497"/>
      <c r="CC852" s="497"/>
      <c r="CD852" s="497"/>
      <c r="CE852" s="497"/>
      <c r="CF852" s="497"/>
      <c r="CG852" s="497"/>
      <c r="CH852" s="497"/>
    </row>
    <row r="853" spans="1:86" s="335" customFormat="1">
      <c r="A853" s="517"/>
      <c r="B853" s="517"/>
      <c r="C853" s="517"/>
      <c r="D853" s="517"/>
      <c r="E853" s="517"/>
      <c r="F853" s="517"/>
      <c r="G853" s="517"/>
      <c r="H853" s="639"/>
      <c r="I853" s="639"/>
      <c r="J853" s="336"/>
      <c r="K853" s="2056"/>
      <c r="L853" s="337"/>
      <c r="N853" s="2057"/>
      <c r="O853" s="337"/>
      <c r="P853" s="337"/>
      <c r="Q853" s="337"/>
      <c r="R853" s="337"/>
      <c r="S853" s="337"/>
      <c r="T853" s="337"/>
      <c r="U853" s="497"/>
      <c r="V853" s="497"/>
      <c r="W853" s="497"/>
      <c r="X853" s="497"/>
      <c r="Y853" s="497"/>
      <c r="Z853" s="497"/>
      <c r="AA853" s="497"/>
      <c r="AB853" s="497"/>
      <c r="AC853" s="497"/>
      <c r="AD853" s="497"/>
      <c r="AE853" s="497"/>
      <c r="AF853" s="497"/>
      <c r="AG853" s="497"/>
      <c r="AH853" s="497"/>
      <c r="AI853" s="497"/>
      <c r="AJ853" s="497"/>
      <c r="AK853" s="497"/>
      <c r="AL853" s="497"/>
      <c r="AM853" s="497"/>
      <c r="AN853" s="497"/>
      <c r="AO853" s="497"/>
      <c r="AP853" s="497"/>
      <c r="AQ853" s="497"/>
      <c r="AR853" s="497"/>
      <c r="AS853" s="497"/>
      <c r="AT853" s="497"/>
      <c r="AU853" s="497"/>
      <c r="AV853" s="497"/>
      <c r="AW853" s="497"/>
      <c r="AX853" s="497"/>
      <c r="AY853" s="497"/>
      <c r="AZ853" s="497"/>
      <c r="BA853" s="497"/>
      <c r="BB853" s="497"/>
      <c r="BC853" s="497"/>
      <c r="BD853" s="497"/>
      <c r="BE853" s="497"/>
      <c r="BF853" s="497"/>
      <c r="BG853" s="497"/>
      <c r="BH853" s="497"/>
      <c r="BI853" s="497"/>
      <c r="BJ853" s="497"/>
      <c r="BK853" s="497"/>
      <c r="BL853" s="497"/>
      <c r="BM853" s="497"/>
      <c r="BN853" s="497"/>
      <c r="BO853" s="497"/>
      <c r="BP853" s="497"/>
      <c r="BQ853" s="497"/>
      <c r="BR853" s="497"/>
      <c r="BS853" s="497"/>
      <c r="BT853" s="497"/>
      <c r="BU853" s="497"/>
      <c r="BV853" s="497"/>
      <c r="BW853" s="497"/>
      <c r="BX853" s="497"/>
      <c r="BY853" s="497"/>
      <c r="BZ853" s="497"/>
      <c r="CA853" s="497"/>
      <c r="CB853" s="497"/>
      <c r="CC853" s="497"/>
      <c r="CD853" s="497"/>
      <c r="CE853" s="497"/>
      <c r="CF853" s="497"/>
      <c r="CG853" s="497"/>
      <c r="CH853" s="497"/>
    </row>
    <row r="854" spans="1:86" s="335" customFormat="1">
      <c r="A854" s="517"/>
      <c r="B854" s="517"/>
      <c r="C854" s="517"/>
      <c r="D854" s="517"/>
      <c r="E854" s="517"/>
      <c r="F854" s="517"/>
      <c r="G854" s="517"/>
      <c r="H854" s="639"/>
      <c r="I854" s="639"/>
      <c r="J854" s="336"/>
      <c r="K854" s="2056"/>
      <c r="L854" s="337"/>
      <c r="N854" s="2057"/>
      <c r="O854" s="337"/>
      <c r="P854" s="337"/>
      <c r="Q854" s="337"/>
      <c r="R854" s="337"/>
      <c r="S854" s="337"/>
      <c r="T854" s="337"/>
      <c r="U854" s="497"/>
      <c r="V854" s="497"/>
      <c r="W854" s="497"/>
      <c r="X854" s="497"/>
      <c r="Y854" s="497"/>
      <c r="Z854" s="497"/>
      <c r="AA854" s="497"/>
      <c r="AB854" s="497"/>
      <c r="AC854" s="497"/>
      <c r="AD854" s="497"/>
      <c r="AE854" s="497"/>
      <c r="AF854" s="497"/>
      <c r="AG854" s="497"/>
      <c r="AH854" s="497"/>
      <c r="AI854" s="497"/>
      <c r="AJ854" s="497"/>
      <c r="AK854" s="497"/>
      <c r="AL854" s="497"/>
      <c r="AM854" s="497"/>
      <c r="AN854" s="497"/>
      <c r="AO854" s="497"/>
      <c r="AP854" s="497"/>
      <c r="AQ854" s="497"/>
      <c r="AR854" s="497"/>
      <c r="AS854" s="497"/>
      <c r="AT854" s="497"/>
      <c r="AU854" s="497"/>
      <c r="AV854" s="497"/>
      <c r="AW854" s="497"/>
      <c r="AX854" s="497"/>
      <c r="AY854" s="497"/>
      <c r="AZ854" s="497"/>
      <c r="BA854" s="497"/>
      <c r="BB854" s="497"/>
      <c r="BC854" s="497"/>
      <c r="BD854" s="497"/>
      <c r="BE854" s="497"/>
      <c r="BF854" s="497"/>
      <c r="BG854" s="497"/>
      <c r="BH854" s="497"/>
      <c r="BI854" s="497"/>
      <c r="BJ854" s="497"/>
      <c r="BK854" s="497"/>
      <c r="BL854" s="497"/>
      <c r="BM854" s="497"/>
      <c r="BN854" s="497"/>
      <c r="BO854" s="497"/>
      <c r="BP854" s="497"/>
      <c r="BQ854" s="497"/>
      <c r="BR854" s="497"/>
      <c r="BS854" s="497"/>
      <c r="BT854" s="497"/>
      <c r="BU854" s="497"/>
      <c r="BV854" s="497"/>
      <c r="BW854" s="497"/>
      <c r="BX854" s="497"/>
      <c r="BY854" s="497"/>
      <c r="BZ854" s="497"/>
      <c r="CA854" s="497"/>
      <c r="CB854" s="497"/>
      <c r="CC854" s="497"/>
      <c r="CD854" s="497"/>
      <c r="CE854" s="497"/>
      <c r="CF854" s="497"/>
      <c r="CG854" s="497"/>
      <c r="CH854" s="497"/>
    </row>
    <row r="855" spans="1:86" s="335" customFormat="1">
      <c r="A855" s="517"/>
      <c r="B855" s="517"/>
      <c r="C855" s="517"/>
      <c r="D855" s="517"/>
      <c r="E855" s="517"/>
      <c r="F855" s="517"/>
      <c r="G855" s="517"/>
      <c r="H855" s="639"/>
      <c r="I855" s="639"/>
      <c r="J855" s="336"/>
      <c r="K855" s="2056"/>
      <c r="L855" s="337"/>
      <c r="N855" s="2057"/>
      <c r="O855" s="337"/>
      <c r="P855" s="337"/>
      <c r="Q855" s="337"/>
      <c r="R855" s="337"/>
      <c r="S855" s="337"/>
      <c r="T855" s="337"/>
      <c r="U855" s="497"/>
      <c r="V855" s="497"/>
      <c r="W855" s="497"/>
      <c r="X855" s="497"/>
      <c r="Y855" s="497"/>
      <c r="Z855" s="497"/>
      <c r="AA855" s="497"/>
      <c r="AB855" s="497"/>
      <c r="AC855" s="497"/>
      <c r="AD855" s="497"/>
      <c r="AE855" s="497"/>
      <c r="AF855" s="497"/>
      <c r="AG855" s="497"/>
      <c r="AH855" s="497"/>
      <c r="AI855" s="497"/>
      <c r="AJ855" s="497"/>
      <c r="AK855" s="497"/>
      <c r="AL855" s="497"/>
      <c r="AM855" s="497"/>
      <c r="AN855" s="497"/>
      <c r="AO855" s="497"/>
      <c r="AP855" s="497"/>
      <c r="AQ855" s="497"/>
      <c r="AR855" s="497"/>
      <c r="AS855" s="497"/>
      <c r="AT855" s="497"/>
      <c r="AU855" s="497"/>
      <c r="AV855" s="497"/>
      <c r="AW855" s="497"/>
      <c r="AX855" s="497"/>
      <c r="AY855" s="497"/>
      <c r="AZ855" s="497"/>
      <c r="BA855" s="497"/>
      <c r="BB855" s="497"/>
      <c r="BC855" s="497"/>
      <c r="BD855" s="497"/>
      <c r="BE855" s="497"/>
      <c r="BF855" s="497"/>
      <c r="BG855" s="497"/>
      <c r="BH855" s="497"/>
      <c r="BI855" s="497"/>
      <c r="BJ855" s="497"/>
      <c r="BK855" s="497"/>
      <c r="BL855" s="497"/>
      <c r="BM855" s="497"/>
      <c r="BN855" s="497"/>
      <c r="BO855" s="497"/>
      <c r="BP855" s="497"/>
      <c r="BQ855" s="497"/>
      <c r="BR855" s="497"/>
      <c r="BS855" s="497"/>
      <c r="BT855" s="497"/>
      <c r="BU855" s="497"/>
      <c r="BV855" s="497"/>
      <c r="BW855" s="497"/>
      <c r="BX855" s="497"/>
      <c r="BY855" s="497"/>
      <c r="BZ855" s="497"/>
      <c r="CA855" s="497"/>
      <c r="CB855" s="497"/>
      <c r="CC855" s="497"/>
      <c r="CD855" s="497"/>
      <c r="CE855" s="497"/>
      <c r="CF855" s="497"/>
      <c r="CG855" s="497"/>
      <c r="CH855" s="497"/>
    </row>
    <row r="856" spans="1:86" s="335" customFormat="1">
      <c r="A856" s="517"/>
      <c r="B856" s="517"/>
      <c r="C856" s="517"/>
      <c r="D856" s="517"/>
      <c r="E856" s="517"/>
      <c r="F856" s="517"/>
      <c r="G856" s="517"/>
      <c r="H856" s="639"/>
      <c r="I856" s="639"/>
      <c r="J856" s="336"/>
      <c r="K856" s="2056"/>
      <c r="L856" s="337"/>
      <c r="N856" s="2057"/>
      <c r="O856" s="337"/>
      <c r="P856" s="337"/>
      <c r="Q856" s="337"/>
      <c r="R856" s="337"/>
      <c r="S856" s="337"/>
      <c r="T856" s="337"/>
      <c r="U856" s="497"/>
      <c r="V856" s="497"/>
      <c r="W856" s="497"/>
      <c r="X856" s="497"/>
      <c r="Y856" s="497"/>
      <c r="Z856" s="497"/>
      <c r="AA856" s="497"/>
      <c r="AB856" s="497"/>
      <c r="AC856" s="497"/>
      <c r="AD856" s="497"/>
      <c r="AE856" s="497"/>
      <c r="AF856" s="497"/>
      <c r="AG856" s="497"/>
      <c r="AH856" s="497"/>
      <c r="AI856" s="497"/>
      <c r="AJ856" s="497"/>
      <c r="AK856" s="497"/>
      <c r="AL856" s="497"/>
      <c r="AM856" s="497"/>
      <c r="AN856" s="497"/>
      <c r="AO856" s="497"/>
      <c r="AP856" s="497"/>
      <c r="AQ856" s="497"/>
      <c r="AR856" s="497"/>
      <c r="AS856" s="497"/>
      <c r="AT856" s="497"/>
      <c r="AU856" s="497"/>
      <c r="AV856" s="497"/>
      <c r="AW856" s="497"/>
      <c r="AX856" s="497"/>
      <c r="AY856" s="497"/>
      <c r="AZ856" s="497"/>
      <c r="BA856" s="497"/>
      <c r="BB856" s="497"/>
      <c r="BC856" s="497"/>
      <c r="BD856" s="497"/>
      <c r="BE856" s="497"/>
      <c r="BF856" s="497"/>
      <c r="BG856" s="497"/>
      <c r="BH856" s="497"/>
      <c r="BI856" s="497"/>
      <c r="BJ856" s="497"/>
      <c r="BK856" s="497"/>
      <c r="BL856" s="497"/>
      <c r="BM856" s="497"/>
      <c r="BN856" s="497"/>
      <c r="BO856" s="497"/>
      <c r="BP856" s="497"/>
      <c r="BQ856" s="497"/>
      <c r="BR856" s="497"/>
      <c r="BS856" s="497"/>
      <c r="BT856" s="497"/>
      <c r="BU856" s="497"/>
      <c r="BV856" s="497"/>
      <c r="BW856" s="497"/>
      <c r="BX856" s="497"/>
      <c r="BY856" s="497"/>
      <c r="BZ856" s="497"/>
      <c r="CA856" s="497"/>
      <c r="CB856" s="497"/>
      <c r="CC856" s="497"/>
      <c r="CD856" s="497"/>
      <c r="CE856" s="497"/>
      <c r="CF856" s="497"/>
      <c r="CG856" s="497"/>
      <c r="CH856" s="497"/>
    </row>
    <row r="857" spans="1:86" s="335" customFormat="1">
      <c r="A857" s="517"/>
      <c r="B857" s="517"/>
      <c r="C857" s="517"/>
      <c r="D857" s="517"/>
      <c r="E857" s="517"/>
      <c r="F857" s="517"/>
      <c r="G857" s="517"/>
      <c r="H857" s="639"/>
      <c r="I857" s="639"/>
      <c r="J857" s="336"/>
      <c r="K857" s="2056"/>
      <c r="L857" s="337"/>
      <c r="N857" s="2057"/>
      <c r="O857" s="337"/>
      <c r="P857" s="337"/>
      <c r="Q857" s="337"/>
      <c r="R857" s="337"/>
      <c r="S857" s="337"/>
      <c r="T857" s="337"/>
      <c r="U857" s="497"/>
      <c r="V857" s="497"/>
      <c r="W857" s="497"/>
      <c r="X857" s="497"/>
      <c r="Y857" s="497"/>
      <c r="Z857" s="497"/>
      <c r="AA857" s="497"/>
      <c r="AB857" s="497"/>
      <c r="AC857" s="497"/>
      <c r="AD857" s="497"/>
      <c r="AE857" s="497"/>
      <c r="AF857" s="497"/>
      <c r="AG857" s="497"/>
      <c r="AH857" s="497"/>
      <c r="AI857" s="497"/>
      <c r="AJ857" s="497"/>
      <c r="AK857" s="497"/>
      <c r="AL857" s="497"/>
      <c r="AM857" s="497"/>
      <c r="AN857" s="497"/>
      <c r="AO857" s="497"/>
      <c r="AP857" s="497"/>
      <c r="AQ857" s="497"/>
      <c r="AR857" s="497"/>
      <c r="AS857" s="497"/>
      <c r="AT857" s="497"/>
      <c r="AU857" s="497"/>
      <c r="AV857" s="497"/>
      <c r="AW857" s="497"/>
      <c r="AX857" s="497"/>
      <c r="AY857" s="497"/>
      <c r="AZ857" s="497"/>
      <c r="BA857" s="497"/>
      <c r="BB857" s="497"/>
      <c r="BC857" s="497"/>
      <c r="BD857" s="497"/>
      <c r="BE857" s="497"/>
      <c r="BF857" s="497"/>
      <c r="BG857" s="497"/>
      <c r="BH857" s="497"/>
      <c r="BI857" s="497"/>
      <c r="BJ857" s="497"/>
      <c r="BK857" s="497"/>
      <c r="BL857" s="497"/>
      <c r="BM857" s="497"/>
      <c r="BN857" s="497"/>
      <c r="BO857" s="497"/>
      <c r="BP857" s="497"/>
      <c r="BQ857" s="497"/>
      <c r="BR857" s="497"/>
      <c r="BS857" s="497"/>
      <c r="BT857" s="497"/>
      <c r="BU857" s="497"/>
      <c r="BV857" s="497"/>
      <c r="BW857" s="497"/>
      <c r="BX857" s="497"/>
      <c r="BY857" s="497"/>
      <c r="BZ857" s="497"/>
      <c r="CA857" s="497"/>
      <c r="CB857" s="497"/>
      <c r="CC857" s="497"/>
      <c r="CD857" s="497"/>
      <c r="CE857" s="497"/>
      <c r="CF857" s="497"/>
      <c r="CG857" s="497"/>
      <c r="CH857" s="497"/>
    </row>
    <row r="858" spans="1:86" s="335" customFormat="1">
      <c r="A858" s="517"/>
      <c r="B858" s="517"/>
      <c r="C858" s="517"/>
      <c r="D858" s="517"/>
      <c r="E858" s="517"/>
      <c r="F858" s="517"/>
      <c r="G858" s="517"/>
      <c r="H858" s="639"/>
      <c r="I858" s="639"/>
      <c r="J858" s="336"/>
      <c r="K858" s="2056"/>
      <c r="L858" s="337"/>
      <c r="N858" s="2057"/>
      <c r="O858" s="337"/>
      <c r="P858" s="337"/>
      <c r="Q858" s="337"/>
      <c r="R858" s="337"/>
      <c r="S858" s="337"/>
      <c r="T858" s="337"/>
      <c r="U858" s="497"/>
      <c r="V858" s="497"/>
      <c r="W858" s="497"/>
      <c r="X858" s="497"/>
      <c r="Y858" s="497"/>
      <c r="Z858" s="497"/>
      <c r="AA858" s="497"/>
      <c r="AB858" s="497"/>
      <c r="AC858" s="497"/>
      <c r="AD858" s="497"/>
      <c r="AE858" s="497"/>
      <c r="AF858" s="497"/>
      <c r="AG858" s="497"/>
      <c r="AH858" s="497"/>
      <c r="AI858" s="497"/>
      <c r="AJ858" s="497"/>
      <c r="AK858" s="497"/>
      <c r="AL858" s="497"/>
      <c r="AM858" s="497"/>
      <c r="AN858" s="497"/>
      <c r="AO858" s="497"/>
      <c r="AP858" s="497"/>
      <c r="AQ858" s="497"/>
      <c r="AR858" s="497"/>
      <c r="AS858" s="497"/>
      <c r="AT858" s="497"/>
      <c r="AU858" s="497"/>
      <c r="AV858" s="497"/>
      <c r="AW858" s="497"/>
      <c r="AX858" s="497"/>
      <c r="AY858" s="497"/>
      <c r="AZ858" s="497"/>
      <c r="BA858" s="497"/>
      <c r="BB858" s="497"/>
      <c r="BC858" s="497"/>
      <c r="BD858" s="497"/>
      <c r="BE858" s="497"/>
      <c r="BF858" s="497"/>
      <c r="BG858" s="497"/>
      <c r="BH858" s="497"/>
      <c r="BI858" s="497"/>
      <c r="BJ858" s="497"/>
      <c r="BK858" s="497"/>
      <c r="BL858" s="497"/>
      <c r="BM858" s="497"/>
      <c r="BN858" s="497"/>
      <c r="BO858" s="497"/>
      <c r="BP858" s="497"/>
      <c r="BQ858" s="497"/>
      <c r="BR858" s="497"/>
      <c r="BS858" s="497"/>
      <c r="BT858" s="497"/>
      <c r="BU858" s="497"/>
      <c r="BV858" s="497"/>
      <c r="BW858" s="497"/>
      <c r="BX858" s="497"/>
      <c r="BY858" s="497"/>
      <c r="BZ858" s="497"/>
      <c r="CA858" s="497"/>
      <c r="CB858" s="497"/>
      <c r="CC858" s="497"/>
      <c r="CD858" s="497"/>
      <c r="CE858" s="497"/>
      <c r="CF858" s="497"/>
      <c r="CG858" s="497"/>
      <c r="CH858" s="497"/>
    </row>
    <row r="859" spans="1:86" s="335" customFormat="1">
      <c r="A859" s="517"/>
      <c r="B859" s="517"/>
      <c r="C859" s="517"/>
      <c r="D859" s="517"/>
      <c r="E859" s="517"/>
      <c r="F859" s="517"/>
      <c r="G859" s="517"/>
      <c r="H859" s="639"/>
      <c r="I859" s="639"/>
      <c r="J859" s="336"/>
      <c r="K859" s="2056"/>
      <c r="L859" s="337"/>
      <c r="N859" s="2057"/>
      <c r="O859" s="337"/>
      <c r="P859" s="337"/>
      <c r="Q859" s="337"/>
      <c r="R859" s="337"/>
      <c r="S859" s="337"/>
      <c r="T859" s="337"/>
      <c r="U859" s="497"/>
      <c r="V859" s="497"/>
      <c r="W859" s="497"/>
      <c r="X859" s="497"/>
      <c r="Y859" s="497"/>
      <c r="Z859" s="497"/>
      <c r="AA859" s="497"/>
      <c r="AB859" s="497"/>
      <c r="AC859" s="497"/>
      <c r="AD859" s="497"/>
      <c r="AE859" s="497"/>
      <c r="AF859" s="497"/>
      <c r="AG859" s="497"/>
      <c r="AH859" s="497"/>
      <c r="AI859" s="497"/>
      <c r="AJ859" s="497"/>
      <c r="AK859" s="497"/>
      <c r="AL859" s="497"/>
      <c r="AM859" s="497"/>
      <c r="AN859" s="497"/>
      <c r="AO859" s="497"/>
      <c r="AP859" s="497"/>
      <c r="AQ859" s="497"/>
      <c r="AR859" s="497"/>
      <c r="AS859" s="497"/>
      <c r="AT859" s="497"/>
      <c r="AU859" s="497"/>
      <c r="AV859" s="497"/>
      <c r="AW859" s="497"/>
      <c r="AX859" s="497"/>
      <c r="AY859" s="497"/>
      <c r="AZ859" s="497"/>
      <c r="BA859" s="497"/>
      <c r="BB859" s="497"/>
      <c r="BC859" s="497"/>
      <c r="BD859" s="497"/>
      <c r="BE859" s="497"/>
      <c r="BF859" s="497"/>
      <c r="BG859" s="497"/>
      <c r="BH859" s="497"/>
      <c r="BI859" s="497"/>
      <c r="BJ859" s="497"/>
      <c r="BK859" s="497"/>
      <c r="BL859" s="497"/>
      <c r="BM859" s="497"/>
      <c r="BN859" s="497"/>
      <c r="BO859" s="497"/>
      <c r="BP859" s="497"/>
      <c r="BQ859" s="497"/>
      <c r="BR859" s="497"/>
      <c r="BS859" s="497"/>
      <c r="BT859" s="497"/>
      <c r="BU859" s="497"/>
      <c r="BV859" s="497"/>
      <c r="BW859" s="497"/>
      <c r="BX859" s="497"/>
      <c r="BY859" s="497"/>
      <c r="BZ859" s="497"/>
      <c r="CA859" s="497"/>
      <c r="CB859" s="497"/>
      <c r="CC859" s="497"/>
      <c r="CD859" s="497"/>
      <c r="CE859" s="497"/>
      <c r="CF859" s="497"/>
      <c r="CG859" s="497"/>
      <c r="CH859" s="497"/>
    </row>
    <row r="860" spans="1:86" s="335" customFormat="1">
      <c r="A860" s="517"/>
      <c r="B860" s="517"/>
      <c r="C860" s="517"/>
      <c r="D860" s="517"/>
      <c r="E860" s="517"/>
      <c r="F860" s="517"/>
      <c r="G860" s="517"/>
      <c r="H860" s="639"/>
      <c r="I860" s="639"/>
      <c r="J860" s="336"/>
      <c r="K860" s="2056"/>
      <c r="L860" s="337"/>
      <c r="N860" s="2057"/>
      <c r="O860" s="337"/>
      <c r="P860" s="337"/>
      <c r="Q860" s="337"/>
      <c r="R860" s="337"/>
      <c r="S860" s="337"/>
      <c r="T860" s="337"/>
      <c r="U860" s="497"/>
      <c r="V860" s="497"/>
      <c r="W860" s="497"/>
      <c r="X860" s="497"/>
      <c r="Y860" s="497"/>
      <c r="Z860" s="497"/>
      <c r="AA860" s="497"/>
      <c r="AB860" s="497"/>
      <c r="AC860" s="497"/>
      <c r="AD860" s="497"/>
      <c r="AE860" s="497"/>
      <c r="AF860" s="497"/>
      <c r="AG860" s="497"/>
      <c r="AH860" s="497"/>
      <c r="AI860" s="497"/>
      <c r="AJ860" s="497"/>
      <c r="AK860" s="497"/>
      <c r="AL860" s="497"/>
      <c r="AM860" s="497"/>
      <c r="AN860" s="497"/>
      <c r="AO860" s="497"/>
      <c r="AP860" s="497"/>
      <c r="AQ860" s="497"/>
      <c r="AR860" s="497"/>
      <c r="AS860" s="497"/>
      <c r="AT860" s="497"/>
      <c r="AU860" s="497"/>
      <c r="AV860" s="497"/>
      <c r="AW860" s="497"/>
      <c r="AX860" s="497"/>
      <c r="AY860" s="497"/>
      <c r="AZ860" s="497"/>
      <c r="BA860" s="497"/>
      <c r="BB860" s="497"/>
      <c r="BC860" s="497"/>
      <c r="BD860" s="497"/>
      <c r="BE860" s="497"/>
      <c r="BF860" s="497"/>
      <c r="BG860" s="497"/>
      <c r="BH860" s="497"/>
      <c r="BI860" s="497"/>
      <c r="BJ860" s="497"/>
      <c r="BK860" s="497"/>
      <c r="BL860" s="497"/>
      <c r="BM860" s="497"/>
      <c r="BN860" s="497"/>
      <c r="BO860" s="497"/>
      <c r="BP860" s="497"/>
      <c r="BQ860" s="497"/>
      <c r="BR860" s="497"/>
      <c r="BS860" s="497"/>
      <c r="BT860" s="497"/>
      <c r="BU860" s="497"/>
      <c r="BV860" s="497"/>
      <c r="BW860" s="497"/>
      <c r="BX860" s="497"/>
      <c r="BY860" s="497"/>
      <c r="BZ860" s="497"/>
      <c r="CA860" s="497"/>
      <c r="CB860" s="497"/>
      <c r="CC860" s="497"/>
      <c r="CD860" s="497"/>
      <c r="CE860" s="497"/>
      <c r="CF860" s="497"/>
      <c r="CG860" s="497"/>
      <c r="CH860" s="497"/>
    </row>
    <row r="861" spans="1:86" s="335" customFormat="1">
      <c r="A861" s="517"/>
      <c r="B861" s="517"/>
      <c r="C861" s="517"/>
      <c r="D861" s="517"/>
      <c r="E861" s="517"/>
      <c r="F861" s="517"/>
      <c r="G861" s="517"/>
      <c r="H861" s="639"/>
      <c r="I861" s="639"/>
      <c r="J861" s="336"/>
      <c r="K861" s="2056"/>
      <c r="L861" s="337"/>
      <c r="N861" s="2057"/>
      <c r="O861" s="337"/>
      <c r="P861" s="337"/>
      <c r="Q861" s="337"/>
      <c r="R861" s="337"/>
      <c r="S861" s="337"/>
      <c r="T861" s="337"/>
      <c r="U861" s="497"/>
      <c r="V861" s="497"/>
      <c r="W861" s="497"/>
      <c r="X861" s="497"/>
      <c r="Y861" s="497"/>
      <c r="Z861" s="497"/>
      <c r="AA861" s="497"/>
      <c r="AB861" s="497"/>
      <c r="AC861" s="497"/>
      <c r="AD861" s="497"/>
      <c r="AE861" s="497"/>
      <c r="AF861" s="497"/>
      <c r="AG861" s="497"/>
      <c r="AH861" s="497"/>
      <c r="AI861" s="497"/>
      <c r="AJ861" s="497"/>
      <c r="AK861" s="497"/>
      <c r="AL861" s="497"/>
      <c r="AM861" s="497"/>
      <c r="AN861" s="497"/>
      <c r="AO861" s="497"/>
      <c r="AP861" s="497"/>
      <c r="AQ861" s="497"/>
      <c r="AR861" s="497"/>
      <c r="AS861" s="497"/>
      <c r="AT861" s="497"/>
      <c r="AU861" s="497"/>
      <c r="AV861" s="497"/>
      <c r="AW861" s="497"/>
      <c r="AX861" s="497"/>
      <c r="AY861" s="497"/>
      <c r="AZ861" s="497"/>
      <c r="BA861" s="497"/>
      <c r="BB861" s="497"/>
      <c r="BC861" s="497"/>
      <c r="BD861" s="497"/>
      <c r="BE861" s="497"/>
      <c r="BF861" s="497"/>
      <c r="BG861" s="497"/>
      <c r="BH861" s="497"/>
      <c r="BI861" s="497"/>
      <c r="BJ861" s="497"/>
      <c r="BK861" s="497"/>
      <c r="BL861" s="497"/>
      <c r="BM861" s="497"/>
      <c r="BN861" s="497"/>
      <c r="BO861" s="497"/>
      <c r="BP861" s="497"/>
      <c r="BQ861" s="497"/>
      <c r="BR861" s="497"/>
      <c r="BS861" s="497"/>
      <c r="BT861" s="497"/>
      <c r="BU861" s="497"/>
      <c r="BV861" s="497"/>
      <c r="BW861" s="497"/>
      <c r="BX861" s="497"/>
      <c r="BY861" s="497"/>
      <c r="BZ861" s="497"/>
      <c r="CA861" s="497"/>
      <c r="CB861" s="497"/>
      <c r="CC861" s="497"/>
      <c r="CD861" s="497"/>
      <c r="CE861" s="497"/>
      <c r="CF861" s="497"/>
      <c r="CG861" s="497"/>
      <c r="CH861" s="497"/>
    </row>
    <row r="862" spans="1:86" s="335" customFormat="1">
      <c r="A862" s="517"/>
      <c r="B862" s="517"/>
      <c r="C862" s="517"/>
      <c r="D862" s="517"/>
      <c r="E862" s="517"/>
      <c r="F862" s="517"/>
      <c r="G862" s="517"/>
      <c r="H862" s="639"/>
      <c r="I862" s="639"/>
      <c r="J862" s="336"/>
      <c r="K862" s="2056"/>
      <c r="L862" s="337"/>
      <c r="N862" s="2057"/>
      <c r="O862" s="337"/>
      <c r="P862" s="337"/>
      <c r="Q862" s="337"/>
      <c r="R862" s="337"/>
      <c r="S862" s="337"/>
      <c r="T862" s="337"/>
      <c r="U862" s="497"/>
      <c r="V862" s="497"/>
      <c r="W862" s="497"/>
      <c r="X862" s="497"/>
      <c r="Y862" s="497"/>
      <c r="Z862" s="497"/>
      <c r="AA862" s="497"/>
      <c r="AB862" s="497"/>
      <c r="AC862" s="497"/>
      <c r="AD862" s="497"/>
      <c r="AE862" s="497"/>
      <c r="AF862" s="497"/>
      <c r="AG862" s="497"/>
      <c r="AH862" s="497"/>
      <c r="AI862" s="497"/>
      <c r="AJ862" s="497"/>
      <c r="AK862" s="497"/>
      <c r="AL862" s="497"/>
      <c r="AM862" s="497"/>
      <c r="AN862" s="497"/>
      <c r="AO862" s="497"/>
      <c r="AP862" s="497"/>
      <c r="AQ862" s="497"/>
      <c r="AR862" s="497"/>
      <c r="AS862" s="497"/>
      <c r="AT862" s="497"/>
      <c r="AU862" s="497"/>
      <c r="AV862" s="497"/>
      <c r="AW862" s="497"/>
      <c r="AX862" s="497"/>
      <c r="AY862" s="497"/>
      <c r="AZ862" s="497"/>
      <c r="BA862" s="497"/>
      <c r="BB862" s="497"/>
      <c r="BC862" s="497"/>
      <c r="BD862" s="497"/>
      <c r="BE862" s="497"/>
      <c r="BF862" s="497"/>
      <c r="BG862" s="497"/>
      <c r="BH862" s="497"/>
      <c r="BI862" s="497"/>
      <c r="BJ862" s="497"/>
      <c r="BK862" s="497"/>
      <c r="BL862" s="497"/>
      <c r="BM862" s="497"/>
      <c r="BN862" s="497"/>
      <c r="BO862" s="497"/>
      <c r="BP862" s="497"/>
      <c r="BQ862" s="497"/>
      <c r="BR862" s="497"/>
      <c r="BS862" s="497"/>
      <c r="BT862" s="497"/>
      <c r="BU862" s="497"/>
      <c r="BV862" s="497"/>
      <c r="BW862" s="497"/>
      <c r="BX862" s="497"/>
      <c r="BY862" s="497"/>
      <c r="BZ862" s="497"/>
      <c r="CA862" s="497"/>
      <c r="CB862" s="497"/>
      <c r="CC862" s="497"/>
      <c r="CD862" s="497"/>
      <c r="CE862" s="497"/>
      <c r="CF862" s="497"/>
      <c r="CG862" s="497"/>
      <c r="CH862" s="497"/>
    </row>
    <row r="863" spans="1:86" s="335" customFormat="1">
      <c r="A863" s="517"/>
      <c r="B863" s="517"/>
      <c r="C863" s="517"/>
      <c r="D863" s="517"/>
      <c r="E863" s="517"/>
      <c r="F863" s="517"/>
      <c r="G863" s="517"/>
      <c r="H863" s="639"/>
      <c r="I863" s="639"/>
      <c r="J863" s="336"/>
      <c r="K863" s="2056"/>
      <c r="L863" s="337"/>
      <c r="N863" s="2057"/>
      <c r="O863" s="337"/>
      <c r="P863" s="337"/>
      <c r="Q863" s="337"/>
      <c r="R863" s="337"/>
      <c r="S863" s="337"/>
      <c r="T863" s="337"/>
      <c r="U863" s="497"/>
      <c r="V863" s="497"/>
      <c r="W863" s="497"/>
      <c r="X863" s="497"/>
      <c r="Y863" s="497"/>
      <c r="Z863" s="497"/>
      <c r="AA863" s="497"/>
      <c r="AB863" s="497"/>
      <c r="AC863" s="497"/>
      <c r="AD863" s="497"/>
      <c r="AE863" s="497"/>
      <c r="AF863" s="497"/>
      <c r="AG863" s="497"/>
      <c r="AH863" s="497"/>
      <c r="AI863" s="497"/>
      <c r="AJ863" s="497"/>
      <c r="AK863" s="497"/>
      <c r="AL863" s="497"/>
      <c r="AM863" s="497"/>
      <c r="AN863" s="497"/>
      <c r="AO863" s="497"/>
      <c r="AP863" s="497"/>
      <c r="AQ863" s="497"/>
      <c r="AR863" s="497"/>
      <c r="AS863" s="497"/>
      <c r="AT863" s="497"/>
      <c r="AU863" s="497"/>
      <c r="AV863" s="497"/>
      <c r="AW863" s="497"/>
      <c r="AX863" s="497"/>
      <c r="AY863" s="497"/>
      <c r="AZ863" s="497"/>
      <c r="BA863" s="497"/>
      <c r="BB863" s="497"/>
      <c r="BC863" s="497"/>
      <c r="BD863" s="497"/>
      <c r="BE863" s="497"/>
      <c r="BF863" s="497"/>
      <c r="BG863" s="497"/>
      <c r="BH863" s="497"/>
      <c r="BI863" s="497"/>
      <c r="BJ863" s="497"/>
      <c r="BK863" s="497"/>
      <c r="BL863" s="497"/>
      <c r="BM863" s="497"/>
      <c r="BN863" s="497"/>
      <c r="BO863" s="497"/>
      <c r="BP863" s="497"/>
      <c r="BQ863" s="497"/>
      <c r="BR863" s="497"/>
      <c r="BS863" s="497"/>
      <c r="BT863" s="497"/>
      <c r="BU863" s="497"/>
      <c r="BV863" s="497"/>
      <c r="BW863" s="497"/>
      <c r="BX863" s="497"/>
      <c r="BY863" s="497"/>
      <c r="BZ863" s="497"/>
      <c r="CA863" s="497"/>
      <c r="CB863" s="497"/>
      <c r="CC863" s="497"/>
      <c r="CD863" s="497"/>
      <c r="CE863" s="497"/>
      <c r="CF863" s="497"/>
      <c r="CG863" s="497"/>
      <c r="CH863" s="497"/>
    </row>
    <row r="864" spans="1:86" s="335" customFormat="1">
      <c r="A864" s="517"/>
      <c r="B864" s="517"/>
      <c r="C864" s="517"/>
      <c r="D864" s="517"/>
      <c r="E864" s="517"/>
      <c r="F864" s="517"/>
      <c r="G864" s="517"/>
      <c r="H864" s="639"/>
      <c r="I864" s="639"/>
      <c r="J864" s="336"/>
      <c r="K864" s="2056"/>
      <c r="L864" s="337"/>
      <c r="N864" s="2057"/>
      <c r="O864" s="337"/>
      <c r="P864" s="337"/>
      <c r="Q864" s="337"/>
      <c r="R864" s="337"/>
      <c r="S864" s="337"/>
      <c r="T864" s="337"/>
      <c r="U864" s="497"/>
      <c r="V864" s="497"/>
      <c r="W864" s="497"/>
      <c r="X864" s="497"/>
      <c r="Y864" s="497"/>
      <c r="Z864" s="497"/>
      <c r="AA864" s="497"/>
      <c r="AB864" s="497"/>
      <c r="AC864" s="497"/>
      <c r="AD864" s="497"/>
      <c r="AE864" s="497"/>
      <c r="AF864" s="497"/>
      <c r="AG864" s="497"/>
      <c r="AH864" s="497"/>
      <c r="AI864" s="497"/>
      <c r="AJ864" s="497"/>
      <c r="AK864" s="497"/>
      <c r="AL864" s="497"/>
      <c r="AM864" s="497"/>
      <c r="AN864" s="497"/>
      <c r="AO864" s="497"/>
      <c r="AP864" s="497"/>
      <c r="AQ864" s="497"/>
      <c r="AR864" s="497"/>
      <c r="AS864" s="497"/>
      <c r="AT864" s="497"/>
      <c r="AU864" s="497"/>
      <c r="AV864" s="497"/>
      <c r="AW864" s="497"/>
      <c r="AX864" s="497"/>
      <c r="AY864" s="497"/>
      <c r="AZ864" s="497"/>
      <c r="BA864" s="497"/>
      <c r="BB864" s="497"/>
      <c r="BC864" s="497"/>
      <c r="BD864" s="497"/>
      <c r="BE864" s="497"/>
      <c r="BF864" s="497"/>
      <c r="BG864" s="497"/>
      <c r="BH864" s="497"/>
      <c r="BI864" s="497"/>
      <c r="BJ864" s="497"/>
      <c r="BK864" s="497"/>
      <c r="BL864" s="497"/>
      <c r="BM864" s="497"/>
      <c r="BN864" s="497"/>
      <c r="BO864" s="497"/>
      <c r="BP864" s="497"/>
      <c r="BQ864" s="497"/>
      <c r="BR864" s="497"/>
      <c r="BS864" s="497"/>
      <c r="BT864" s="497"/>
      <c r="BU864" s="497"/>
      <c r="BV864" s="497"/>
      <c r="BW864" s="497"/>
      <c r="BX864" s="497"/>
      <c r="BY864" s="497"/>
      <c r="BZ864" s="497"/>
      <c r="CA864" s="497"/>
      <c r="CB864" s="497"/>
      <c r="CC864" s="497"/>
      <c r="CD864" s="497"/>
      <c r="CE864" s="497"/>
      <c r="CF864" s="497"/>
      <c r="CG864" s="497"/>
      <c r="CH864" s="497"/>
    </row>
    <row r="865" spans="1:86" s="335" customFormat="1">
      <c r="A865" s="517"/>
      <c r="B865" s="517"/>
      <c r="C865" s="517"/>
      <c r="D865" s="517"/>
      <c r="E865" s="517"/>
      <c r="F865" s="517"/>
      <c r="G865" s="517"/>
      <c r="H865" s="639"/>
      <c r="I865" s="639"/>
      <c r="J865" s="336"/>
      <c r="K865" s="2056"/>
      <c r="L865" s="337"/>
      <c r="N865" s="2057"/>
      <c r="O865" s="337"/>
      <c r="P865" s="337"/>
      <c r="Q865" s="337"/>
      <c r="R865" s="337"/>
      <c r="S865" s="337"/>
      <c r="T865" s="337"/>
      <c r="U865" s="497"/>
      <c r="V865" s="497"/>
      <c r="W865" s="497"/>
      <c r="X865" s="497"/>
      <c r="Y865" s="497"/>
      <c r="Z865" s="497"/>
      <c r="AA865" s="497"/>
      <c r="AB865" s="497"/>
      <c r="AC865" s="497"/>
      <c r="AD865" s="497"/>
      <c r="AE865" s="497"/>
      <c r="AF865" s="497"/>
      <c r="AG865" s="497"/>
      <c r="AH865" s="497"/>
      <c r="AI865" s="497"/>
      <c r="AJ865" s="497"/>
      <c r="AK865" s="497"/>
      <c r="AL865" s="497"/>
      <c r="AM865" s="497"/>
      <c r="AN865" s="497"/>
      <c r="AO865" s="497"/>
      <c r="AP865" s="497"/>
      <c r="AQ865" s="497"/>
      <c r="AR865" s="497"/>
      <c r="AS865" s="497"/>
      <c r="AT865" s="497"/>
      <c r="AU865" s="497"/>
      <c r="AV865" s="497"/>
      <c r="AW865" s="497"/>
      <c r="AX865" s="497"/>
      <c r="AY865" s="497"/>
      <c r="AZ865" s="497"/>
      <c r="BA865" s="497"/>
      <c r="BB865" s="497"/>
      <c r="BC865" s="497"/>
      <c r="BD865" s="497"/>
      <c r="BE865" s="497"/>
      <c r="BF865" s="497"/>
      <c r="BG865" s="497"/>
      <c r="BH865" s="497"/>
      <c r="BI865" s="497"/>
      <c r="BJ865" s="497"/>
      <c r="BK865" s="497"/>
      <c r="BL865" s="497"/>
      <c r="BM865" s="497"/>
      <c r="BN865" s="497"/>
      <c r="BO865" s="497"/>
      <c r="BP865" s="497"/>
      <c r="BQ865" s="497"/>
      <c r="BR865" s="497"/>
      <c r="BS865" s="497"/>
      <c r="BT865" s="497"/>
      <c r="BU865" s="497"/>
      <c r="BV865" s="497"/>
      <c r="BW865" s="497"/>
      <c r="BX865" s="497"/>
      <c r="BY865" s="497"/>
      <c r="BZ865" s="497"/>
      <c r="CA865" s="497"/>
      <c r="CB865" s="497"/>
      <c r="CC865" s="497"/>
      <c r="CD865" s="497"/>
      <c r="CE865" s="497"/>
      <c r="CF865" s="497"/>
      <c r="CG865" s="497"/>
      <c r="CH865" s="497"/>
    </row>
    <row r="866" spans="1:86" s="335" customFormat="1">
      <c r="A866" s="517"/>
      <c r="B866" s="517"/>
      <c r="C866" s="517"/>
      <c r="D866" s="517"/>
      <c r="E866" s="517"/>
      <c r="F866" s="517"/>
      <c r="G866" s="517"/>
      <c r="H866" s="639"/>
      <c r="I866" s="639"/>
      <c r="J866" s="336"/>
      <c r="K866" s="2056"/>
      <c r="L866" s="337"/>
      <c r="N866" s="2057"/>
      <c r="O866" s="337"/>
      <c r="P866" s="337"/>
      <c r="Q866" s="337"/>
      <c r="R866" s="337"/>
      <c r="S866" s="337"/>
      <c r="T866" s="337"/>
      <c r="U866" s="497"/>
      <c r="V866" s="497"/>
      <c r="W866" s="497"/>
      <c r="X866" s="497"/>
      <c r="Y866" s="497"/>
      <c r="Z866" s="497"/>
      <c r="AA866" s="497"/>
      <c r="AB866" s="497"/>
      <c r="AC866" s="497"/>
      <c r="AD866" s="497"/>
      <c r="AE866" s="497"/>
      <c r="AF866" s="497"/>
      <c r="AG866" s="497"/>
      <c r="AH866" s="497"/>
      <c r="AI866" s="497"/>
      <c r="AJ866" s="497"/>
      <c r="AK866" s="497"/>
      <c r="AL866" s="497"/>
      <c r="AM866" s="497"/>
      <c r="AN866" s="497"/>
      <c r="AO866" s="497"/>
      <c r="AP866" s="497"/>
      <c r="AQ866" s="497"/>
      <c r="AR866" s="497"/>
      <c r="AS866" s="497"/>
      <c r="AT866" s="497"/>
      <c r="AU866" s="497"/>
      <c r="AV866" s="497"/>
      <c r="AW866" s="497"/>
      <c r="AX866" s="497"/>
      <c r="AY866" s="497"/>
      <c r="AZ866" s="497"/>
      <c r="BA866" s="497"/>
      <c r="BB866" s="497"/>
      <c r="BC866" s="497"/>
      <c r="BD866" s="497"/>
      <c r="BE866" s="497"/>
      <c r="BF866" s="497"/>
      <c r="BG866" s="497"/>
      <c r="BH866" s="497"/>
      <c r="BI866" s="497"/>
      <c r="BJ866" s="497"/>
      <c r="BK866" s="497"/>
      <c r="BL866" s="497"/>
      <c r="BM866" s="497"/>
      <c r="BN866" s="497"/>
      <c r="BO866" s="497"/>
      <c r="BP866" s="497"/>
      <c r="BQ866" s="497"/>
      <c r="BR866" s="497"/>
      <c r="BS866" s="497"/>
      <c r="BT866" s="497"/>
      <c r="BU866" s="497"/>
      <c r="BV866" s="497"/>
      <c r="BW866" s="497"/>
      <c r="BX866" s="497"/>
      <c r="BY866" s="497"/>
      <c r="BZ866" s="497"/>
      <c r="CA866" s="497"/>
      <c r="CB866" s="497"/>
      <c r="CC866" s="497"/>
      <c r="CD866" s="497"/>
      <c r="CE866" s="497"/>
      <c r="CF866" s="497"/>
      <c r="CG866" s="497"/>
      <c r="CH866" s="497"/>
    </row>
    <row r="867" spans="1:86" s="335" customFormat="1">
      <c r="A867" s="517"/>
      <c r="B867" s="517"/>
      <c r="C867" s="517"/>
      <c r="D867" s="517"/>
      <c r="E867" s="517"/>
      <c r="F867" s="517"/>
      <c r="G867" s="517"/>
      <c r="H867" s="639"/>
      <c r="I867" s="639"/>
      <c r="J867" s="336"/>
      <c r="K867" s="2056"/>
      <c r="L867" s="337"/>
      <c r="N867" s="2057"/>
      <c r="O867" s="337"/>
      <c r="P867" s="337"/>
      <c r="Q867" s="337"/>
      <c r="R867" s="337"/>
      <c r="S867" s="337"/>
      <c r="T867" s="337"/>
      <c r="U867" s="497"/>
      <c r="V867" s="497"/>
      <c r="W867" s="497"/>
      <c r="X867" s="497"/>
      <c r="Y867" s="497"/>
      <c r="Z867" s="497"/>
      <c r="AA867" s="497"/>
      <c r="AB867" s="497"/>
      <c r="AC867" s="497"/>
      <c r="AD867" s="497"/>
      <c r="AE867" s="497"/>
      <c r="AF867" s="497"/>
      <c r="AG867" s="497"/>
      <c r="AH867" s="497"/>
      <c r="AI867" s="497"/>
      <c r="AJ867" s="497"/>
      <c r="AK867" s="497"/>
      <c r="AL867" s="497"/>
      <c r="AM867" s="497"/>
      <c r="AN867" s="497"/>
      <c r="AO867" s="497"/>
      <c r="AP867" s="497"/>
      <c r="AQ867" s="497"/>
      <c r="AR867" s="497"/>
      <c r="AS867" s="497"/>
      <c r="AT867" s="497"/>
      <c r="AU867" s="497"/>
      <c r="AV867" s="497"/>
      <c r="AW867" s="497"/>
      <c r="AX867" s="497"/>
      <c r="AY867" s="497"/>
      <c r="AZ867" s="497"/>
      <c r="BA867" s="497"/>
      <c r="BB867" s="497"/>
      <c r="BC867" s="497"/>
      <c r="BD867" s="497"/>
      <c r="BE867" s="497"/>
      <c r="BF867" s="497"/>
      <c r="BG867" s="497"/>
      <c r="BH867" s="497"/>
      <c r="BI867" s="497"/>
      <c r="BJ867" s="497"/>
      <c r="BK867" s="497"/>
      <c r="BL867" s="497"/>
      <c r="BM867" s="497"/>
      <c r="BN867" s="497"/>
      <c r="BO867" s="497"/>
      <c r="BP867" s="497"/>
      <c r="BQ867" s="497"/>
      <c r="BR867" s="497"/>
      <c r="BS867" s="497"/>
      <c r="BT867" s="497"/>
      <c r="BU867" s="497"/>
      <c r="BV867" s="497"/>
      <c r="BW867" s="497"/>
      <c r="BX867" s="497"/>
      <c r="BY867" s="497"/>
      <c r="BZ867" s="497"/>
      <c r="CA867" s="497"/>
      <c r="CB867" s="497"/>
      <c r="CC867" s="497"/>
      <c r="CD867" s="497"/>
      <c r="CE867" s="497"/>
      <c r="CF867" s="497"/>
      <c r="CG867" s="497"/>
      <c r="CH867" s="497"/>
    </row>
    <row r="868" spans="1:86" s="335" customFormat="1">
      <c r="A868" s="517"/>
      <c r="B868" s="517"/>
      <c r="C868" s="517"/>
      <c r="D868" s="517"/>
      <c r="E868" s="517"/>
      <c r="F868" s="517"/>
      <c r="G868" s="517"/>
      <c r="H868" s="639"/>
      <c r="I868" s="639"/>
      <c r="J868" s="336"/>
      <c r="K868" s="2056"/>
      <c r="L868" s="337"/>
      <c r="N868" s="2057"/>
      <c r="O868" s="337"/>
      <c r="P868" s="337"/>
      <c r="Q868" s="337"/>
      <c r="R868" s="337"/>
      <c r="S868" s="337"/>
      <c r="T868" s="337"/>
      <c r="U868" s="497"/>
      <c r="V868" s="497"/>
      <c r="W868" s="497"/>
      <c r="X868" s="497"/>
      <c r="Y868" s="497"/>
      <c r="Z868" s="497"/>
      <c r="AA868" s="497"/>
      <c r="AB868" s="497"/>
      <c r="AC868" s="497"/>
      <c r="AD868" s="497"/>
      <c r="AE868" s="497"/>
      <c r="AF868" s="497"/>
      <c r="AG868" s="497"/>
      <c r="AH868" s="497"/>
      <c r="AI868" s="497"/>
      <c r="AJ868" s="497"/>
      <c r="AK868" s="497"/>
      <c r="AL868" s="497"/>
      <c r="AM868" s="497"/>
      <c r="AN868" s="497"/>
      <c r="AO868" s="497"/>
      <c r="AP868" s="497"/>
      <c r="AQ868" s="497"/>
      <c r="AR868" s="497"/>
      <c r="AS868" s="497"/>
      <c r="AT868" s="497"/>
      <c r="AU868" s="497"/>
      <c r="AV868" s="497"/>
      <c r="AW868" s="497"/>
      <c r="AX868" s="497"/>
      <c r="AY868" s="497"/>
      <c r="AZ868" s="497"/>
      <c r="BA868" s="497"/>
      <c r="BB868" s="497"/>
      <c r="BC868" s="497"/>
      <c r="BD868" s="497"/>
      <c r="BE868" s="497"/>
      <c r="BF868" s="497"/>
      <c r="BG868" s="497"/>
      <c r="BH868" s="497"/>
      <c r="BI868" s="497"/>
      <c r="BJ868" s="497"/>
      <c r="BK868" s="497"/>
      <c r="BL868" s="497"/>
      <c r="BM868" s="497"/>
      <c r="BN868" s="497"/>
      <c r="BO868" s="497"/>
      <c r="BP868" s="497"/>
      <c r="BQ868" s="497"/>
      <c r="BR868" s="497"/>
      <c r="BS868" s="497"/>
      <c r="BT868" s="497"/>
      <c r="BU868" s="497"/>
      <c r="BV868" s="497"/>
      <c r="BW868" s="497"/>
      <c r="BX868" s="497"/>
      <c r="BY868" s="497"/>
      <c r="BZ868" s="497"/>
      <c r="CA868" s="497"/>
      <c r="CB868" s="497"/>
      <c r="CC868" s="497"/>
      <c r="CD868" s="497"/>
      <c r="CE868" s="497"/>
      <c r="CF868" s="497"/>
      <c r="CG868" s="497"/>
      <c r="CH868" s="497"/>
    </row>
    <row r="869" spans="1:86" s="335" customFormat="1">
      <c r="A869" s="517"/>
      <c r="B869" s="517"/>
      <c r="C869" s="517"/>
      <c r="D869" s="517"/>
      <c r="E869" s="517"/>
      <c r="F869" s="517"/>
      <c r="G869" s="517"/>
      <c r="H869" s="639"/>
      <c r="I869" s="639"/>
      <c r="J869" s="336"/>
      <c r="K869" s="2056"/>
      <c r="L869" s="337"/>
      <c r="N869" s="2057"/>
      <c r="O869" s="337"/>
      <c r="P869" s="337"/>
      <c r="Q869" s="337"/>
      <c r="R869" s="337"/>
      <c r="S869" s="337"/>
      <c r="T869" s="337"/>
      <c r="U869" s="497"/>
      <c r="V869" s="497"/>
      <c r="W869" s="497"/>
      <c r="X869" s="497"/>
      <c r="Y869" s="497"/>
      <c r="Z869" s="497"/>
      <c r="AA869" s="497"/>
      <c r="AB869" s="497"/>
      <c r="AC869" s="497"/>
      <c r="AD869" s="497"/>
      <c r="AE869" s="497"/>
      <c r="AF869" s="497"/>
      <c r="AG869" s="497"/>
      <c r="AH869" s="497"/>
      <c r="AI869" s="497"/>
      <c r="AJ869" s="497"/>
      <c r="AK869" s="497"/>
      <c r="AL869" s="497"/>
      <c r="AM869" s="497"/>
      <c r="AN869" s="497"/>
      <c r="AO869" s="497"/>
      <c r="AP869" s="497"/>
      <c r="AQ869" s="497"/>
      <c r="AR869" s="497"/>
      <c r="AS869" s="497"/>
      <c r="AT869" s="497"/>
      <c r="AU869" s="497"/>
      <c r="AV869" s="497"/>
      <c r="AW869" s="497"/>
      <c r="AX869" s="497"/>
      <c r="AY869" s="497"/>
      <c r="AZ869" s="497"/>
      <c r="BA869" s="497"/>
      <c r="BB869" s="497"/>
      <c r="BC869" s="497"/>
      <c r="BD869" s="497"/>
      <c r="BE869" s="497"/>
      <c r="BF869" s="497"/>
      <c r="BG869" s="497"/>
      <c r="BH869" s="497"/>
      <c r="BI869" s="497"/>
      <c r="BJ869" s="497"/>
      <c r="BK869" s="497"/>
      <c r="BL869" s="497"/>
      <c r="BM869" s="497"/>
      <c r="BN869" s="497"/>
      <c r="BO869" s="497"/>
      <c r="BP869" s="497"/>
      <c r="BQ869" s="497"/>
      <c r="BR869" s="497"/>
      <c r="BS869" s="497"/>
      <c r="BT869" s="497"/>
      <c r="BU869" s="497"/>
      <c r="BV869" s="497"/>
      <c r="BW869" s="497"/>
      <c r="BX869" s="497"/>
      <c r="BY869" s="497"/>
      <c r="BZ869" s="497"/>
      <c r="CA869" s="497"/>
      <c r="CB869" s="497"/>
      <c r="CC869" s="497"/>
      <c r="CD869" s="497"/>
      <c r="CE869" s="497"/>
      <c r="CF869" s="497"/>
      <c r="CG869" s="497"/>
      <c r="CH869" s="497"/>
    </row>
    <row r="870" spans="1:86" s="335" customFormat="1">
      <c r="A870" s="517"/>
      <c r="B870" s="517"/>
      <c r="C870" s="517"/>
      <c r="D870" s="517"/>
      <c r="E870" s="517"/>
      <c r="F870" s="517"/>
      <c r="G870" s="517"/>
      <c r="H870" s="639"/>
      <c r="I870" s="639"/>
      <c r="J870" s="336"/>
      <c r="K870" s="2056"/>
      <c r="L870" s="337"/>
      <c r="N870" s="2057"/>
      <c r="O870" s="337"/>
      <c r="P870" s="337"/>
      <c r="Q870" s="337"/>
      <c r="R870" s="337"/>
      <c r="S870" s="337"/>
      <c r="T870" s="337"/>
      <c r="U870" s="497"/>
      <c r="V870" s="497"/>
      <c r="W870" s="497"/>
      <c r="X870" s="497"/>
      <c r="Y870" s="497"/>
      <c r="Z870" s="497"/>
      <c r="AA870" s="497"/>
      <c r="AB870" s="497"/>
      <c r="AC870" s="497"/>
      <c r="AD870" s="497"/>
      <c r="AE870" s="497"/>
      <c r="AF870" s="497"/>
      <c r="AG870" s="497"/>
      <c r="AH870" s="497"/>
      <c r="AI870" s="497"/>
      <c r="AJ870" s="497"/>
      <c r="AK870" s="497"/>
      <c r="AL870" s="497"/>
      <c r="AM870" s="497"/>
      <c r="AN870" s="497"/>
      <c r="AO870" s="497"/>
      <c r="AP870" s="497"/>
      <c r="AQ870" s="497"/>
      <c r="AR870" s="497"/>
      <c r="AS870" s="497"/>
      <c r="AT870" s="497"/>
      <c r="AU870" s="497"/>
      <c r="AV870" s="497"/>
      <c r="AW870" s="497"/>
      <c r="AX870" s="497"/>
      <c r="AY870" s="497"/>
      <c r="AZ870" s="497"/>
      <c r="BA870" s="497"/>
      <c r="BB870" s="497"/>
      <c r="BC870" s="497"/>
      <c r="BD870" s="497"/>
      <c r="BE870" s="497"/>
      <c r="BF870" s="497"/>
      <c r="BG870" s="497"/>
      <c r="BH870" s="497"/>
      <c r="BI870" s="497"/>
      <c r="BJ870" s="497"/>
      <c r="BK870" s="497"/>
      <c r="BL870" s="497"/>
      <c r="BM870" s="497"/>
      <c r="BN870" s="497"/>
      <c r="BO870" s="497"/>
      <c r="BP870" s="497"/>
      <c r="BQ870" s="497"/>
      <c r="BR870" s="497"/>
      <c r="BS870" s="497"/>
      <c r="BT870" s="497"/>
      <c r="BU870" s="497"/>
      <c r="BV870" s="497"/>
      <c r="BW870" s="497"/>
      <c r="BX870" s="497"/>
      <c r="BY870" s="497"/>
      <c r="BZ870" s="497"/>
      <c r="CA870" s="497"/>
      <c r="CB870" s="497"/>
      <c r="CC870" s="497"/>
      <c r="CD870" s="497"/>
      <c r="CE870" s="497"/>
      <c r="CF870" s="497"/>
      <c r="CG870" s="497"/>
      <c r="CH870" s="497"/>
    </row>
    <row r="871" spans="1:86" s="335" customFormat="1">
      <c r="A871" s="517"/>
      <c r="B871" s="517"/>
      <c r="C871" s="517"/>
      <c r="D871" s="517"/>
      <c r="E871" s="517"/>
      <c r="F871" s="517"/>
      <c r="G871" s="517"/>
      <c r="H871" s="639"/>
      <c r="I871" s="639"/>
      <c r="J871" s="336"/>
      <c r="K871" s="2056"/>
      <c r="L871" s="337"/>
      <c r="N871" s="2057"/>
      <c r="O871" s="337"/>
      <c r="P871" s="337"/>
      <c r="Q871" s="337"/>
      <c r="R871" s="337"/>
      <c r="S871" s="337"/>
      <c r="T871" s="337"/>
      <c r="U871" s="497"/>
      <c r="V871" s="497"/>
      <c r="W871" s="497"/>
      <c r="X871" s="497"/>
      <c r="Y871" s="497"/>
      <c r="Z871" s="497"/>
      <c r="AA871" s="497"/>
      <c r="AB871" s="497"/>
      <c r="AC871" s="497"/>
      <c r="AD871" s="497"/>
      <c r="AE871" s="497"/>
      <c r="AF871" s="497"/>
      <c r="AG871" s="497"/>
      <c r="AH871" s="497"/>
      <c r="AI871" s="497"/>
      <c r="AJ871" s="497"/>
      <c r="AK871" s="497"/>
      <c r="AL871" s="497"/>
      <c r="AM871" s="497"/>
      <c r="AN871" s="497"/>
      <c r="AO871" s="497"/>
      <c r="AP871" s="497"/>
      <c r="AQ871" s="497"/>
      <c r="AR871" s="497"/>
      <c r="AS871" s="497"/>
      <c r="AT871" s="497"/>
      <c r="AU871" s="497"/>
      <c r="AV871" s="497"/>
      <c r="AW871" s="497"/>
      <c r="AX871" s="497"/>
      <c r="AY871" s="497"/>
      <c r="AZ871" s="497"/>
      <c r="BA871" s="497"/>
      <c r="BB871" s="497"/>
      <c r="BC871" s="497"/>
      <c r="BD871" s="497"/>
      <c r="BE871" s="497"/>
      <c r="BF871" s="497"/>
      <c r="BG871" s="497"/>
      <c r="BH871" s="497"/>
      <c r="BI871" s="497"/>
      <c r="BJ871" s="497"/>
      <c r="BK871" s="497"/>
      <c r="BL871" s="497"/>
      <c r="BM871" s="497"/>
      <c r="BN871" s="497"/>
      <c r="BO871" s="497"/>
      <c r="BP871" s="497"/>
      <c r="BQ871" s="497"/>
      <c r="BR871" s="497"/>
      <c r="BS871" s="497"/>
      <c r="BT871" s="497"/>
      <c r="BU871" s="497"/>
      <c r="BV871" s="497"/>
      <c r="BW871" s="497"/>
      <c r="BX871" s="497"/>
      <c r="BY871" s="497"/>
      <c r="BZ871" s="497"/>
      <c r="CA871" s="497"/>
      <c r="CB871" s="497"/>
      <c r="CC871" s="497"/>
      <c r="CD871" s="497"/>
      <c r="CE871" s="497"/>
      <c r="CF871" s="497"/>
      <c r="CG871" s="497"/>
      <c r="CH871" s="497"/>
    </row>
    <row r="872" spans="1:86" s="335" customFormat="1">
      <c r="A872" s="517"/>
      <c r="B872" s="517"/>
      <c r="C872" s="517"/>
      <c r="D872" s="517"/>
      <c r="E872" s="517"/>
      <c r="F872" s="517"/>
      <c r="G872" s="517"/>
      <c r="H872" s="639"/>
      <c r="I872" s="639"/>
      <c r="J872" s="336"/>
      <c r="K872" s="2056"/>
      <c r="L872" s="337"/>
      <c r="N872" s="2057"/>
      <c r="O872" s="337"/>
      <c r="P872" s="337"/>
      <c r="Q872" s="337"/>
      <c r="R872" s="337"/>
      <c r="S872" s="337"/>
      <c r="T872" s="337"/>
      <c r="U872" s="497"/>
      <c r="V872" s="497"/>
      <c r="W872" s="497"/>
      <c r="X872" s="497"/>
      <c r="Y872" s="497"/>
      <c r="Z872" s="497"/>
      <c r="AA872" s="497"/>
      <c r="AB872" s="497"/>
      <c r="AC872" s="497"/>
      <c r="AD872" s="497"/>
      <c r="AE872" s="497"/>
      <c r="AF872" s="497"/>
      <c r="AG872" s="497"/>
      <c r="AH872" s="497"/>
      <c r="AI872" s="497"/>
      <c r="AJ872" s="497"/>
      <c r="AK872" s="497"/>
      <c r="AL872" s="497"/>
      <c r="AM872" s="497"/>
      <c r="AN872" s="497"/>
      <c r="AO872" s="497"/>
      <c r="AP872" s="497"/>
      <c r="AQ872" s="497"/>
      <c r="AR872" s="497"/>
      <c r="AS872" s="497"/>
      <c r="AT872" s="497"/>
      <c r="AU872" s="497"/>
      <c r="AV872" s="497"/>
      <c r="AW872" s="497"/>
      <c r="AX872" s="497"/>
      <c r="AY872" s="497"/>
      <c r="AZ872" s="497"/>
      <c r="BA872" s="497"/>
      <c r="BB872" s="497"/>
      <c r="BC872" s="497"/>
      <c r="BD872" s="497"/>
      <c r="BE872" s="497"/>
      <c r="BF872" s="497"/>
      <c r="BG872" s="497"/>
      <c r="BH872" s="497"/>
      <c r="BI872" s="497"/>
      <c r="BJ872" s="497"/>
      <c r="BK872" s="497"/>
      <c r="BL872" s="497"/>
      <c r="BM872" s="497"/>
      <c r="BN872" s="497"/>
      <c r="BO872" s="497"/>
      <c r="BP872" s="497"/>
      <c r="BQ872" s="497"/>
      <c r="BR872" s="497"/>
      <c r="BS872" s="497"/>
      <c r="BT872" s="497"/>
      <c r="BU872" s="497"/>
      <c r="BV872" s="497"/>
      <c r="BW872" s="497"/>
      <c r="BX872" s="497"/>
      <c r="BY872" s="497"/>
      <c r="BZ872" s="497"/>
      <c r="CA872" s="497"/>
      <c r="CB872" s="497"/>
      <c r="CC872" s="497"/>
      <c r="CD872" s="497"/>
      <c r="CE872" s="497"/>
      <c r="CF872" s="497"/>
      <c r="CG872" s="497"/>
      <c r="CH872" s="497"/>
    </row>
    <row r="873" spans="1:86" s="335" customFormat="1">
      <c r="A873" s="517"/>
      <c r="B873" s="517"/>
      <c r="C873" s="517"/>
      <c r="D873" s="517"/>
      <c r="E873" s="517"/>
      <c r="F873" s="517"/>
      <c r="G873" s="517"/>
      <c r="H873" s="639"/>
      <c r="I873" s="639"/>
      <c r="J873" s="336"/>
      <c r="K873" s="2056"/>
      <c r="L873" s="337"/>
      <c r="N873" s="2057"/>
      <c r="O873" s="337"/>
      <c r="P873" s="337"/>
      <c r="Q873" s="337"/>
      <c r="R873" s="337"/>
      <c r="S873" s="337"/>
      <c r="T873" s="337"/>
      <c r="U873" s="497"/>
      <c r="V873" s="497"/>
      <c r="W873" s="497"/>
      <c r="X873" s="497"/>
      <c r="Y873" s="497"/>
      <c r="Z873" s="497"/>
      <c r="AA873" s="497"/>
      <c r="AB873" s="497"/>
      <c r="AC873" s="497"/>
      <c r="AD873" s="497"/>
      <c r="AE873" s="497"/>
      <c r="AF873" s="497"/>
      <c r="AG873" s="497"/>
      <c r="AH873" s="497"/>
      <c r="AI873" s="497"/>
      <c r="AJ873" s="497"/>
      <c r="AK873" s="497"/>
      <c r="AL873" s="497"/>
      <c r="AM873" s="497"/>
      <c r="AN873" s="497"/>
      <c r="AO873" s="497"/>
      <c r="AP873" s="497"/>
      <c r="AQ873" s="497"/>
      <c r="AR873" s="497"/>
      <c r="AS873" s="497"/>
      <c r="AT873" s="497"/>
      <c r="AU873" s="497"/>
      <c r="AV873" s="497"/>
      <c r="AW873" s="497"/>
      <c r="AX873" s="497"/>
      <c r="AY873" s="497"/>
      <c r="AZ873" s="497"/>
      <c r="BA873" s="497"/>
      <c r="BB873" s="497"/>
      <c r="BC873" s="497"/>
      <c r="BD873" s="497"/>
      <c r="BE873" s="497"/>
      <c r="BF873" s="497"/>
      <c r="BG873" s="497"/>
      <c r="BH873" s="497"/>
      <c r="BI873" s="497"/>
      <c r="BJ873" s="497"/>
      <c r="BK873" s="497"/>
      <c r="BL873" s="497"/>
      <c r="BM873" s="497"/>
      <c r="BN873" s="497"/>
      <c r="BO873" s="497"/>
      <c r="BP873" s="497"/>
      <c r="BQ873" s="497"/>
      <c r="BR873" s="497"/>
      <c r="BS873" s="497"/>
      <c r="BT873" s="497"/>
      <c r="BU873" s="497"/>
      <c r="BV873" s="497"/>
      <c r="BW873" s="497"/>
      <c r="BX873" s="497"/>
      <c r="BY873" s="497"/>
      <c r="BZ873" s="497"/>
      <c r="CA873" s="497"/>
      <c r="CB873" s="497"/>
      <c r="CC873" s="497"/>
      <c r="CD873" s="497"/>
      <c r="CE873" s="497"/>
      <c r="CF873" s="497"/>
      <c r="CG873" s="497"/>
      <c r="CH873" s="497"/>
    </row>
    <row r="874" spans="1:86" s="335" customFormat="1">
      <c r="A874" s="517"/>
      <c r="B874" s="517"/>
      <c r="C874" s="517"/>
      <c r="D874" s="517"/>
      <c r="E874" s="517"/>
      <c r="F874" s="517"/>
      <c r="G874" s="517"/>
      <c r="H874" s="639"/>
      <c r="I874" s="639"/>
      <c r="J874" s="336"/>
      <c r="K874" s="2056"/>
      <c r="L874" s="337"/>
      <c r="N874" s="2057"/>
      <c r="O874" s="337"/>
      <c r="P874" s="337"/>
      <c r="Q874" s="337"/>
      <c r="R874" s="337"/>
      <c r="S874" s="337"/>
      <c r="T874" s="337"/>
      <c r="U874" s="497"/>
      <c r="V874" s="497"/>
      <c r="W874" s="497"/>
      <c r="X874" s="497"/>
      <c r="Y874" s="497"/>
      <c r="Z874" s="497"/>
      <c r="AA874" s="497"/>
      <c r="AB874" s="497"/>
      <c r="AC874" s="497"/>
      <c r="AD874" s="497"/>
      <c r="AE874" s="497"/>
      <c r="AF874" s="497"/>
      <c r="AG874" s="497"/>
      <c r="AH874" s="497"/>
      <c r="AI874" s="497"/>
      <c r="AJ874" s="497"/>
      <c r="AK874" s="497"/>
      <c r="AL874" s="497"/>
      <c r="AM874" s="497"/>
      <c r="AN874" s="497"/>
      <c r="AO874" s="497"/>
      <c r="AP874" s="497"/>
      <c r="AQ874" s="497"/>
      <c r="AR874" s="497"/>
      <c r="AS874" s="497"/>
      <c r="AT874" s="497"/>
      <c r="AU874" s="497"/>
      <c r="AV874" s="497"/>
      <c r="AW874" s="497"/>
      <c r="AX874" s="497"/>
      <c r="AY874" s="497"/>
      <c r="AZ874" s="497"/>
      <c r="BA874" s="497"/>
      <c r="BB874" s="497"/>
      <c r="BC874" s="497"/>
      <c r="BD874" s="497"/>
      <c r="BE874" s="497"/>
      <c r="BF874" s="497"/>
      <c r="BG874" s="497"/>
      <c r="BH874" s="497"/>
      <c r="BI874" s="497"/>
      <c r="BJ874" s="497"/>
      <c r="BK874" s="497"/>
      <c r="BL874" s="497"/>
      <c r="BM874" s="497"/>
      <c r="BN874" s="497"/>
      <c r="BO874" s="497"/>
      <c r="BP874" s="497"/>
      <c r="BQ874" s="497"/>
      <c r="BR874" s="497"/>
      <c r="BS874" s="497"/>
      <c r="BT874" s="497"/>
      <c r="BU874" s="497"/>
      <c r="BV874" s="497"/>
      <c r="BW874" s="497"/>
      <c r="BX874" s="497"/>
      <c r="BY874" s="497"/>
      <c r="BZ874" s="497"/>
      <c r="CA874" s="497"/>
      <c r="CB874" s="497"/>
      <c r="CC874" s="497"/>
      <c r="CD874" s="497"/>
      <c r="CE874" s="497"/>
      <c r="CF874" s="497"/>
      <c r="CG874" s="497"/>
      <c r="CH874" s="497"/>
    </row>
    <row r="875" spans="1:86" s="335" customFormat="1">
      <c r="A875" s="517"/>
      <c r="B875" s="517"/>
      <c r="C875" s="517"/>
      <c r="D875" s="517"/>
      <c r="E875" s="517"/>
      <c r="F875" s="517"/>
      <c r="G875" s="517"/>
      <c r="H875" s="639"/>
      <c r="I875" s="639"/>
      <c r="J875" s="336"/>
      <c r="K875" s="2056"/>
      <c r="L875" s="337"/>
      <c r="N875" s="2057"/>
      <c r="O875" s="337"/>
      <c r="P875" s="337"/>
      <c r="Q875" s="337"/>
      <c r="R875" s="337"/>
      <c r="S875" s="337"/>
      <c r="T875" s="337"/>
      <c r="U875" s="497"/>
      <c r="V875" s="497"/>
      <c r="W875" s="497"/>
      <c r="X875" s="497"/>
      <c r="Y875" s="497"/>
      <c r="Z875" s="497"/>
      <c r="AA875" s="497"/>
      <c r="AB875" s="497"/>
      <c r="AC875" s="497"/>
      <c r="AD875" s="497"/>
      <c r="AE875" s="497"/>
      <c r="AF875" s="497"/>
      <c r="AG875" s="497"/>
      <c r="AH875" s="497"/>
      <c r="AI875" s="497"/>
      <c r="AJ875" s="497"/>
      <c r="AK875" s="497"/>
      <c r="AL875" s="497"/>
      <c r="AM875" s="497"/>
      <c r="AN875" s="497"/>
      <c r="AO875" s="497"/>
      <c r="AP875" s="497"/>
      <c r="AQ875" s="497"/>
      <c r="AR875" s="497"/>
      <c r="AS875" s="497"/>
      <c r="AT875" s="497"/>
      <c r="AU875" s="497"/>
      <c r="AV875" s="497"/>
      <c r="AW875" s="497"/>
      <c r="AX875" s="497"/>
      <c r="AY875" s="497"/>
      <c r="AZ875" s="497"/>
      <c r="BA875" s="497"/>
      <c r="BB875" s="497"/>
      <c r="BC875" s="497"/>
      <c r="BD875" s="497"/>
      <c r="BE875" s="497"/>
      <c r="BF875" s="497"/>
      <c r="BG875" s="497"/>
      <c r="BH875" s="497"/>
      <c r="BI875" s="497"/>
      <c r="BJ875" s="497"/>
      <c r="BK875" s="497"/>
      <c r="BL875" s="497"/>
      <c r="BM875" s="497"/>
      <c r="BN875" s="497"/>
      <c r="BO875" s="497"/>
      <c r="BP875" s="497"/>
      <c r="BQ875" s="497"/>
      <c r="BR875" s="497"/>
      <c r="BS875" s="497"/>
      <c r="BT875" s="497"/>
      <c r="BU875" s="497"/>
      <c r="BV875" s="497"/>
      <c r="BW875" s="497"/>
      <c r="BX875" s="497"/>
      <c r="BY875" s="497"/>
      <c r="BZ875" s="497"/>
      <c r="CA875" s="497"/>
      <c r="CB875" s="497"/>
      <c r="CC875" s="497"/>
      <c r="CD875" s="497"/>
      <c r="CE875" s="497"/>
      <c r="CF875" s="497"/>
      <c r="CG875" s="497"/>
      <c r="CH875" s="497"/>
    </row>
    <row r="876" spans="1:86" s="335" customFormat="1">
      <c r="A876" s="517"/>
      <c r="B876" s="517"/>
      <c r="C876" s="517"/>
      <c r="D876" s="517"/>
      <c r="E876" s="517"/>
      <c r="F876" s="517"/>
      <c r="G876" s="517"/>
      <c r="H876" s="639"/>
      <c r="I876" s="639"/>
      <c r="J876" s="336"/>
      <c r="K876" s="2056"/>
      <c r="L876" s="337"/>
      <c r="N876" s="2057"/>
      <c r="O876" s="337"/>
      <c r="P876" s="337"/>
      <c r="Q876" s="337"/>
      <c r="R876" s="337"/>
      <c r="S876" s="337"/>
      <c r="T876" s="337"/>
      <c r="U876" s="497"/>
      <c r="V876" s="497"/>
      <c r="W876" s="497"/>
      <c r="X876" s="497"/>
      <c r="Y876" s="497"/>
      <c r="Z876" s="497"/>
      <c r="AA876" s="497"/>
      <c r="AB876" s="497"/>
      <c r="AC876" s="497"/>
      <c r="AD876" s="497"/>
      <c r="AE876" s="497"/>
      <c r="AF876" s="497"/>
      <c r="AG876" s="497"/>
      <c r="AH876" s="497"/>
      <c r="AI876" s="497"/>
      <c r="AJ876" s="497"/>
      <c r="AK876" s="497"/>
      <c r="AL876" s="497"/>
      <c r="AM876" s="497"/>
      <c r="AN876" s="497"/>
      <c r="AO876" s="497"/>
      <c r="AP876" s="497"/>
      <c r="AQ876" s="497"/>
      <c r="AR876" s="497"/>
      <c r="AS876" s="497"/>
      <c r="AT876" s="497"/>
      <c r="AU876" s="497"/>
      <c r="AV876" s="497"/>
      <c r="AW876" s="497"/>
      <c r="AX876" s="497"/>
      <c r="AY876" s="497"/>
      <c r="AZ876" s="497"/>
      <c r="BA876" s="497"/>
      <c r="BB876" s="497"/>
      <c r="BC876" s="497"/>
      <c r="BD876" s="497"/>
      <c r="BE876" s="497"/>
      <c r="BF876" s="497"/>
      <c r="BG876" s="497"/>
      <c r="BH876" s="497"/>
      <c r="BI876" s="497"/>
      <c r="BJ876" s="497"/>
      <c r="BK876" s="497"/>
      <c r="BL876" s="497"/>
      <c r="BM876" s="497"/>
      <c r="BN876" s="497"/>
      <c r="BO876" s="497"/>
      <c r="BP876" s="497"/>
      <c r="BQ876" s="497"/>
      <c r="BR876" s="497"/>
      <c r="BS876" s="497"/>
      <c r="BT876" s="497"/>
      <c r="BU876" s="497"/>
      <c r="BV876" s="497"/>
      <c r="BW876" s="497"/>
      <c r="BX876" s="497"/>
      <c r="BY876" s="497"/>
      <c r="BZ876" s="497"/>
      <c r="CA876" s="497"/>
      <c r="CB876" s="497"/>
      <c r="CC876" s="497"/>
      <c r="CD876" s="497"/>
      <c r="CE876" s="497"/>
      <c r="CF876" s="497"/>
      <c r="CG876" s="497"/>
      <c r="CH876" s="497"/>
    </row>
    <row r="877" spans="1:86" s="335" customFormat="1">
      <c r="A877" s="517"/>
      <c r="B877" s="517"/>
      <c r="C877" s="517"/>
      <c r="D877" s="517"/>
      <c r="E877" s="517"/>
      <c r="F877" s="517"/>
      <c r="G877" s="517"/>
      <c r="H877" s="639"/>
      <c r="I877" s="639"/>
      <c r="J877" s="336"/>
      <c r="K877" s="2056"/>
      <c r="L877" s="337"/>
      <c r="N877" s="2057"/>
      <c r="O877" s="337"/>
      <c r="P877" s="337"/>
      <c r="Q877" s="337"/>
      <c r="R877" s="337"/>
      <c r="S877" s="337"/>
      <c r="T877" s="337"/>
      <c r="U877" s="497"/>
      <c r="V877" s="497"/>
      <c r="W877" s="497"/>
      <c r="X877" s="497"/>
      <c r="Y877" s="497"/>
      <c r="Z877" s="497"/>
      <c r="AA877" s="497"/>
      <c r="AB877" s="497"/>
      <c r="AC877" s="497"/>
      <c r="AD877" s="497"/>
      <c r="AE877" s="497"/>
      <c r="AF877" s="497"/>
      <c r="AG877" s="497"/>
      <c r="AH877" s="497"/>
      <c r="AI877" s="497"/>
      <c r="AJ877" s="497"/>
      <c r="AK877" s="497"/>
      <c r="AL877" s="497"/>
      <c r="AM877" s="497"/>
      <c r="AN877" s="497"/>
      <c r="AO877" s="497"/>
      <c r="AP877" s="497"/>
      <c r="AQ877" s="497"/>
      <c r="AR877" s="497"/>
      <c r="AS877" s="497"/>
      <c r="AT877" s="497"/>
      <c r="AU877" s="497"/>
      <c r="AV877" s="497"/>
      <c r="AW877" s="497"/>
      <c r="AX877" s="497"/>
      <c r="AY877" s="497"/>
      <c r="AZ877" s="497"/>
      <c r="BA877" s="497"/>
      <c r="BB877" s="497"/>
      <c r="BC877" s="497"/>
      <c r="BD877" s="497"/>
      <c r="BE877" s="497"/>
      <c r="BF877" s="497"/>
      <c r="BG877" s="497"/>
      <c r="BH877" s="497"/>
      <c r="BI877" s="497"/>
      <c r="BJ877" s="497"/>
      <c r="BK877" s="497"/>
      <c r="BL877" s="497"/>
      <c r="BM877" s="497"/>
      <c r="BN877" s="497"/>
      <c r="BO877" s="497"/>
      <c r="BP877" s="497"/>
      <c r="BQ877" s="497"/>
      <c r="BR877" s="497"/>
      <c r="BS877" s="497"/>
      <c r="BT877" s="497"/>
      <c r="BU877" s="497"/>
      <c r="BV877" s="497"/>
      <c r="BW877" s="497"/>
      <c r="BX877" s="497"/>
      <c r="BY877" s="497"/>
      <c r="BZ877" s="497"/>
      <c r="CA877" s="497"/>
      <c r="CB877" s="497"/>
      <c r="CC877" s="497"/>
      <c r="CD877" s="497"/>
      <c r="CE877" s="497"/>
      <c r="CF877" s="497"/>
      <c r="CG877" s="497"/>
      <c r="CH877" s="497"/>
    </row>
    <row r="878" spans="1:86" s="335" customFormat="1">
      <c r="A878" s="517"/>
      <c r="B878" s="517"/>
      <c r="C878" s="517"/>
      <c r="D878" s="517"/>
      <c r="E878" s="517"/>
      <c r="F878" s="517"/>
      <c r="G878" s="517"/>
      <c r="H878" s="639"/>
      <c r="I878" s="639"/>
      <c r="J878" s="336"/>
      <c r="K878" s="2056"/>
      <c r="L878" s="337"/>
      <c r="N878" s="2057"/>
      <c r="O878" s="337"/>
      <c r="P878" s="337"/>
      <c r="Q878" s="337"/>
      <c r="R878" s="337"/>
      <c r="S878" s="337"/>
      <c r="T878" s="337"/>
      <c r="U878" s="497"/>
      <c r="V878" s="497"/>
      <c r="W878" s="497"/>
      <c r="X878" s="497"/>
      <c r="Y878" s="497"/>
      <c r="Z878" s="497"/>
      <c r="AA878" s="497"/>
      <c r="AB878" s="497"/>
      <c r="AC878" s="497"/>
      <c r="AD878" s="497"/>
      <c r="AE878" s="497"/>
      <c r="AF878" s="497"/>
      <c r="AG878" s="497"/>
      <c r="AH878" s="497"/>
      <c r="AI878" s="497"/>
      <c r="AJ878" s="497"/>
      <c r="AK878" s="497"/>
      <c r="AL878" s="497"/>
      <c r="AM878" s="497"/>
      <c r="AN878" s="497"/>
      <c r="AO878" s="497"/>
      <c r="AP878" s="497"/>
      <c r="AQ878" s="497"/>
      <c r="AR878" s="497"/>
      <c r="AS878" s="497"/>
      <c r="AT878" s="497"/>
      <c r="AU878" s="497"/>
      <c r="AV878" s="497"/>
      <c r="AW878" s="497"/>
      <c r="AX878" s="497"/>
      <c r="AY878" s="497"/>
      <c r="AZ878" s="497"/>
      <c r="BA878" s="497"/>
      <c r="BB878" s="497"/>
      <c r="BC878" s="497"/>
      <c r="BD878" s="497"/>
      <c r="BE878" s="497"/>
      <c r="BF878" s="497"/>
      <c r="BG878" s="497"/>
      <c r="BH878" s="497"/>
      <c r="BI878" s="497"/>
      <c r="BJ878" s="497"/>
      <c r="BK878" s="497"/>
      <c r="BL878" s="497"/>
      <c r="BM878" s="497"/>
      <c r="BN878" s="497"/>
      <c r="BO878" s="497"/>
      <c r="BP878" s="497"/>
      <c r="BQ878" s="497"/>
      <c r="BR878" s="497"/>
      <c r="BS878" s="497"/>
      <c r="BT878" s="497"/>
      <c r="BU878" s="497"/>
      <c r="BV878" s="497"/>
      <c r="BW878" s="497"/>
      <c r="BX878" s="497"/>
      <c r="BY878" s="497"/>
      <c r="BZ878" s="497"/>
      <c r="CA878" s="497"/>
      <c r="CB878" s="497"/>
      <c r="CC878" s="497"/>
      <c r="CD878" s="497"/>
      <c r="CE878" s="497"/>
      <c r="CF878" s="497"/>
      <c r="CG878" s="497"/>
      <c r="CH878" s="497"/>
    </row>
    <row r="879" spans="1:86" s="335" customFormat="1">
      <c r="A879" s="517"/>
      <c r="B879" s="517"/>
      <c r="C879" s="517"/>
      <c r="D879" s="517"/>
      <c r="E879" s="517"/>
      <c r="F879" s="517"/>
      <c r="G879" s="517"/>
      <c r="H879" s="639"/>
      <c r="I879" s="639"/>
      <c r="J879" s="336"/>
      <c r="K879" s="2056"/>
      <c r="L879" s="337"/>
      <c r="N879" s="2057"/>
      <c r="O879" s="337"/>
      <c r="P879" s="337"/>
      <c r="Q879" s="337"/>
      <c r="R879" s="337"/>
      <c r="S879" s="337"/>
      <c r="T879" s="337"/>
      <c r="U879" s="497"/>
      <c r="V879" s="497"/>
      <c r="W879" s="497"/>
      <c r="X879" s="497"/>
      <c r="Y879" s="497"/>
      <c r="Z879" s="497"/>
      <c r="AA879" s="497"/>
      <c r="AB879" s="497"/>
      <c r="AC879" s="497"/>
      <c r="AD879" s="497"/>
      <c r="AE879" s="497"/>
      <c r="AF879" s="497"/>
      <c r="AG879" s="497"/>
      <c r="AH879" s="497"/>
      <c r="AI879" s="497"/>
      <c r="AJ879" s="497"/>
      <c r="AK879" s="497"/>
      <c r="AL879" s="497"/>
      <c r="AM879" s="497"/>
      <c r="AN879" s="497"/>
      <c r="AO879" s="497"/>
      <c r="AP879" s="497"/>
      <c r="AQ879" s="497"/>
      <c r="AR879" s="497"/>
      <c r="AS879" s="497"/>
      <c r="AT879" s="497"/>
      <c r="AU879" s="497"/>
      <c r="AV879" s="497"/>
      <c r="AW879" s="497"/>
      <c r="AX879" s="497"/>
      <c r="AY879" s="497"/>
      <c r="AZ879" s="497"/>
      <c r="BA879" s="497"/>
      <c r="BB879" s="497"/>
      <c r="BC879" s="497"/>
      <c r="BD879" s="497"/>
      <c r="BE879" s="497"/>
      <c r="BF879" s="497"/>
      <c r="BG879" s="497"/>
      <c r="BH879" s="497"/>
      <c r="BI879" s="497"/>
      <c r="BJ879" s="497"/>
      <c r="BK879" s="497"/>
      <c r="BL879" s="497"/>
      <c r="BM879" s="497"/>
      <c r="BN879" s="497"/>
      <c r="BO879" s="497"/>
      <c r="BP879" s="497"/>
      <c r="BQ879" s="497"/>
      <c r="BR879" s="497"/>
      <c r="BS879" s="497"/>
      <c r="BT879" s="497"/>
      <c r="BU879" s="497"/>
      <c r="BV879" s="497"/>
      <c r="BW879" s="497"/>
      <c r="BX879" s="497"/>
      <c r="BY879" s="497"/>
      <c r="BZ879" s="497"/>
      <c r="CA879" s="497"/>
      <c r="CB879" s="497"/>
      <c r="CC879" s="497"/>
      <c r="CD879" s="497"/>
      <c r="CE879" s="497"/>
      <c r="CF879" s="497"/>
      <c r="CG879" s="497"/>
      <c r="CH879" s="497"/>
    </row>
    <row r="880" spans="1:86" s="335" customFormat="1">
      <c r="A880" s="517"/>
      <c r="B880" s="517"/>
      <c r="C880" s="517"/>
      <c r="D880" s="517"/>
      <c r="E880" s="517"/>
      <c r="F880" s="517"/>
      <c r="G880" s="517"/>
      <c r="H880" s="639"/>
      <c r="I880" s="639"/>
      <c r="J880" s="336"/>
      <c r="K880" s="2056"/>
      <c r="L880" s="337"/>
      <c r="N880" s="2057"/>
      <c r="O880" s="337"/>
      <c r="P880" s="337"/>
      <c r="Q880" s="337"/>
      <c r="R880" s="337"/>
      <c r="S880" s="337"/>
      <c r="T880" s="337"/>
      <c r="U880" s="497"/>
      <c r="V880" s="497"/>
      <c r="W880" s="497"/>
      <c r="X880" s="497"/>
      <c r="Y880" s="497"/>
      <c r="Z880" s="497"/>
      <c r="AA880" s="497"/>
      <c r="AB880" s="497"/>
      <c r="AC880" s="497"/>
      <c r="AD880" s="497"/>
      <c r="AE880" s="497"/>
      <c r="AF880" s="497"/>
      <c r="AG880" s="497"/>
      <c r="AH880" s="497"/>
      <c r="AI880" s="497"/>
      <c r="AJ880" s="497"/>
      <c r="AK880" s="497"/>
      <c r="AL880" s="497"/>
      <c r="AM880" s="497"/>
      <c r="AN880" s="497"/>
      <c r="AO880" s="497"/>
      <c r="AP880" s="497"/>
      <c r="AQ880" s="497"/>
      <c r="AR880" s="497"/>
      <c r="AS880" s="497"/>
      <c r="AT880" s="497"/>
      <c r="AU880" s="497"/>
      <c r="AV880" s="497"/>
      <c r="AW880" s="497"/>
      <c r="AX880" s="497"/>
      <c r="AY880" s="497"/>
      <c r="AZ880" s="497"/>
      <c r="BA880" s="497"/>
      <c r="BB880" s="497"/>
      <c r="BC880" s="497"/>
      <c r="BD880" s="497"/>
      <c r="BE880" s="497"/>
      <c r="BF880" s="497"/>
      <c r="BG880" s="497"/>
      <c r="BH880" s="497"/>
      <c r="BI880" s="497"/>
      <c r="BJ880" s="497"/>
      <c r="BK880" s="497"/>
      <c r="BL880" s="497"/>
      <c r="BM880" s="497"/>
      <c r="BN880" s="497"/>
      <c r="BO880" s="497"/>
      <c r="BP880" s="497"/>
      <c r="BQ880" s="497"/>
      <c r="BR880" s="497"/>
      <c r="BS880" s="497"/>
      <c r="BT880" s="497"/>
      <c r="BU880" s="497"/>
      <c r="BV880" s="497"/>
      <c r="BW880" s="497"/>
      <c r="BX880" s="497"/>
      <c r="BY880" s="497"/>
      <c r="BZ880" s="497"/>
      <c r="CA880" s="497"/>
      <c r="CB880" s="497"/>
      <c r="CC880" s="497"/>
      <c r="CD880" s="497"/>
      <c r="CE880" s="497"/>
      <c r="CF880" s="497"/>
      <c r="CG880" s="497"/>
      <c r="CH880" s="497"/>
    </row>
    <row r="881" spans="1:86" s="335" customFormat="1">
      <c r="A881" s="517"/>
      <c r="B881" s="517"/>
      <c r="C881" s="517"/>
      <c r="D881" s="517"/>
      <c r="E881" s="517"/>
      <c r="F881" s="517"/>
      <c r="G881" s="517"/>
      <c r="H881" s="639"/>
      <c r="I881" s="639"/>
      <c r="J881" s="336"/>
      <c r="K881" s="2056"/>
      <c r="L881" s="337"/>
      <c r="N881" s="2057"/>
      <c r="O881" s="337"/>
      <c r="P881" s="337"/>
      <c r="Q881" s="337"/>
      <c r="R881" s="337"/>
      <c r="S881" s="337"/>
      <c r="T881" s="337"/>
      <c r="U881" s="497"/>
      <c r="V881" s="497"/>
      <c r="W881" s="497"/>
      <c r="X881" s="497"/>
      <c r="Y881" s="497"/>
      <c r="Z881" s="497"/>
      <c r="AA881" s="497"/>
      <c r="AB881" s="497"/>
      <c r="AC881" s="497"/>
      <c r="AD881" s="497"/>
      <c r="AE881" s="497"/>
      <c r="AF881" s="497"/>
      <c r="AG881" s="497"/>
      <c r="AH881" s="497"/>
      <c r="AI881" s="497"/>
      <c r="AJ881" s="497"/>
      <c r="AK881" s="497"/>
      <c r="AL881" s="497"/>
      <c r="AM881" s="497"/>
      <c r="AN881" s="497"/>
      <c r="AO881" s="497"/>
      <c r="AP881" s="497"/>
      <c r="AQ881" s="497"/>
      <c r="AR881" s="497"/>
      <c r="AS881" s="497"/>
      <c r="AT881" s="497"/>
      <c r="AU881" s="497"/>
      <c r="AV881" s="497"/>
      <c r="AW881" s="497"/>
      <c r="AX881" s="497"/>
      <c r="AY881" s="497"/>
      <c r="AZ881" s="497"/>
      <c r="BA881" s="497"/>
      <c r="BB881" s="497"/>
      <c r="BC881" s="497"/>
      <c r="BD881" s="497"/>
      <c r="BE881" s="497"/>
      <c r="BF881" s="497"/>
      <c r="BG881" s="497"/>
      <c r="BH881" s="497"/>
      <c r="BI881" s="497"/>
      <c r="BJ881" s="497"/>
      <c r="BK881" s="497"/>
      <c r="BL881" s="497"/>
      <c r="BM881" s="497"/>
      <c r="BN881" s="497"/>
      <c r="BO881" s="497"/>
      <c r="BP881" s="497"/>
      <c r="BQ881" s="497"/>
      <c r="BR881" s="497"/>
      <c r="BS881" s="497"/>
      <c r="BT881" s="497"/>
      <c r="BU881" s="497"/>
      <c r="BV881" s="497"/>
      <c r="BW881" s="497"/>
      <c r="BX881" s="497"/>
      <c r="BY881" s="497"/>
      <c r="BZ881" s="497"/>
      <c r="CA881" s="497"/>
      <c r="CB881" s="497"/>
      <c r="CC881" s="497"/>
      <c r="CD881" s="497"/>
      <c r="CE881" s="497"/>
      <c r="CF881" s="497"/>
      <c r="CG881" s="497"/>
      <c r="CH881" s="497"/>
    </row>
    <row r="882" spans="1:86" s="335" customFormat="1">
      <c r="A882" s="517"/>
      <c r="B882" s="517"/>
      <c r="C882" s="517"/>
      <c r="D882" s="517"/>
      <c r="E882" s="517"/>
      <c r="F882" s="517"/>
      <c r="G882" s="517"/>
      <c r="H882" s="639"/>
      <c r="I882" s="639"/>
      <c r="J882" s="336"/>
      <c r="K882" s="2056"/>
      <c r="L882" s="337"/>
      <c r="N882" s="2057"/>
      <c r="O882" s="337"/>
      <c r="P882" s="337"/>
      <c r="Q882" s="337"/>
      <c r="R882" s="337"/>
      <c r="S882" s="337"/>
      <c r="T882" s="337"/>
      <c r="U882" s="497"/>
      <c r="V882" s="497"/>
      <c r="W882" s="497"/>
      <c r="X882" s="497"/>
      <c r="Y882" s="497"/>
      <c r="Z882" s="497"/>
      <c r="AA882" s="497"/>
      <c r="AB882" s="497"/>
      <c r="AC882" s="497"/>
      <c r="AD882" s="497"/>
      <c r="AE882" s="497"/>
      <c r="AF882" s="497"/>
      <c r="AG882" s="497"/>
      <c r="AH882" s="497"/>
      <c r="AI882" s="497"/>
      <c r="AJ882" s="497"/>
      <c r="AK882" s="497"/>
      <c r="AL882" s="497"/>
      <c r="AM882" s="497"/>
      <c r="AN882" s="497"/>
      <c r="AO882" s="497"/>
      <c r="AP882" s="497"/>
      <c r="AQ882" s="497"/>
      <c r="AR882" s="497"/>
      <c r="AS882" s="497"/>
      <c r="AT882" s="497"/>
      <c r="AU882" s="497"/>
      <c r="AV882" s="497"/>
      <c r="AW882" s="497"/>
      <c r="AX882" s="497"/>
      <c r="AY882" s="497"/>
      <c r="AZ882" s="497"/>
      <c r="BA882" s="497"/>
      <c r="BB882" s="497"/>
      <c r="BC882" s="497"/>
      <c r="BD882" s="497"/>
      <c r="BE882" s="497"/>
      <c r="BF882" s="497"/>
      <c r="BG882" s="497"/>
      <c r="BH882" s="497"/>
      <c r="BI882" s="497"/>
      <c r="BJ882" s="497"/>
      <c r="BK882" s="497"/>
      <c r="BL882" s="497"/>
      <c r="BM882" s="497"/>
      <c r="BN882" s="497"/>
      <c r="BO882" s="497"/>
      <c r="BP882" s="497"/>
      <c r="BQ882" s="497"/>
      <c r="BR882" s="497"/>
      <c r="BS882" s="497"/>
      <c r="BT882" s="497"/>
      <c r="BU882" s="497"/>
      <c r="BV882" s="497"/>
      <c r="BW882" s="497"/>
      <c r="BX882" s="497"/>
      <c r="BY882" s="497"/>
      <c r="BZ882" s="497"/>
      <c r="CA882" s="497"/>
      <c r="CB882" s="497"/>
      <c r="CC882" s="497"/>
      <c r="CD882" s="497"/>
      <c r="CE882" s="497"/>
      <c r="CF882" s="497"/>
      <c r="CG882" s="497"/>
      <c r="CH882" s="497"/>
    </row>
    <row r="883" spans="1:86" s="335" customFormat="1">
      <c r="A883" s="517"/>
      <c r="B883" s="517"/>
      <c r="C883" s="517"/>
      <c r="D883" s="517"/>
      <c r="E883" s="517"/>
      <c r="F883" s="517"/>
      <c r="G883" s="517"/>
      <c r="H883" s="639"/>
      <c r="I883" s="639"/>
      <c r="J883" s="336"/>
      <c r="K883" s="2056"/>
      <c r="L883" s="337"/>
      <c r="N883" s="2057"/>
      <c r="O883" s="337"/>
      <c r="P883" s="337"/>
      <c r="Q883" s="337"/>
      <c r="R883" s="337"/>
      <c r="S883" s="337"/>
      <c r="T883" s="337"/>
      <c r="U883" s="497"/>
      <c r="V883" s="497"/>
      <c r="W883" s="497"/>
      <c r="X883" s="497"/>
      <c r="Y883" s="497"/>
      <c r="Z883" s="497"/>
      <c r="AA883" s="497"/>
      <c r="AB883" s="497"/>
      <c r="AC883" s="497"/>
      <c r="AD883" s="497"/>
      <c r="AE883" s="497"/>
      <c r="AF883" s="497"/>
      <c r="AG883" s="497"/>
      <c r="AH883" s="497"/>
      <c r="AI883" s="497"/>
      <c r="AJ883" s="497"/>
      <c r="AK883" s="497"/>
      <c r="AL883" s="497"/>
      <c r="AM883" s="497"/>
      <c r="AN883" s="497"/>
      <c r="AO883" s="497"/>
      <c r="AP883" s="497"/>
      <c r="AQ883" s="497"/>
      <c r="AR883" s="497"/>
      <c r="AS883" s="497"/>
      <c r="AT883" s="497"/>
      <c r="AU883" s="497"/>
      <c r="AV883" s="497"/>
      <c r="AW883" s="497"/>
      <c r="AX883" s="497"/>
      <c r="AY883" s="497"/>
      <c r="AZ883" s="497"/>
      <c r="BA883" s="497"/>
      <c r="BB883" s="497"/>
      <c r="BC883" s="497"/>
      <c r="BD883" s="497"/>
      <c r="BE883" s="497"/>
      <c r="BF883" s="497"/>
      <c r="BG883" s="497"/>
      <c r="BH883" s="497"/>
      <c r="BI883" s="497"/>
      <c r="BJ883" s="497"/>
      <c r="BK883" s="497"/>
      <c r="BL883" s="497"/>
      <c r="BM883" s="497"/>
      <c r="BN883" s="497"/>
      <c r="BO883" s="497"/>
      <c r="BP883" s="497"/>
      <c r="BQ883" s="497"/>
      <c r="BR883" s="497"/>
      <c r="BS883" s="497"/>
      <c r="BT883" s="497"/>
      <c r="BU883" s="497"/>
      <c r="BV883" s="497"/>
      <c r="BW883" s="497"/>
      <c r="BX883" s="497"/>
      <c r="BY883" s="497"/>
      <c r="BZ883" s="497"/>
      <c r="CA883" s="497"/>
      <c r="CB883" s="497"/>
      <c r="CC883" s="497"/>
      <c r="CD883" s="497"/>
      <c r="CE883" s="497"/>
      <c r="CF883" s="497"/>
      <c r="CG883" s="497"/>
      <c r="CH883" s="497"/>
    </row>
    <row r="884" spans="1:86" s="335" customFormat="1">
      <c r="A884" s="517"/>
      <c r="B884" s="517"/>
      <c r="C884" s="517"/>
      <c r="D884" s="517"/>
      <c r="E884" s="517"/>
      <c r="F884" s="517"/>
      <c r="G884" s="517"/>
      <c r="H884" s="639"/>
      <c r="I884" s="639"/>
      <c r="J884" s="336"/>
      <c r="K884" s="2056"/>
      <c r="L884" s="337"/>
      <c r="N884" s="2057"/>
      <c r="O884" s="337"/>
      <c r="P884" s="337"/>
      <c r="Q884" s="337"/>
      <c r="R884" s="337"/>
      <c r="S884" s="337"/>
      <c r="T884" s="337"/>
      <c r="U884" s="497"/>
      <c r="V884" s="497"/>
      <c r="W884" s="497"/>
      <c r="X884" s="497"/>
      <c r="Y884" s="497"/>
      <c r="Z884" s="497"/>
      <c r="AA884" s="497"/>
      <c r="AB884" s="497"/>
      <c r="AC884" s="497"/>
      <c r="AD884" s="497"/>
      <c r="AE884" s="497"/>
      <c r="AF884" s="497"/>
      <c r="AG884" s="497"/>
      <c r="AH884" s="497"/>
      <c r="AI884" s="497"/>
      <c r="AJ884" s="497"/>
      <c r="AK884" s="497"/>
      <c r="AL884" s="497"/>
      <c r="AM884" s="497"/>
      <c r="AN884" s="497"/>
      <c r="AO884" s="497"/>
      <c r="AP884" s="497"/>
      <c r="AQ884" s="497"/>
      <c r="AR884" s="497"/>
      <c r="AS884" s="497"/>
      <c r="AT884" s="497"/>
      <c r="AU884" s="497"/>
      <c r="AV884" s="497"/>
      <c r="AW884" s="497"/>
      <c r="AX884" s="497"/>
      <c r="AY884" s="497"/>
      <c r="AZ884" s="497"/>
      <c r="BA884" s="497"/>
      <c r="BB884" s="497"/>
      <c r="BC884" s="497"/>
      <c r="BD884" s="497"/>
      <c r="BE884" s="497"/>
      <c r="BF884" s="497"/>
      <c r="BG884" s="497"/>
      <c r="BH884" s="497"/>
      <c r="BI884" s="497"/>
      <c r="BJ884" s="497"/>
      <c r="BK884" s="497"/>
      <c r="BL884" s="497"/>
      <c r="BM884" s="497"/>
      <c r="BN884" s="497"/>
      <c r="BO884" s="497"/>
      <c r="BP884" s="497"/>
      <c r="BQ884" s="497"/>
      <c r="BR884" s="497"/>
      <c r="BS884" s="497"/>
      <c r="BT884" s="497"/>
      <c r="BU884" s="497"/>
      <c r="BV884" s="497"/>
      <c r="BW884" s="497"/>
      <c r="BX884" s="497"/>
      <c r="BY884" s="497"/>
      <c r="BZ884" s="497"/>
      <c r="CA884" s="497"/>
      <c r="CB884" s="497"/>
      <c r="CC884" s="497"/>
      <c r="CD884" s="497"/>
      <c r="CE884" s="497"/>
      <c r="CF884" s="497"/>
      <c r="CG884" s="497"/>
      <c r="CH884" s="497"/>
    </row>
    <row r="885" spans="1:86" s="335" customFormat="1">
      <c r="A885" s="517"/>
      <c r="B885" s="517"/>
      <c r="C885" s="517"/>
      <c r="D885" s="517"/>
      <c r="E885" s="517"/>
      <c r="F885" s="517"/>
      <c r="G885" s="517"/>
      <c r="H885" s="639"/>
      <c r="I885" s="639"/>
      <c r="J885" s="336"/>
      <c r="K885" s="2056"/>
      <c r="L885" s="337"/>
      <c r="N885" s="2057"/>
      <c r="O885" s="337"/>
      <c r="P885" s="337"/>
      <c r="Q885" s="337"/>
      <c r="R885" s="337"/>
      <c r="S885" s="337"/>
      <c r="T885" s="337"/>
      <c r="U885" s="497"/>
      <c r="V885" s="497"/>
      <c r="W885" s="497"/>
      <c r="X885" s="497"/>
      <c r="Y885" s="497"/>
      <c r="Z885" s="497"/>
      <c r="AA885" s="497"/>
      <c r="AB885" s="497"/>
      <c r="AC885" s="497"/>
      <c r="AD885" s="497"/>
      <c r="AE885" s="497"/>
      <c r="AF885" s="497"/>
      <c r="AG885" s="497"/>
      <c r="AH885" s="497"/>
      <c r="AI885" s="497"/>
      <c r="AJ885" s="497"/>
      <c r="AK885" s="497"/>
      <c r="AL885" s="497"/>
      <c r="AM885" s="497"/>
      <c r="AN885" s="497"/>
      <c r="AO885" s="497"/>
      <c r="AP885" s="497"/>
      <c r="AQ885" s="497"/>
      <c r="AR885" s="497"/>
      <c r="AS885" s="497"/>
      <c r="AT885" s="497"/>
      <c r="AU885" s="497"/>
      <c r="AV885" s="497"/>
      <c r="AW885" s="497"/>
      <c r="AX885" s="497"/>
      <c r="AY885" s="497"/>
      <c r="AZ885" s="497"/>
      <c r="BA885" s="497"/>
      <c r="BB885" s="497"/>
      <c r="BC885" s="497"/>
      <c r="BD885" s="497"/>
      <c r="BE885" s="497"/>
      <c r="BF885" s="497"/>
      <c r="BG885" s="497"/>
      <c r="BH885" s="497"/>
      <c r="BI885" s="497"/>
      <c r="BJ885" s="497"/>
      <c r="BK885" s="497"/>
      <c r="BL885" s="497"/>
      <c r="BM885" s="497"/>
      <c r="BN885" s="497"/>
      <c r="BO885" s="497"/>
      <c r="BP885" s="497"/>
      <c r="BQ885" s="497"/>
      <c r="BR885" s="497"/>
      <c r="BS885" s="497"/>
      <c r="BT885" s="497"/>
      <c r="BU885" s="497"/>
      <c r="BV885" s="497"/>
      <c r="BW885" s="497"/>
      <c r="BX885" s="497"/>
      <c r="BY885" s="497"/>
      <c r="BZ885" s="497"/>
      <c r="CA885" s="497"/>
      <c r="CB885" s="497"/>
      <c r="CC885" s="497"/>
      <c r="CD885" s="497"/>
      <c r="CE885" s="497"/>
      <c r="CF885" s="497"/>
      <c r="CG885" s="497"/>
      <c r="CH885" s="497"/>
    </row>
    <row r="886" spans="1:86" s="335" customFormat="1">
      <c r="A886" s="517"/>
      <c r="B886" s="517"/>
      <c r="C886" s="517"/>
      <c r="D886" s="517"/>
      <c r="E886" s="517"/>
      <c r="F886" s="517"/>
      <c r="G886" s="517"/>
      <c r="H886" s="639"/>
      <c r="I886" s="639"/>
      <c r="J886" s="336"/>
      <c r="K886" s="2056"/>
      <c r="L886" s="337"/>
      <c r="N886" s="2057"/>
      <c r="O886" s="337"/>
      <c r="P886" s="337"/>
      <c r="Q886" s="337"/>
      <c r="R886" s="337"/>
      <c r="S886" s="337"/>
      <c r="T886" s="337"/>
      <c r="U886" s="497"/>
      <c r="V886" s="497"/>
      <c r="W886" s="497"/>
      <c r="X886" s="497"/>
      <c r="Y886" s="497"/>
      <c r="Z886" s="497"/>
      <c r="AA886" s="497"/>
      <c r="AB886" s="497"/>
      <c r="AC886" s="497"/>
      <c r="AD886" s="497"/>
      <c r="AE886" s="497"/>
      <c r="AF886" s="497"/>
      <c r="AG886" s="497"/>
      <c r="AH886" s="497"/>
      <c r="AI886" s="497"/>
      <c r="AJ886" s="497"/>
      <c r="AK886" s="497"/>
      <c r="AL886" s="497"/>
      <c r="AM886" s="497"/>
      <c r="AN886" s="497"/>
      <c r="AO886" s="497"/>
      <c r="AP886" s="497"/>
      <c r="AQ886" s="497"/>
      <c r="AR886" s="497"/>
      <c r="AS886" s="497"/>
      <c r="AT886" s="497"/>
      <c r="AU886" s="497"/>
      <c r="AV886" s="497"/>
      <c r="AW886" s="497"/>
      <c r="AX886" s="497"/>
      <c r="AY886" s="497"/>
      <c r="AZ886" s="497"/>
      <c r="BA886" s="497"/>
      <c r="BB886" s="497"/>
      <c r="BC886" s="497"/>
      <c r="BD886" s="497"/>
      <c r="BE886" s="497"/>
      <c r="BF886" s="497"/>
      <c r="BG886" s="497"/>
      <c r="BH886" s="497"/>
      <c r="BI886" s="497"/>
      <c r="BJ886" s="497"/>
      <c r="BK886" s="497"/>
      <c r="BL886" s="497"/>
      <c r="BM886" s="497"/>
      <c r="BN886" s="497"/>
      <c r="BO886" s="497"/>
      <c r="BP886" s="497"/>
      <c r="BQ886" s="497"/>
      <c r="BR886" s="497"/>
      <c r="BS886" s="497"/>
      <c r="BT886" s="497"/>
      <c r="BU886" s="497"/>
      <c r="BV886" s="497"/>
      <c r="BW886" s="497"/>
      <c r="BX886" s="497"/>
      <c r="BY886" s="497"/>
      <c r="BZ886" s="497"/>
      <c r="CA886" s="497"/>
      <c r="CB886" s="497"/>
      <c r="CC886" s="497"/>
      <c r="CD886" s="497"/>
      <c r="CE886" s="497"/>
      <c r="CF886" s="497"/>
      <c r="CG886" s="497"/>
      <c r="CH886" s="497"/>
    </row>
    <row r="887" spans="1:86" s="335" customFormat="1">
      <c r="A887" s="517"/>
      <c r="B887" s="517"/>
      <c r="C887" s="517"/>
      <c r="D887" s="517"/>
      <c r="E887" s="517"/>
      <c r="F887" s="517"/>
      <c r="G887" s="517"/>
      <c r="H887" s="639"/>
      <c r="I887" s="639"/>
      <c r="J887" s="336"/>
      <c r="K887" s="2056"/>
      <c r="L887" s="337"/>
      <c r="N887" s="2057"/>
      <c r="O887" s="337"/>
      <c r="P887" s="337"/>
      <c r="Q887" s="337"/>
      <c r="R887" s="337"/>
      <c r="S887" s="337"/>
      <c r="T887" s="337"/>
      <c r="U887" s="497"/>
      <c r="V887" s="497"/>
      <c r="W887" s="497"/>
      <c r="X887" s="497"/>
      <c r="Y887" s="497"/>
      <c r="Z887" s="497"/>
      <c r="AA887" s="497"/>
      <c r="AB887" s="497"/>
      <c r="AC887" s="497"/>
      <c r="AD887" s="497"/>
      <c r="AE887" s="497"/>
      <c r="AF887" s="497"/>
      <c r="AG887" s="497"/>
      <c r="AH887" s="497"/>
      <c r="AI887" s="497"/>
      <c r="AJ887" s="497"/>
      <c r="AK887" s="497"/>
      <c r="AL887" s="497"/>
      <c r="AM887" s="497"/>
      <c r="AN887" s="497"/>
      <c r="AO887" s="497"/>
      <c r="AP887" s="497"/>
      <c r="AQ887" s="497"/>
      <c r="AR887" s="497"/>
      <c r="AS887" s="497"/>
      <c r="AT887" s="497"/>
      <c r="AU887" s="497"/>
      <c r="AV887" s="497"/>
      <c r="AW887" s="497"/>
      <c r="AX887" s="497"/>
      <c r="AY887" s="497"/>
      <c r="AZ887" s="497"/>
      <c r="BA887" s="497"/>
      <c r="BB887" s="497"/>
      <c r="BC887" s="497"/>
      <c r="BD887" s="497"/>
      <c r="BE887" s="497"/>
      <c r="BF887" s="497"/>
      <c r="BG887" s="497"/>
      <c r="BH887" s="497"/>
      <c r="BI887" s="497"/>
      <c r="BJ887" s="497"/>
      <c r="BK887" s="497"/>
      <c r="BL887" s="497"/>
      <c r="BM887" s="497"/>
      <c r="BN887" s="497"/>
      <c r="BO887" s="497"/>
      <c r="BP887" s="497"/>
      <c r="BQ887" s="497"/>
      <c r="BR887" s="497"/>
      <c r="BS887" s="497"/>
      <c r="BT887" s="497"/>
      <c r="BU887" s="497"/>
      <c r="BV887" s="497"/>
      <c r="BW887" s="497"/>
      <c r="BX887" s="497"/>
      <c r="BY887" s="497"/>
      <c r="BZ887" s="497"/>
      <c r="CA887" s="497"/>
      <c r="CB887" s="497"/>
      <c r="CC887" s="497"/>
      <c r="CD887" s="497"/>
      <c r="CE887" s="497"/>
      <c r="CF887" s="497"/>
      <c r="CG887" s="497"/>
      <c r="CH887" s="497"/>
    </row>
    <row r="888" spans="1:86" s="335" customFormat="1">
      <c r="A888" s="517"/>
      <c r="B888" s="517"/>
      <c r="C888" s="517"/>
      <c r="D888" s="517"/>
      <c r="E888" s="517"/>
      <c r="F888" s="517"/>
      <c r="G888" s="517"/>
      <c r="H888" s="639"/>
      <c r="I888" s="639"/>
      <c r="J888" s="336"/>
      <c r="K888" s="2056"/>
      <c r="L888" s="337"/>
      <c r="N888" s="2057"/>
      <c r="O888" s="337"/>
      <c r="P888" s="337"/>
      <c r="Q888" s="337"/>
      <c r="R888" s="337"/>
      <c r="S888" s="337"/>
      <c r="T888" s="337"/>
      <c r="U888" s="497"/>
      <c r="V888" s="497"/>
      <c r="W888" s="497"/>
      <c r="X888" s="497"/>
      <c r="Y888" s="497"/>
      <c r="Z888" s="497"/>
      <c r="AA888" s="497"/>
      <c r="AB888" s="497"/>
      <c r="AC888" s="497"/>
      <c r="AD888" s="497"/>
      <c r="AE888" s="497"/>
      <c r="AF888" s="497"/>
      <c r="AG888" s="497"/>
      <c r="AH888" s="497"/>
      <c r="AI888" s="497"/>
      <c r="AJ888" s="497"/>
      <c r="AK888" s="497"/>
      <c r="AL888" s="497"/>
      <c r="AM888" s="497"/>
      <c r="AN888" s="497"/>
      <c r="AO888" s="497"/>
      <c r="AP888" s="497"/>
      <c r="AQ888" s="497"/>
      <c r="AR888" s="497"/>
      <c r="AS888" s="497"/>
      <c r="AT888" s="497"/>
      <c r="AU888" s="497"/>
      <c r="AV888" s="497"/>
      <c r="AW888" s="497"/>
      <c r="AX888" s="497"/>
      <c r="AY888" s="497"/>
      <c r="AZ888" s="497"/>
      <c r="BA888" s="497"/>
      <c r="BB888" s="497"/>
      <c r="BC888" s="497"/>
      <c r="BD888" s="497"/>
      <c r="BE888" s="497"/>
      <c r="BF888" s="497"/>
      <c r="BG888" s="497"/>
      <c r="BH888" s="497"/>
      <c r="BI888" s="497"/>
      <c r="BJ888" s="497"/>
      <c r="BK888" s="497"/>
      <c r="BL888" s="497"/>
      <c r="BM888" s="497"/>
      <c r="BN888" s="497"/>
      <c r="BO888" s="497"/>
      <c r="BP888" s="497"/>
      <c r="BQ888" s="497"/>
      <c r="BR888" s="497"/>
      <c r="BS888" s="497"/>
      <c r="BT888" s="497"/>
      <c r="BU888" s="497"/>
      <c r="BV888" s="497"/>
      <c r="BW888" s="497"/>
      <c r="BX888" s="497"/>
      <c r="BY888" s="497"/>
      <c r="BZ888" s="497"/>
      <c r="CA888" s="497"/>
      <c r="CB888" s="497"/>
      <c r="CC888" s="497"/>
      <c r="CD888" s="497"/>
      <c r="CE888" s="497"/>
      <c r="CF888" s="497"/>
      <c r="CG888" s="497"/>
      <c r="CH888" s="497"/>
    </row>
    <row r="889" spans="1:86" s="335" customFormat="1">
      <c r="A889" s="517"/>
      <c r="B889" s="517"/>
      <c r="C889" s="517"/>
      <c r="D889" s="517"/>
      <c r="E889" s="517"/>
      <c r="F889" s="517"/>
      <c r="G889" s="517"/>
      <c r="H889" s="639"/>
      <c r="I889" s="639"/>
      <c r="J889" s="336"/>
      <c r="K889" s="2056"/>
      <c r="L889" s="337"/>
      <c r="N889" s="2057"/>
      <c r="O889" s="337"/>
      <c r="P889" s="337"/>
      <c r="Q889" s="337"/>
      <c r="R889" s="337"/>
      <c r="S889" s="337"/>
      <c r="T889" s="337"/>
      <c r="U889" s="497"/>
      <c r="V889" s="497"/>
      <c r="W889" s="497"/>
      <c r="X889" s="497"/>
      <c r="Y889" s="497"/>
      <c r="Z889" s="497"/>
      <c r="AA889" s="497"/>
      <c r="AB889" s="497"/>
      <c r="AC889" s="497"/>
      <c r="AD889" s="497"/>
      <c r="AE889" s="497"/>
      <c r="AF889" s="497"/>
      <c r="AG889" s="497"/>
      <c r="AH889" s="497"/>
      <c r="AI889" s="497"/>
      <c r="AJ889" s="497"/>
      <c r="AK889" s="497"/>
      <c r="AL889" s="497"/>
      <c r="AM889" s="497"/>
      <c r="AN889" s="497"/>
      <c r="AO889" s="497"/>
      <c r="AP889" s="497"/>
      <c r="AQ889" s="497"/>
      <c r="AR889" s="497"/>
      <c r="AS889" s="497"/>
      <c r="AT889" s="497"/>
      <c r="AU889" s="497"/>
      <c r="AV889" s="497"/>
      <c r="AW889" s="497"/>
      <c r="AX889" s="497"/>
      <c r="AY889" s="497"/>
      <c r="AZ889" s="497"/>
      <c r="BA889" s="497"/>
      <c r="BB889" s="497"/>
      <c r="BC889" s="497"/>
      <c r="BD889" s="497"/>
      <c r="BE889" s="497"/>
      <c r="BF889" s="497"/>
      <c r="BG889" s="497"/>
      <c r="BH889" s="497"/>
      <c r="BI889" s="497"/>
      <c r="BJ889" s="497"/>
      <c r="BK889" s="497"/>
      <c r="BL889" s="497"/>
      <c r="BM889" s="497"/>
      <c r="BN889" s="497"/>
      <c r="BO889" s="497"/>
      <c r="BP889" s="497"/>
      <c r="BQ889" s="497"/>
      <c r="BR889" s="497"/>
      <c r="BS889" s="497"/>
      <c r="BT889" s="497"/>
      <c r="BU889" s="497"/>
      <c r="BV889" s="497"/>
      <c r="BW889" s="497"/>
      <c r="BX889" s="497"/>
      <c r="BY889" s="497"/>
      <c r="BZ889" s="497"/>
      <c r="CA889" s="497"/>
      <c r="CB889" s="497"/>
      <c r="CC889" s="497"/>
      <c r="CD889" s="497"/>
      <c r="CE889" s="497"/>
      <c r="CF889" s="497"/>
      <c r="CG889" s="497"/>
      <c r="CH889" s="497"/>
    </row>
    <row r="890" spans="1:86" s="335" customFormat="1">
      <c r="A890" s="517"/>
      <c r="B890" s="517"/>
      <c r="C890" s="517"/>
      <c r="D890" s="517"/>
      <c r="E890" s="517"/>
      <c r="F890" s="517"/>
      <c r="G890" s="517"/>
      <c r="H890" s="639"/>
      <c r="I890" s="639"/>
      <c r="J890" s="336"/>
      <c r="K890" s="2056"/>
      <c r="L890" s="337"/>
      <c r="N890" s="2057"/>
      <c r="O890" s="337"/>
      <c r="P890" s="337"/>
      <c r="Q890" s="337"/>
      <c r="R890" s="337"/>
      <c r="S890" s="337"/>
      <c r="T890" s="337"/>
      <c r="U890" s="497"/>
      <c r="V890" s="497"/>
      <c r="W890" s="497"/>
      <c r="X890" s="497"/>
      <c r="Y890" s="497"/>
      <c r="Z890" s="497"/>
      <c r="AA890" s="497"/>
      <c r="AB890" s="497"/>
      <c r="AC890" s="497"/>
      <c r="AD890" s="497"/>
      <c r="AE890" s="497"/>
      <c r="AF890" s="497"/>
      <c r="AG890" s="497"/>
      <c r="AH890" s="497"/>
      <c r="AI890" s="497"/>
      <c r="AJ890" s="497"/>
      <c r="AK890" s="497"/>
      <c r="AL890" s="497"/>
      <c r="AM890" s="497"/>
      <c r="AN890" s="497"/>
      <c r="AO890" s="497"/>
      <c r="AP890" s="497"/>
      <c r="AQ890" s="497"/>
      <c r="AR890" s="497"/>
      <c r="AS890" s="497"/>
      <c r="AT890" s="497"/>
      <c r="AU890" s="497"/>
      <c r="AV890" s="497"/>
      <c r="AW890" s="497"/>
      <c r="AX890" s="497"/>
      <c r="AY890" s="497"/>
      <c r="AZ890" s="497"/>
      <c r="BA890" s="497"/>
      <c r="BB890" s="497"/>
      <c r="BC890" s="497"/>
      <c r="BD890" s="497"/>
      <c r="BE890" s="497"/>
      <c r="BF890" s="497"/>
      <c r="BG890" s="497"/>
      <c r="BH890" s="497"/>
      <c r="BI890" s="497"/>
      <c r="BJ890" s="497"/>
      <c r="BK890" s="497"/>
      <c r="BL890" s="497"/>
      <c r="BM890" s="497"/>
      <c r="BN890" s="497"/>
      <c r="BO890" s="497"/>
      <c r="BP890" s="497"/>
      <c r="BQ890" s="497"/>
      <c r="BR890" s="497"/>
      <c r="BS890" s="497"/>
      <c r="BT890" s="497"/>
      <c r="BU890" s="497"/>
      <c r="BV890" s="497"/>
      <c r="BW890" s="497"/>
      <c r="BX890" s="497"/>
      <c r="BY890" s="497"/>
      <c r="BZ890" s="497"/>
      <c r="CA890" s="497"/>
      <c r="CB890" s="497"/>
      <c r="CC890" s="497"/>
      <c r="CD890" s="497"/>
      <c r="CE890" s="497"/>
      <c r="CF890" s="497"/>
      <c r="CG890" s="497"/>
      <c r="CH890" s="497"/>
    </row>
    <row r="891" spans="1:86" s="335" customFormat="1">
      <c r="A891" s="517"/>
      <c r="B891" s="517"/>
      <c r="C891" s="517"/>
      <c r="D891" s="517"/>
      <c r="E891" s="517"/>
      <c r="F891" s="517"/>
      <c r="G891" s="517"/>
      <c r="H891" s="639"/>
      <c r="I891" s="639"/>
      <c r="J891" s="336"/>
      <c r="K891" s="2056"/>
      <c r="L891" s="337"/>
      <c r="N891" s="2057"/>
      <c r="O891" s="337"/>
      <c r="P891" s="337"/>
      <c r="Q891" s="337"/>
      <c r="R891" s="337"/>
      <c r="S891" s="337"/>
      <c r="T891" s="337"/>
      <c r="U891" s="497"/>
      <c r="V891" s="497"/>
      <c r="W891" s="497"/>
      <c r="X891" s="497"/>
      <c r="Y891" s="497"/>
      <c r="Z891" s="497"/>
      <c r="AA891" s="497"/>
      <c r="AB891" s="497"/>
      <c r="AC891" s="497"/>
      <c r="AD891" s="497"/>
      <c r="AE891" s="497"/>
      <c r="AF891" s="497"/>
      <c r="AG891" s="497"/>
      <c r="AH891" s="497"/>
      <c r="AI891" s="497"/>
      <c r="AJ891" s="497"/>
      <c r="AK891" s="497"/>
      <c r="AL891" s="497"/>
      <c r="AM891" s="497"/>
      <c r="AN891" s="497"/>
      <c r="AO891" s="497"/>
      <c r="AP891" s="497"/>
      <c r="AQ891" s="497"/>
      <c r="AR891" s="497"/>
      <c r="AS891" s="497"/>
      <c r="AT891" s="497"/>
      <c r="AU891" s="497"/>
      <c r="AV891" s="497"/>
      <c r="AW891" s="497"/>
      <c r="AX891" s="497"/>
      <c r="AY891" s="497"/>
      <c r="AZ891" s="497"/>
      <c r="BA891" s="497"/>
      <c r="BB891" s="497"/>
      <c r="BC891" s="497"/>
      <c r="BD891" s="497"/>
      <c r="BE891" s="497"/>
      <c r="BF891" s="497"/>
      <c r="BG891" s="497"/>
      <c r="BH891" s="497"/>
      <c r="BI891" s="497"/>
      <c r="BJ891" s="497"/>
      <c r="BK891" s="497"/>
      <c r="BL891" s="497"/>
      <c r="BM891" s="497"/>
      <c r="BN891" s="497"/>
      <c r="BO891" s="497"/>
      <c r="BP891" s="497"/>
      <c r="BQ891" s="497"/>
      <c r="BR891" s="497"/>
      <c r="BS891" s="497"/>
      <c r="BT891" s="497"/>
      <c r="BU891" s="497"/>
      <c r="BV891" s="497"/>
      <c r="BW891" s="497"/>
      <c r="BX891" s="497"/>
      <c r="BY891" s="497"/>
      <c r="BZ891" s="497"/>
      <c r="CA891" s="497"/>
      <c r="CB891" s="497"/>
      <c r="CC891" s="497"/>
      <c r="CD891" s="497"/>
      <c r="CE891" s="497"/>
      <c r="CF891" s="497"/>
      <c r="CG891" s="497"/>
      <c r="CH891" s="497"/>
    </row>
    <row r="892" spans="1:86" s="335" customFormat="1">
      <c r="A892" s="517"/>
      <c r="B892" s="517"/>
      <c r="C892" s="517"/>
      <c r="D892" s="517"/>
      <c r="E892" s="517"/>
      <c r="F892" s="517"/>
      <c r="G892" s="517"/>
      <c r="H892" s="639"/>
      <c r="I892" s="639"/>
      <c r="J892" s="336"/>
      <c r="K892" s="2056"/>
      <c r="L892" s="337"/>
      <c r="N892" s="2057"/>
      <c r="O892" s="337"/>
      <c r="P892" s="337"/>
      <c r="Q892" s="337"/>
      <c r="R892" s="337"/>
      <c r="S892" s="337"/>
      <c r="T892" s="337"/>
      <c r="U892" s="497"/>
      <c r="V892" s="497"/>
      <c r="W892" s="497"/>
      <c r="X892" s="497"/>
      <c r="Y892" s="497"/>
      <c r="Z892" s="497"/>
      <c r="AA892" s="497"/>
      <c r="AB892" s="497"/>
      <c r="AC892" s="497"/>
      <c r="AD892" s="497"/>
      <c r="AE892" s="497"/>
      <c r="AF892" s="497"/>
      <c r="AG892" s="497"/>
      <c r="AH892" s="497"/>
      <c r="AI892" s="497"/>
      <c r="AJ892" s="497"/>
      <c r="AK892" s="497"/>
      <c r="AL892" s="497"/>
      <c r="AM892" s="497"/>
      <c r="AN892" s="497"/>
      <c r="AO892" s="497"/>
      <c r="AP892" s="497"/>
      <c r="AQ892" s="497"/>
      <c r="AR892" s="497"/>
      <c r="AS892" s="497"/>
      <c r="AT892" s="497"/>
      <c r="AU892" s="497"/>
      <c r="AV892" s="497"/>
      <c r="AW892" s="497"/>
      <c r="AX892" s="497"/>
      <c r="AY892" s="497"/>
      <c r="AZ892" s="497"/>
      <c r="BA892" s="497"/>
      <c r="BB892" s="497"/>
      <c r="BC892" s="497"/>
      <c r="BD892" s="497"/>
      <c r="BE892" s="497"/>
      <c r="BF892" s="497"/>
      <c r="BG892" s="497"/>
      <c r="BH892" s="497"/>
      <c r="BI892" s="497"/>
      <c r="BJ892" s="497"/>
      <c r="BK892" s="497"/>
      <c r="BL892" s="497"/>
      <c r="BM892" s="497"/>
      <c r="BN892" s="497"/>
      <c r="BO892" s="497"/>
      <c r="BP892" s="497"/>
      <c r="BQ892" s="497"/>
      <c r="BR892" s="497"/>
      <c r="BS892" s="497"/>
      <c r="BT892" s="497"/>
      <c r="BU892" s="497"/>
      <c r="BV892" s="497"/>
      <c r="BW892" s="497"/>
      <c r="BX892" s="497"/>
      <c r="BY892" s="497"/>
      <c r="BZ892" s="497"/>
      <c r="CA892" s="497"/>
      <c r="CB892" s="497"/>
      <c r="CC892" s="497"/>
      <c r="CD892" s="497"/>
      <c r="CE892" s="497"/>
      <c r="CF892" s="497"/>
      <c r="CG892" s="497"/>
      <c r="CH892" s="497"/>
    </row>
    <row r="893" spans="1:86" s="335" customFormat="1">
      <c r="A893" s="517"/>
      <c r="B893" s="517"/>
      <c r="C893" s="517"/>
      <c r="D893" s="517"/>
      <c r="E893" s="517"/>
      <c r="F893" s="517"/>
      <c r="G893" s="517"/>
      <c r="H893" s="639"/>
      <c r="I893" s="639"/>
      <c r="J893" s="336"/>
      <c r="K893" s="2056"/>
      <c r="L893" s="337"/>
      <c r="N893" s="2057"/>
      <c r="O893" s="337"/>
      <c r="P893" s="337"/>
      <c r="Q893" s="337"/>
      <c r="R893" s="337"/>
      <c r="S893" s="337"/>
      <c r="T893" s="337"/>
      <c r="U893" s="497"/>
      <c r="V893" s="497"/>
      <c r="W893" s="497"/>
      <c r="X893" s="497"/>
      <c r="Y893" s="497"/>
      <c r="Z893" s="497"/>
      <c r="AA893" s="497"/>
      <c r="AB893" s="497"/>
      <c r="AC893" s="497"/>
      <c r="AD893" s="497"/>
      <c r="AE893" s="497"/>
      <c r="AF893" s="497"/>
      <c r="AG893" s="497"/>
      <c r="AH893" s="497"/>
      <c r="AI893" s="497"/>
      <c r="AJ893" s="497"/>
      <c r="AK893" s="497"/>
      <c r="AL893" s="497"/>
      <c r="AM893" s="497"/>
      <c r="AN893" s="497"/>
      <c r="AO893" s="497"/>
      <c r="AP893" s="497"/>
      <c r="AQ893" s="497"/>
      <c r="AR893" s="497"/>
      <c r="AS893" s="497"/>
      <c r="AT893" s="497"/>
      <c r="AU893" s="497"/>
      <c r="AV893" s="497"/>
      <c r="AW893" s="497"/>
      <c r="AX893" s="497"/>
      <c r="AY893" s="497"/>
      <c r="AZ893" s="497"/>
      <c r="BA893" s="497"/>
      <c r="BB893" s="497"/>
      <c r="BC893" s="497"/>
      <c r="BD893" s="497"/>
      <c r="BE893" s="497"/>
      <c r="BF893" s="497"/>
      <c r="BG893" s="497"/>
      <c r="BH893" s="497"/>
      <c r="BI893" s="497"/>
      <c r="BJ893" s="497"/>
      <c r="BK893" s="497"/>
      <c r="BL893" s="497"/>
      <c r="BM893" s="497"/>
      <c r="BN893" s="497"/>
      <c r="BO893" s="497"/>
      <c r="BP893" s="497"/>
      <c r="BQ893" s="497"/>
      <c r="BR893" s="497"/>
      <c r="BS893" s="497"/>
      <c r="BT893" s="497"/>
      <c r="BU893" s="497"/>
      <c r="BV893" s="497"/>
      <c r="BW893" s="497"/>
      <c r="BX893" s="497"/>
      <c r="BY893" s="497"/>
      <c r="BZ893" s="497"/>
      <c r="CA893" s="497"/>
      <c r="CB893" s="497"/>
      <c r="CC893" s="497"/>
      <c r="CD893" s="497"/>
      <c r="CE893" s="497"/>
      <c r="CF893" s="497"/>
      <c r="CG893" s="497"/>
      <c r="CH893" s="497"/>
    </row>
    <row r="894" spans="1:86" s="335" customFormat="1">
      <c r="A894" s="517"/>
      <c r="B894" s="517"/>
      <c r="C894" s="517"/>
      <c r="D894" s="517"/>
      <c r="E894" s="517"/>
      <c r="F894" s="517"/>
      <c r="G894" s="517"/>
      <c r="H894" s="639"/>
      <c r="I894" s="639"/>
      <c r="J894" s="336"/>
      <c r="K894" s="2056"/>
      <c r="L894" s="337"/>
      <c r="N894" s="2057"/>
      <c r="O894" s="337"/>
      <c r="P894" s="337"/>
      <c r="Q894" s="337"/>
      <c r="R894" s="337"/>
      <c r="S894" s="337"/>
      <c r="T894" s="337"/>
      <c r="U894" s="497"/>
      <c r="V894" s="497"/>
      <c r="W894" s="497"/>
      <c r="X894" s="497"/>
      <c r="Y894" s="497"/>
      <c r="Z894" s="497"/>
      <c r="AA894" s="497"/>
      <c r="AB894" s="497"/>
      <c r="AC894" s="497"/>
      <c r="AD894" s="497"/>
      <c r="AE894" s="497"/>
      <c r="AF894" s="497"/>
      <c r="AG894" s="497"/>
      <c r="AH894" s="497"/>
      <c r="AI894" s="497"/>
      <c r="AJ894" s="497"/>
      <c r="AK894" s="497"/>
      <c r="AL894" s="497"/>
      <c r="AM894" s="497"/>
      <c r="AN894" s="497"/>
      <c r="AO894" s="497"/>
      <c r="AP894" s="497"/>
      <c r="AQ894" s="497"/>
      <c r="AR894" s="497"/>
      <c r="AS894" s="497"/>
      <c r="AT894" s="497"/>
      <c r="AU894" s="497"/>
      <c r="AV894" s="497"/>
      <c r="AW894" s="497"/>
      <c r="AX894" s="497"/>
      <c r="AY894" s="497"/>
      <c r="AZ894" s="497"/>
      <c r="BA894" s="497"/>
      <c r="BB894" s="497"/>
      <c r="BC894" s="497"/>
      <c r="BD894" s="497"/>
      <c r="BE894" s="497"/>
      <c r="BF894" s="497"/>
      <c r="BG894" s="497"/>
      <c r="BH894" s="497"/>
      <c r="BI894" s="497"/>
      <c r="BJ894" s="497"/>
      <c r="BK894" s="497"/>
      <c r="BL894" s="497"/>
      <c r="BM894" s="497"/>
      <c r="BN894" s="497"/>
      <c r="BO894" s="497"/>
      <c r="BP894" s="497"/>
      <c r="BQ894" s="497"/>
      <c r="BR894" s="497"/>
      <c r="BS894" s="497"/>
      <c r="BT894" s="497"/>
      <c r="BU894" s="497"/>
      <c r="BV894" s="497"/>
      <c r="BW894" s="497"/>
      <c r="BX894" s="497"/>
      <c r="BY894" s="497"/>
      <c r="BZ894" s="497"/>
      <c r="CA894" s="497"/>
      <c r="CB894" s="497"/>
      <c r="CC894" s="497"/>
      <c r="CD894" s="497"/>
      <c r="CE894" s="497"/>
      <c r="CF894" s="497"/>
      <c r="CG894" s="497"/>
      <c r="CH894" s="497"/>
    </row>
    <row r="895" spans="1:86" s="335" customFormat="1">
      <c r="A895" s="517"/>
      <c r="B895" s="517"/>
      <c r="C895" s="517"/>
      <c r="D895" s="517"/>
      <c r="E895" s="517"/>
      <c r="F895" s="517"/>
      <c r="G895" s="517"/>
      <c r="H895" s="639"/>
      <c r="I895" s="639"/>
      <c r="J895" s="336"/>
      <c r="K895" s="2056"/>
      <c r="L895" s="337"/>
      <c r="N895" s="2057"/>
      <c r="O895" s="337"/>
      <c r="P895" s="337"/>
      <c r="Q895" s="337"/>
      <c r="R895" s="337"/>
      <c r="S895" s="337"/>
      <c r="T895" s="337"/>
      <c r="U895" s="497"/>
      <c r="V895" s="497"/>
      <c r="W895" s="497"/>
      <c r="X895" s="497"/>
      <c r="Y895" s="497"/>
      <c r="Z895" s="497"/>
      <c r="AA895" s="497"/>
      <c r="AB895" s="497"/>
      <c r="AC895" s="497"/>
      <c r="AD895" s="497"/>
      <c r="AE895" s="497"/>
      <c r="AF895" s="497"/>
      <c r="AG895" s="497"/>
      <c r="AH895" s="497"/>
      <c r="AI895" s="497"/>
      <c r="AJ895" s="497"/>
      <c r="AK895" s="497"/>
      <c r="AL895" s="497"/>
      <c r="AM895" s="497"/>
      <c r="AN895" s="497"/>
      <c r="AO895" s="497"/>
      <c r="AP895" s="497"/>
      <c r="AQ895" s="497"/>
      <c r="AR895" s="497"/>
      <c r="AS895" s="497"/>
      <c r="AT895" s="497"/>
      <c r="AU895" s="497"/>
      <c r="AV895" s="497"/>
      <c r="AW895" s="497"/>
      <c r="AX895" s="497"/>
      <c r="AY895" s="497"/>
      <c r="AZ895" s="497"/>
      <c r="BA895" s="497"/>
      <c r="BB895" s="497"/>
      <c r="BC895" s="497"/>
      <c r="BD895" s="497"/>
      <c r="BE895" s="497"/>
      <c r="BF895" s="497"/>
      <c r="BG895" s="497"/>
      <c r="BH895" s="497"/>
      <c r="BI895" s="497"/>
      <c r="BJ895" s="497"/>
      <c r="BK895" s="497"/>
      <c r="BL895" s="497"/>
      <c r="BM895" s="497"/>
      <c r="BN895" s="497"/>
      <c r="BO895" s="497"/>
      <c r="BP895" s="497"/>
      <c r="BQ895" s="497"/>
      <c r="BR895" s="497"/>
      <c r="BS895" s="497"/>
      <c r="BT895" s="497"/>
      <c r="BU895" s="497"/>
      <c r="BV895" s="497"/>
      <c r="BW895" s="497"/>
      <c r="BX895" s="497"/>
      <c r="BY895" s="497"/>
      <c r="BZ895" s="497"/>
      <c r="CA895" s="497"/>
      <c r="CB895" s="497"/>
      <c r="CC895" s="497"/>
      <c r="CD895" s="497"/>
      <c r="CE895" s="497"/>
      <c r="CF895" s="497"/>
      <c r="CG895" s="497"/>
      <c r="CH895" s="497"/>
    </row>
    <row r="896" spans="1:86" s="335" customFormat="1">
      <c r="A896" s="517"/>
      <c r="B896" s="517"/>
      <c r="C896" s="517"/>
      <c r="D896" s="517"/>
      <c r="E896" s="517"/>
      <c r="F896" s="517"/>
      <c r="G896" s="517"/>
      <c r="H896" s="639"/>
      <c r="I896" s="639"/>
      <c r="J896" s="336"/>
      <c r="K896" s="2056"/>
      <c r="L896" s="337"/>
      <c r="N896" s="2057"/>
      <c r="O896" s="337"/>
      <c r="P896" s="337"/>
      <c r="Q896" s="337"/>
      <c r="R896" s="337"/>
      <c r="S896" s="337"/>
      <c r="T896" s="337"/>
      <c r="U896" s="497"/>
      <c r="V896" s="497"/>
      <c r="W896" s="497"/>
      <c r="X896" s="497"/>
      <c r="Y896" s="497"/>
      <c r="Z896" s="497"/>
      <c r="AA896" s="497"/>
      <c r="AB896" s="497"/>
      <c r="AC896" s="497"/>
      <c r="AD896" s="497"/>
      <c r="AE896" s="497"/>
      <c r="AF896" s="497"/>
      <c r="AG896" s="497"/>
      <c r="AH896" s="497"/>
      <c r="AI896" s="497"/>
      <c r="AJ896" s="497"/>
      <c r="AK896" s="497"/>
      <c r="AL896" s="497"/>
      <c r="AM896" s="497"/>
      <c r="AN896" s="497"/>
      <c r="AO896" s="497"/>
      <c r="AP896" s="497"/>
      <c r="AQ896" s="497"/>
      <c r="AR896" s="497"/>
      <c r="AS896" s="497"/>
      <c r="AT896" s="497"/>
      <c r="AU896" s="497"/>
      <c r="AV896" s="497"/>
      <c r="AW896" s="497"/>
      <c r="AX896" s="497"/>
      <c r="AY896" s="497"/>
      <c r="AZ896" s="497"/>
      <c r="BA896" s="497"/>
      <c r="BB896" s="497"/>
      <c r="BC896" s="497"/>
      <c r="BD896" s="497"/>
      <c r="BE896" s="497"/>
      <c r="BF896" s="497"/>
      <c r="BG896" s="497"/>
      <c r="BH896" s="497"/>
      <c r="BI896" s="497"/>
      <c r="BJ896" s="497"/>
      <c r="BK896" s="497"/>
      <c r="BL896" s="497"/>
      <c r="BM896" s="497"/>
      <c r="BN896" s="497"/>
      <c r="BO896" s="497"/>
      <c r="BP896" s="497"/>
      <c r="BQ896" s="497"/>
      <c r="BR896" s="497"/>
      <c r="BS896" s="497"/>
      <c r="BT896" s="497"/>
      <c r="BU896" s="497"/>
      <c r="BV896" s="497"/>
      <c r="BW896" s="497"/>
      <c r="BX896" s="497"/>
      <c r="BY896" s="497"/>
      <c r="BZ896" s="497"/>
      <c r="CA896" s="497"/>
      <c r="CB896" s="497"/>
      <c r="CC896" s="497"/>
      <c r="CD896" s="497"/>
      <c r="CE896" s="497"/>
      <c r="CF896" s="497"/>
      <c r="CG896" s="497"/>
      <c r="CH896" s="497"/>
    </row>
    <row r="897" spans="1:86" s="335" customFormat="1">
      <c r="A897" s="517"/>
      <c r="B897" s="517"/>
      <c r="C897" s="517"/>
      <c r="D897" s="517"/>
      <c r="E897" s="517"/>
      <c r="F897" s="517"/>
      <c r="G897" s="517"/>
      <c r="H897" s="639"/>
      <c r="I897" s="639"/>
      <c r="J897" s="336"/>
      <c r="K897" s="2056"/>
      <c r="L897" s="337"/>
      <c r="N897" s="2057"/>
      <c r="O897" s="337"/>
      <c r="P897" s="337"/>
      <c r="Q897" s="337"/>
      <c r="R897" s="337"/>
      <c r="S897" s="337"/>
      <c r="T897" s="337"/>
      <c r="U897" s="497"/>
      <c r="V897" s="497"/>
      <c r="W897" s="497"/>
      <c r="X897" s="497"/>
      <c r="Y897" s="497"/>
      <c r="Z897" s="497"/>
      <c r="AA897" s="497"/>
      <c r="AB897" s="497"/>
      <c r="AC897" s="497"/>
      <c r="AD897" s="497"/>
      <c r="AE897" s="497"/>
      <c r="AF897" s="497"/>
      <c r="AG897" s="497"/>
      <c r="AH897" s="497"/>
      <c r="AI897" s="497"/>
      <c r="AJ897" s="497"/>
      <c r="AK897" s="497"/>
      <c r="AL897" s="497"/>
      <c r="AM897" s="497"/>
      <c r="AN897" s="497"/>
      <c r="AO897" s="497"/>
      <c r="AP897" s="497"/>
      <c r="AQ897" s="497"/>
      <c r="AR897" s="497"/>
      <c r="AS897" s="497"/>
      <c r="AT897" s="497"/>
      <c r="AU897" s="497"/>
      <c r="AV897" s="497"/>
      <c r="AW897" s="497"/>
      <c r="AX897" s="497"/>
      <c r="AY897" s="497"/>
      <c r="AZ897" s="497"/>
      <c r="BA897" s="497"/>
      <c r="BB897" s="497"/>
      <c r="BC897" s="497"/>
      <c r="BD897" s="497"/>
      <c r="BE897" s="497"/>
      <c r="BF897" s="497"/>
      <c r="BG897" s="497"/>
      <c r="BH897" s="497"/>
      <c r="BI897" s="497"/>
      <c r="BJ897" s="497"/>
      <c r="BK897" s="497"/>
      <c r="BL897" s="497"/>
      <c r="BM897" s="497"/>
      <c r="BN897" s="497"/>
      <c r="BO897" s="497"/>
      <c r="BP897" s="497"/>
      <c r="BQ897" s="497"/>
      <c r="BR897" s="497"/>
      <c r="BS897" s="497"/>
      <c r="BT897" s="497"/>
      <c r="BU897" s="497"/>
      <c r="BV897" s="497"/>
      <c r="BW897" s="497"/>
      <c r="BX897" s="497"/>
      <c r="BY897" s="497"/>
      <c r="BZ897" s="497"/>
      <c r="CA897" s="497"/>
      <c r="CB897" s="497"/>
      <c r="CC897" s="497"/>
      <c r="CD897" s="497"/>
      <c r="CE897" s="497"/>
      <c r="CF897" s="497"/>
      <c r="CG897" s="497"/>
      <c r="CH897" s="497"/>
    </row>
    <row r="898" spans="1:86" s="335" customFormat="1">
      <c r="A898" s="517"/>
      <c r="B898" s="517"/>
      <c r="C898" s="517"/>
      <c r="D898" s="517"/>
      <c r="E898" s="517"/>
      <c r="F898" s="517"/>
      <c r="G898" s="517"/>
      <c r="H898" s="639"/>
      <c r="I898" s="639"/>
      <c r="J898" s="336"/>
      <c r="K898" s="2056"/>
      <c r="L898" s="337"/>
      <c r="N898" s="2057"/>
      <c r="O898" s="337"/>
      <c r="P898" s="337"/>
      <c r="Q898" s="337"/>
      <c r="R898" s="337"/>
      <c r="S898" s="337"/>
      <c r="T898" s="337"/>
      <c r="U898" s="497"/>
      <c r="V898" s="497"/>
      <c r="W898" s="497"/>
      <c r="X898" s="497"/>
      <c r="Y898" s="497"/>
      <c r="Z898" s="497"/>
      <c r="AA898" s="497"/>
      <c r="AB898" s="497"/>
      <c r="AC898" s="497"/>
      <c r="AD898" s="497"/>
      <c r="AE898" s="497"/>
      <c r="AF898" s="497"/>
      <c r="AG898" s="497"/>
      <c r="AH898" s="497"/>
      <c r="AI898" s="497"/>
      <c r="AJ898" s="497"/>
      <c r="AK898" s="497"/>
      <c r="AL898" s="497"/>
      <c r="AM898" s="497"/>
      <c r="AN898" s="497"/>
      <c r="AO898" s="497"/>
      <c r="AP898" s="497"/>
      <c r="AQ898" s="497"/>
      <c r="AR898" s="497"/>
      <c r="AS898" s="497"/>
      <c r="AT898" s="497"/>
      <c r="AU898" s="497"/>
      <c r="AV898" s="497"/>
      <c r="AW898" s="497"/>
      <c r="AX898" s="497"/>
      <c r="AY898" s="497"/>
      <c r="AZ898" s="497"/>
      <c r="BA898" s="497"/>
      <c r="BB898" s="497"/>
      <c r="BC898" s="497"/>
      <c r="BD898" s="497"/>
      <c r="BE898" s="497"/>
      <c r="BF898" s="497"/>
      <c r="BG898" s="497"/>
      <c r="BH898" s="497"/>
      <c r="BI898" s="497"/>
      <c r="BJ898" s="497"/>
      <c r="BK898" s="497"/>
      <c r="BL898" s="497"/>
      <c r="BM898" s="497"/>
      <c r="BN898" s="497"/>
      <c r="BO898" s="497"/>
      <c r="BP898" s="497"/>
      <c r="BQ898" s="497"/>
      <c r="BR898" s="497"/>
      <c r="BS898" s="497"/>
      <c r="BT898" s="497"/>
      <c r="BU898" s="497"/>
      <c r="BV898" s="497"/>
      <c r="BW898" s="497"/>
      <c r="BX898" s="497"/>
      <c r="BY898" s="497"/>
      <c r="BZ898" s="497"/>
      <c r="CA898" s="497"/>
      <c r="CB898" s="497"/>
      <c r="CC898" s="497"/>
      <c r="CD898" s="497"/>
      <c r="CE898" s="497"/>
      <c r="CF898" s="497"/>
      <c r="CG898" s="497"/>
      <c r="CH898" s="497"/>
    </row>
    <row r="899" spans="1:86" s="335" customFormat="1">
      <c r="A899" s="517"/>
      <c r="B899" s="517"/>
      <c r="C899" s="517"/>
      <c r="D899" s="517"/>
      <c r="E899" s="517"/>
      <c r="F899" s="517"/>
      <c r="G899" s="517"/>
      <c r="H899" s="639"/>
      <c r="I899" s="639"/>
      <c r="J899" s="336"/>
      <c r="K899" s="2056"/>
      <c r="L899" s="337"/>
      <c r="N899" s="2057"/>
      <c r="O899" s="337"/>
      <c r="P899" s="337"/>
      <c r="Q899" s="337"/>
      <c r="R899" s="337"/>
      <c r="S899" s="337"/>
      <c r="T899" s="337"/>
      <c r="U899" s="497"/>
      <c r="V899" s="497"/>
      <c r="W899" s="497"/>
      <c r="X899" s="497"/>
      <c r="Y899" s="497"/>
      <c r="Z899" s="497"/>
      <c r="AA899" s="497"/>
      <c r="AB899" s="497"/>
      <c r="AC899" s="497"/>
      <c r="AD899" s="497"/>
      <c r="AE899" s="497"/>
      <c r="AF899" s="497"/>
      <c r="AG899" s="497"/>
      <c r="AH899" s="497"/>
      <c r="AI899" s="497"/>
      <c r="AJ899" s="497"/>
      <c r="AK899" s="497"/>
      <c r="AL899" s="497"/>
      <c r="AM899" s="497"/>
      <c r="AN899" s="497"/>
      <c r="AO899" s="497"/>
      <c r="AP899" s="497"/>
      <c r="AQ899" s="497"/>
      <c r="AR899" s="497"/>
      <c r="AS899" s="497"/>
      <c r="AT899" s="497"/>
      <c r="AU899" s="497"/>
      <c r="AV899" s="497"/>
      <c r="AW899" s="497"/>
      <c r="AX899" s="497"/>
      <c r="AY899" s="497"/>
      <c r="AZ899" s="497"/>
      <c r="BA899" s="497"/>
      <c r="BB899" s="497"/>
      <c r="BC899" s="497"/>
      <c r="BD899" s="497"/>
      <c r="BE899" s="497"/>
      <c r="BF899" s="497"/>
      <c r="BG899" s="497"/>
      <c r="BH899" s="497"/>
      <c r="BI899" s="497"/>
      <c r="BJ899" s="497"/>
      <c r="BK899" s="497"/>
      <c r="BL899" s="497"/>
      <c r="BM899" s="497"/>
      <c r="BN899" s="497"/>
      <c r="BO899" s="497"/>
      <c r="BP899" s="497"/>
      <c r="BQ899" s="497"/>
      <c r="BR899" s="497"/>
      <c r="BS899" s="497"/>
      <c r="BT899" s="497"/>
      <c r="BU899" s="497"/>
      <c r="BV899" s="497"/>
      <c r="BW899" s="497"/>
      <c r="BX899" s="497"/>
      <c r="BY899" s="497"/>
      <c r="BZ899" s="497"/>
      <c r="CA899" s="497"/>
      <c r="CB899" s="497"/>
      <c r="CC899" s="497"/>
      <c r="CD899" s="497"/>
      <c r="CE899" s="497"/>
      <c r="CF899" s="497"/>
      <c r="CG899" s="497"/>
      <c r="CH899" s="497"/>
    </row>
    <row r="900" spans="1:86" s="335" customFormat="1">
      <c r="A900" s="517"/>
      <c r="B900" s="517"/>
      <c r="C900" s="517"/>
      <c r="D900" s="517"/>
      <c r="E900" s="517"/>
      <c r="F900" s="517"/>
      <c r="G900" s="517"/>
      <c r="H900" s="639"/>
      <c r="I900" s="639"/>
      <c r="J900" s="336"/>
      <c r="K900" s="2056"/>
      <c r="L900" s="337"/>
      <c r="N900" s="2057"/>
      <c r="O900" s="337"/>
      <c r="P900" s="337"/>
      <c r="Q900" s="337"/>
      <c r="R900" s="337"/>
      <c r="S900" s="337"/>
      <c r="T900" s="337"/>
      <c r="U900" s="497"/>
      <c r="V900" s="497"/>
      <c r="W900" s="497"/>
      <c r="X900" s="497"/>
      <c r="Y900" s="497"/>
      <c r="Z900" s="497"/>
      <c r="AA900" s="497"/>
      <c r="AB900" s="497"/>
      <c r="AC900" s="497"/>
      <c r="AD900" s="497"/>
      <c r="AE900" s="497"/>
      <c r="AF900" s="497"/>
      <c r="AG900" s="497"/>
      <c r="AH900" s="497"/>
      <c r="AI900" s="497"/>
      <c r="AJ900" s="497"/>
      <c r="AK900" s="497"/>
      <c r="AL900" s="497"/>
      <c r="AM900" s="497"/>
      <c r="AN900" s="497"/>
      <c r="AO900" s="497"/>
      <c r="AP900" s="497"/>
      <c r="AQ900" s="497"/>
      <c r="AR900" s="497"/>
      <c r="AS900" s="497"/>
      <c r="AT900" s="497"/>
      <c r="AU900" s="497"/>
      <c r="AV900" s="497"/>
      <c r="AW900" s="497"/>
      <c r="AX900" s="497"/>
      <c r="AY900" s="497"/>
      <c r="AZ900" s="497"/>
      <c r="BA900" s="497"/>
      <c r="BB900" s="497"/>
      <c r="BC900" s="497"/>
      <c r="BD900" s="497"/>
      <c r="BE900" s="497"/>
      <c r="BF900" s="497"/>
      <c r="BG900" s="497"/>
      <c r="BH900" s="497"/>
      <c r="BI900" s="497"/>
      <c r="BJ900" s="497"/>
      <c r="BK900" s="497"/>
      <c r="BL900" s="497"/>
      <c r="BM900" s="497"/>
      <c r="BN900" s="497"/>
      <c r="BO900" s="497"/>
      <c r="BP900" s="497"/>
      <c r="BQ900" s="497"/>
      <c r="BR900" s="497"/>
      <c r="BS900" s="497"/>
      <c r="BT900" s="497"/>
      <c r="BU900" s="497"/>
      <c r="BV900" s="497"/>
      <c r="BW900" s="497"/>
      <c r="BX900" s="497"/>
      <c r="BY900" s="497"/>
      <c r="BZ900" s="497"/>
      <c r="CA900" s="497"/>
      <c r="CB900" s="497"/>
      <c r="CC900" s="497"/>
      <c r="CD900" s="497"/>
      <c r="CE900" s="497"/>
      <c r="CF900" s="497"/>
      <c r="CG900" s="497"/>
      <c r="CH900" s="497"/>
    </row>
    <row r="901" spans="1:86" s="335" customFormat="1">
      <c r="A901" s="517"/>
      <c r="B901" s="517"/>
      <c r="C901" s="517"/>
      <c r="D901" s="517"/>
      <c r="E901" s="517"/>
      <c r="F901" s="517"/>
      <c r="G901" s="517"/>
      <c r="H901" s="639"/>
      <c r="I901" s="639"/>
      <c r="J901" s="336"/>
      <c r="K901" s="2056"/>
      <c r="L901" s="337"/>
      <c r="N901" s="2057"/>
      <c r="O901" s="337"/>
      <c r="P901" s="337"/>
      <c r="Q901" s="337"/>
      <c r="R901" s="337"/>
      <c r="S901" s="337"/>
      <c r="T901" s="337"/>
      <c r="U901" s="497"/>
      <c r="V901" s="497"/>
      <c r="W901" s="497"/>
      <c r="X901" s="497"/>
      <c r="Y901" s="497"/>
      <c r="Z901" s="497"/>
      <c r="AA901" s="497"/>
      <c r="AB901" s="497"/>
      <c r="AC901" s="497"/>
      <c r="AD901" s="497"/>
      <c r="AE901" s="497"/>
      <c r="AF901" s="497"/>
      <c r="AG901" s="497"/>
      <c r="AH901" s="497"/>
      <c r="AI901" s="497"/>
      <c r="AJ901" s="497"/>
      <c r="AK901" s="497"/>
      <c r="AL901" s="497"/>
      <c r="AM901" s="497"/>
      <c r="AN901" s="497"/>
      <c r="AO901" s="497"/>
      <c r="AP901" s="497"/>
      <c r="AQ901" s="497"/>
      <c r="AR901" s="497"/>
      <c r="AS901" s="497"/>
      <c r="AT901" s="497"/>
      <c r="AU901" s="497"/>
      <c r="AV901" s="497"/>
      <c r="AW901" s="497"/>
      <c r="AX901" s="497"/>
      <c r="AY901" s="497"/>
      <c r="AZ901" s="497"/>
      <c r="BA901" s="497"/>
      <c r="BB901" s="497"/>
      <c r="BC901" s="497"/>
      <c r="BD901" s="497"/>
      <c r="BE901" s="497"/>
      <c r="BF901" s="497"/>
      <c r="BG901" s="497"/>
      <c r="BH901" s="497"/>
      <c r="BI901" s="497"/>
      <c r="BJ901" s="497"/>
      <c r="BK901" s="497"/>
      <c r="BL901" s="497"/>
      <c r="BM901" s="497"/>
      <c r="BN901" s="497"/>
      <c r="BO901" s="497"/>
      <c r="BP901" s="497"/>
      <c r="BQ901" s="497"/>
      <c r="BR901" s="497"/>
      <c r="BS901" s="497"/>
      <c r="BT901" s="497"/>
      <c r="BU901" s="497"/>
      <c r="BV901" s="497"/>
      <c r="BW901" s="497"/>
      <c r="BX901" s="497"/>
      <c r="BY901" s="497"/>
      <c r="BZ901" s="497"/>
      <c r="CA901" s="497"/>
      <c r="CB901" s="497"/>
      <c r="CC901" s="497"/>
      <c r="CD901" s="497"/>
      <c r="CE901" s="497"/>
      <c r="CF901" s="497"/>
      <c r="CG901" s="497"/>
      <c r="CH901" s="497"/>
    </row>
    <row r="902" spans="1:86" s="335" customFormat="1">
      <c r="A902" s="517"/>
      <c r="B902" s="517"/>
      <c r="C902" s="517"/>
      <c r="D902" s="517"/>
      <c r="E902" s="517"/>
      <c r="F902" s="517"/>
      <c r="G902" s="517"/>
      <c r="H902" s="639"/>
      <c r="I902" s="639"/>
      <c r="J902" s="336"/>
      <c r="K902" s="2056"/>
      <c r="L902" s="337"/>
      <c r="N902" s="2057"/>
      <c r="O902" s="337"/>
      <c r="P902" s="337"/>
      <c r="Q902" s="337"/>
      <c r="R902" s="337"/>
      <c r="S902" s="337"/>
      <c r="T902" s="337"/>
      <c r="U902" s="497"/>
      <c r="V902" s="497"/>
      <c r="W902" s="497"/>
      <c r="X902" s="497"/>
      <c r="Y902" s="497"/>
      <c r="Z902" s="497"/>
      <c r="AA902" s="497"/>
      <c r="AB902" s="497"/>
      <c r="AC902" s="497"/>
      <c r="AD902" s="497"/>
      <c r="AE902" s="497"/>
      <c r="AF902" s="497"/>
      <c r="AG902" s="497"/>
      <c r="AH902" s="497"/>
      <c r="AI902" s="497"/>
      <c r="AJ902" s="497"/>
      <c r="AK902" s="497"/>
      <c r="AL902" s="497"/>
      <c r="AM902" s="497"/>
      <c r="AN902" s="497"/>
      <c r="AO902" s="497"/>
      <c r="AP902" s="497"/>
      <c r="AQ902" s="497"/>
      <c r="AR902" s="497"/>
      <c r="AS902" s="497"/>
      <c r="AT902" s="497"/>
      <c r="AU902" s="497"/>
      <c r="AV902" s="497"/>
      <c r="AW902" s="497"/>
      <c r="AX902" s="497"/>
      <c r="AY902" s="497"/>
      <c r="AZ902" s="497"/>
      <c r="BA902" s="497"/>
      <c r="BB902" s="497"/>
      <c r="BC902" s="497"/>
      <c r="BD902" s="497"/>
      <c r="BE902" s="497"/>
      <c r="BF902" s="497"/>
      <c r="BG902" s="497"/>
      <c r="BH902" s="497"/>
      <c r="BI902" s="497"/>
      <c r="BJ902" s="497"/>
      <c r="BK902" s="497"/>
      <c r="BL902" s="497"/>
      <c r="BM902" s="497"/>
      <c r="BN902" s="497"/>
      <c r="BO902" s="497"/>
      <c r="BP902" s="497"/>
      <c r="BQ902" s="497"/>
      <c r="BR902" s="497"/>
      <c r="BS902" s="497"/>
      <c r="BT902" s="497"/>
      <c r="BU902" s="497"/>
      <c r="BV902" s="497"/>
      <c r="BW902" s="497"/>
      <c r="BX902" s="497"/>
      <c r="BY902" s="497"/>
      <c r="BZ902" s="497"/>
      <c r="CA902" s="497"/>
      <c r="CB902" s="497"/>
      <c r="CC902" s="497"/>
      <c r="CD902" s="497"/>
      <c r="CE902" s="497"/>
      <c r="CF902" s="497"/>
      <c r="CG902" s="497"/>
      <c r="CH902" s="497"/>
    </row>
    <row r="903" spans="1:86" s="335" customFormat="1">
      <c r="A903" s="517"/>
      <c r="B903" s="517"/>
      <c r="C903" s="517"/>
      <c r="D903" s="517"/>
      <c r="E903" s="517"/>
      <c r="F903" s="517"/>
      <c r="G903" s="517"/>
      <c r="H903" s="639"/>
      <c r="I903" s="639"/>
      <c r="J903" s="336"/>
      <c r="K903" s="2056"/>
      <c r="L903" s="337"/>
      <c r="N903" s="2057"/>
      <c r="O903" s="337"/>
      <c r="P903" s="337"/>
      <c r="Q903" s="337"/>
      <c r="R903" s="337"/>
      <c r="S903" s="337"/>
      <c r="T903" s="337"/>
      <c r="U903" s="497"/>
      <c r="V903" s="497"/>
      <c r="W903" s="497"/>
      <c r="X903" s="497"/>
      <c r="Y903" s="497"/>
      <c r="Z903" s="497"/>
      <c r="AA903" s="497"/>
      <c r="AB903" s="497"/>
      <c r="AC903" s="497"/>
      <c r="AD903" s="497"/>
      <c r="AE903" s="497"/>
      <c r="AF903" s="497"/>
      <c r="AG903" s="497"/>
      <c r="AH903" s="497"/>
      <c r="AI903" s="497"/>
      <c r="AJ903" s="497"/>
      <c r="AK903" s="497"/>
      <c r="AL903" s="497"/>
      <c r="AM903" s="497"/>
      <c r="AN903" s="497"/>
      <c r="AO903" s="497"/>
      <c r="AP903" s="497"/>
      <c r="AQ903" s="497"/>
      <c r="AR903" s="497"/>
      <c r="AS903" s="497"/>
      <c r="AT903" s="497"/>
      <c r="AU903" s="497"/>
      <c r="AV903" s="497"/>
      <c r="AW903" s="497"/>
      <c r="AX903" s="497"/>
      <c r="AY903" s="497"/>
      <c r="AZ903" s="497"/>
      <c r="BA903" s="497"/>
      <c r="BB903" s="497"/>
      <c r="BC903" s="497"/>
      <c r="BD903" s="497"/>
      <c r="BE903" s="497"/>
      <c r="BF903" s="497"/>
      <c r="BG903" s="497"/>
      <c r="BH903" s="497"/>
      <c r="BI903" s="497"/>
      <c r="BJ903" s="497"/>
      <c r="BK903" s="497"/>
      <c r="BL903" s="497"/>
      <c r="BM903" s="497"/>
      <c r="BN903" s="497"/>
      <c r="BO903" s="497"/>
      <c r="BP903" s="497"/>
      <c r="BQ903" s="497"/>
      <c r="BR903" s="497"/>
      <c r="BS903" s="497"/>
      <c r="BT903" s="497"/>
      <c r="BU903" s="497"/>
      <c r="BV903" s="497"/>
      <c r="BW903" s="497"/>
      <c r="BX903" s="497"/>
      <c r="BY903" s="497"/>
      <c r="BZ903" s="497"/>
      <c r="CA903" s="497"/>
      <c r="CB903" s="497"/>
      <c r="CC903" s="497"/>
      <c r="CD903" s="497"/>
      <c r="CE903" s="497"/>
      <c r="CF903" s="497"/>
      <c r="CG903" s="497"/>
      <c r="CH903" s="497"/>
    </row>
    <row r="904" spans="1:86" s="335" customFormat="1">
      <c r="A904" s="517"/>
      <c r="B904" s="517"/>
      <c r="C904" s="517"/>
      <c r="D904" s="517"/>
      <c r="E904" s="517"/>
      <c r="F904" s="517"/>
      <c r="G904" s="517"/>
      <c r="H904" s="639"/>
      <c r="I904" s="639"/>
      <c r="J904" s="336"/>
      <c r="K904" s="2056"/>
      <c r="L904" s="337"/>
      <c r="N904" s="2057"/>
      <c r="O904" s="337"/>
      <c r="P904" s="337"/>
      <c r="Q904" s="337"/>
      <c r="R904" s="337"/>
      <c r="S904" s="337"/>
      <c r="T904" s="337"/>
      <c r="U904" s="497"/>
      <c r="V904" s="497"/>
      <c r="W904" s="497"/>
      <c r="X904" s="497"/>
      <c r="Y904" s="497"/>
      <c r="Z904" s="497"/>
      <c r="AA904" s="497"/>
      <c r="AB904" s="497"/>
      <c r="AC904" s="497"/>
      <c r="AD904" s="497"/>
      <c r="AE904" s="497"/>
      <c r="AF904" s="497"/>
      <c r="AG904" s="497"/>
      <c r="AH904" s="497"/>
      <c r="AI904" s="497"/>
      <c r="AJ904" s="497"/>
      <c r="AK904" s="497"/>
      <c r="AL904" s="497"/>
      <c r="AM904" s="497"/>
      <c r="AN904" s="497"/>
      <c r="AO904" s="497"/>
      <c r="AP904" s="497"/>
      <c r="AQ904" s="497"/>
      <c r="AR904" s="497"/>
      <c r="AS904" s="497"/>
      <c r="AT904" s="497"/>
      <c r="AU904" s="497"/>
      <c r="AV904" s="497"/>
      <c r="AW904" s="497"/>
      <c r="AX904" s="497"/>
      <c r="AY904" s="497"/>
      <c r="AZ904" s="497"/>
      <c r="BA904" s="497"/>
      <c r="BB904" s="497"/>
      <c r="BC904" s="497"/>
      <c r="BD904" s="497"/>
      <c r="BE904" s="497"/>
      <c r="BF904" s="497"/>
      <c r="BG904" s="497"/>
      <c r="BH904" s="497"/>
      <c r="BI904" s="497"/>
      <c r="BJ904" s="497"/>
      <c r="BK904" s="497"/>
      <c r="BL904" s="497"/>
      <c r="BM904" s="497"/>
      <c r="BN904" s="497"/>
      <c r="BO904" s="497"/>
      <c r="BP904" s="497"/>
      <c r="BQ904" s="497"/>
      <c r="BR904" s="497"/>
      <c r="BS904" s="497"/>
      <c r="BT904" s="497"/>
      <c r="BU904" s="497"/>
      <c r="BV904" s="497"/>
      <c r="BW904" s="497"/>
      <c r="BX904" s="497"/>
      <c r="BY904" s="497"/>
      <c r="BZ904" s="497"/>
      <c r="CA904" s="497"/>
      <c r="CB904" s="497"/>
      <c r="CC904" s="497"/>
      <c r="CD904" s="497"/>
      <c r="CE904" s="497"/>
      <c r="CF904" s="497"/>
      <c r="CG904" s="497"/>
      <c r="CH904" s="497"/>
    </row>
    <row r="905" spans="1:86" s="335" customFormat="1">
      <c r="A905" s="517"/>
      <c r="B905" s="517"/>
      <c r="C905" s="517"/>
      <c r="D905" s="517"/>
      <c r="E905" s="517"/>
      <c r="F905" s="517"/>
      <c r="G905" s="517"/>
      <c r="H905" s="639"/>
      <c r="I905" s="639"/>
      <c r="J905" s="336"/>
      <c r="K905" s="2056"/>
      <c r="L905" s="337"/>
      <c r="N905" s="2057"/>
      <c r="O905" s="337"/>
      <c r="P905" s="337"/>
      <c r="Q905" s="337"/>
      <c r="R905" s="337"/>
      <c r="S905" s="337"/>
      <c r="T905" s="337"/>
      <c r="U905" s="497"/>
      <c r="V905" s="497"/>
      <c r="W905" s="497"/>
      <c r="X905" s="497"/>
      <c r="Y905" s="497"/>
      <c r="Z905" s="497"/>
      <c r="AA905" s="497"/>
      <c r="AB905" s="497"/>
      <c r="AC905" s="497"/>
      <c r="AD905" s="497"/>
      <c r="AE905" s="497"/>
      <c r="AF905" s="497"/>
      <c r="AG905" s="497"/>
      <c r="AH905" s="497"/>
      <c r="AI905" s="497"/>
      <c r="AJ905" s="497"/>
      <c r="AK905" s="497"/>
      <c r="AL905" s="497"/>
      <c r="AM905" s="497"/>
      <c r="AN905" s="497"/>
      <c r="AO905" s="497"/>
      <c r="AP905" s="497"/>
      <c r="AQ905" s="497"/>
      <c r="AR905" s="497"/>
      <c r="AS905" s="497"/>
      <c r="AT905" s="497"/>
      <c r="AU905" s="497"/>
      <c r="AV905" s="497"/>
      <c r="AW905" s="497"/>
      <c r="AX905" s="497"/>
      <c r="AY905" s="497"/>
      <c r="AZ905" s="497"/>
      <c r="BA905" s="497"/>
      <c r="BB905" s="497"/>
      <c r="BC905" s="497"/>
      <c r="BD905" s="497"/>
      <c r="BE905" s="497"/>
      <c r="BF905" s="497"/>
      <c r="BG905" s="497"/>
      <c r="BH905" s="497"/>
      <c r="BI905" s="497"/>
      <c r="BJ905" s="497"/>
      <c r="BK905" s="497"/>
      <c r="BL905" s="497"/>
      <c r="BM905" s="497"/>
      <c r="BN905" s="497"/>
      <c r="BO905" s="497"/>
      <c r="BP905" s="497"/>
      <c r="BQ905" s="497"/>
      <c r="BR905" s="497"/>
      <c r="BS905" s="497"/>
      <c r="BT905" s="497"/>
      <c r="BU905" s="497"/>
      <c r="BV905" s="497"/>
      <c r="BW905" s="497"/>
      <c r="BX905" s="497"/>
      <c r="BY905" s="497"/>
      <c r="BZ905" s="497"/>
      <c r="CA905" s="497"/>
      <c r="CB905" s="497"/>
      <c r="CC905" s="497"/>
      <c r="CD905" s="497"/>
      <c r="CE905" s="497"/>
      <c r="CF905" s="497"/>
      <c r="CG905" s="497"/>
      <c r="CH905" s="497"/>
    </row>
    <row r="906" spans="1:86" s="335" customFormat="1">
      <c r="A906" s="517"/>
      <c r="B906" s="517"/>
      <c r="C906" s="517"/>
      <c r="D906" s="517"/>
      <c r="E906" s="517"/>
      <c r="F906" s="517"/>
      <c r="G906" s="517"/>
      <c r="H906" s="639"/>
      <c r="I906" s="639"/>
      <c r="J906" s="336"/>
      <c r="K906" s="2056"/>
      <c r="L906" s="337"/>
      <c r="N906" s="2057"/>
      <c r="O906" s="337"/>
      <c r="P906" s="337"/>
      <c r="Q906" s="337"/>
      <c r="R906" s="337"/>
      <c r="S906" s="337"/>
      <c r="T906" s="337"/>
      <c r="U906" s="497"/>
      <c r="V906" s="497"/>
      <c r="W906" s="497"/>
      <c r="X906" s="497"/>
      <c r="Y906" s="497"/>
      <c r="Z906" s="497"/>
      <c r="AA906" s="497"/>
      <c r="AB906" s="497"/>
      <c r="AC906" s="497"/>
      <c r="AD906" s="497"/>
      <c r="AE906" s="497"/>
      <c r="AF906" s="497"/>
      <c r="AG906" s="497"/>
      <c r="AH906" s="497"/>
      <c r="AI906" s="497"/>
      <c r="AJ906" s="497"/>
      <c r="AK906" s="497"/>
      <c r="AL906" s="497"/>
      <c r="AM906" s="497"/>
      <c r="AN906" s="497"/>
      <c r="AO906" s="497"/>
      <c r="AP906" s="497"/>
      <c r="AQ906" s="497"/>
      <c r="AR906" s="497"/>
      <c r="AS906" s="497"/>
      <c r="AT906" s="497"/>
      <c r="AU906" s="497"/>
      <c r="AV906" s="497"/>
      <c r="AW906" s="497"/>
      <c r="AX906" s="497"/>
      <c r="AY906" s="497"/>
      <c r="AZ906" s="497"/>
      <c r="BA906" s="497"/>
      <c r="BB906" s="497"/>
      <c r="BC906" s="497"/>
      <c r="BD906" s="497"/>
      <c r="BE906" s="497"/>
      <c r="BF906" s="497"/>
      <c r="BG906" s="497"/>
      <c r="BH906" s="497"/>
      <c r="BI906" s="497"/>
      <c r="BJ906" s="497"/>
      <c r="BK906" s="497"/>
      <c r="BL906" s="497"/>
      <c r="BM906" s="497"/>
      <c r="BN906" s="497"/>
      <c r="BO906" s="497"/>
      <c r="BP906" s="497"/>
      <c r="BQ906" s="497"/>
      <c r="BR906" s="497"/>
      <c r="BS906" s="497"/>
      <c r="BT906" s="497"/>
      <c r="BU906" s="497"/>
      <c r="BV906" s="497"/>
      <c r="BW906" s="497"/>
      <c r="BX906" s="497"/>
      <c r="BY906" s="497"/>
      <c r="BZ906" s="497"/>
      <c r="CA906" s="497"/>
      <c r="CB906" s="497"/>
      <c r="CC906" s="497"/>
      <c r="CD906" s="497"/>
      <c r="CE906" s="497"/>
      <c r="CF906" s="497"/>
      <c r="CG906" s="497"/>
      <c r="CH906" s="497"/>
    </row>
    <row r="907" spans="1:86" s="335" customFormat="1">
      <c r="A907" s="517"/>
      <c r="B907" s="517"/>
      <c r="C907" s="517"/>
      <c r="D907" s="517"/>
      <c r="E907" s="517"/>
      <c r="F907" s="517"/>
      <c r="G907" s="517"/>
      <c r="H907" s="639"/>
      <c r="I907" s="639"/>
      <c r="J907" s="336"/>
      <c r="K907" s="2056"/>
      <c r="L907" s="337"/>
      <c r="N907" s="2057"/>
      <c r="O907" s="337"/>
      <c r="P907" s="337"/>
      <c r="Q907" s="337"/>
      <c r="R907" s="337"/>
      <c r="S907" s="337"/>
      <c r="T907" s="337"/>
      <c r="U907" s="497"/>
      <c r="V907" s="497"/>
      <c r="W907" s="497"/>
      <c r="X907" s="497"/>
      <c r="Y907" s="497"/>
      <c r="Z907" s="497"/>
      <c r="AA907" s="497"/>
      <c r="AB907" s="497"/>
      <c r="AC907" s="497"/>
      <c r="AD907" s="497"/>
      <c r="AE907" s="497"/>
      <c r="AF907" s="497"/>
      <c r="AG907" s="497"/>
      <c r="AH907" s="497"/>
      <c r="AI907" s="497"/>
      <c r="AJ907" s="497"/>
      <c r="AK907" s="497"/>
      <c r="AL907" s="497"/>
      <c r="AM907" s="497"/>
      <c r="AN907" s="497"/>
      <c r="AO907" s="497"/>
      <c r="AP907" s="497"/>
      <c r="AQ907" s="497"/>
      <c r="AR907" s="497"/>
      <c r="AS907" s="497"/>
      <c r="AT907" s="497"/>
      <c r="AU907" s="497"/>
      <c r="AV907" s="497"/>
      <c r="AW907" s="497"/>
      <c r="AX907" s="497"/>
      <c r="AY907" s="497"/>
      <c r="AZ907" s="497"/>
      <c r="BA907" s="497"/>
      <c r="BB907" s="497"/>
      <c r="BC907" s="497"/>
      <c r="BD907" s="497"/>
      <c r="BE907" s="497"/>
      <c r="BF907" s="497"/>
      <c r="BG907" s="497"/>
      <c r="BH907" s="497"/>
      <c r="BI907" s="497"/>
      <c r="BJ907" s="497"/>
      <c r="BK907" s="497"/>
      <c r="BL907" s="497"/>
      <c r="BM907" s="497"/>
      <c r="BN907" s="497"/>
      <c r="BO907" s="497"/>
      <c r="BP907" s="497"/>
      <c r="BQ907" s="497"/>
      <c r="BR907" s="497"/>
      <c r="BS907" s="497"/>
      <c r="BT907" s="497"/>
      <c r="BU907" s="497"/>
      <c r="BV907" s="497"/>
      <c r="BW907" s="497"/>
      <c r="BX907" s="497"/>
      <c r="BY907" s="497"/>
      <c r="BZ907" s="497"/>
      <c r="CA907" s="497"/>
      <c r="CB907" s="497"/>
      <c r="CC907" s="497"/>
      <c r="CD907" s="497"/>
      <c r="CE907" s="497"/>
      <c r="CF907" s="497"/>
      <c r="CG907" s="497"/>
      <c r="CH907" s="497"/>
    </row>
    <row r="908" spans="1:86" s="335" customFormat="1">
      <c r="A908" s="517"/>
      <c r="B908" s="517"/>
      <c r="C908" s="517"/>
      <c r="D908" s="517"/>
      <c r="E908" s="517"/>
      <c r="F908" s="517"/>
      <c r="G908" s="517"/>
      <c r="H908" s="639"/>
      <c r="I908" s="639"/>
      <c r="J908" s="336"/>
      <c r="K908" s="2056"/>
      <c r="L908" s="337"/>
      <c r="N908" s="2057"/>
      <c r="O908" s="337"/>
      <c r="P908" s="337"/>
      <c r="Q908" s="337"/>
      <c r="R908" s="337"/>
      <c r="S908" s="337"/>
      <c r="T908" s="337"/>
      <c r="U908" s="497"/>
      <c r="V908" s="497"/>
      <c r="W908" s="497"/>
      <c r="X908" s="497"/>
      <c r="Y908" s="497"/>
      <c r="Z908" s="497"/>
      <c r="AA908" s="497"/>
      <c r="AB908" s="497"/>
      <c r="AC908" s="497"/>
      <c r="AD908" s="497"/>
      <c r="AE908" s="497"/>
      <c r="AF908" s="497"/>
      <c r="AG908" s="497"/>
      <c r="AH908" s="497"/>
      <c r="AI908" s="497"/>
      <c r="AJ908" s="497"/>
      <c r="AK908" s="497"/>
      <c r="AL908" s="497"/>
      <c r="AM908" s="497"/>
      <c r="AN908" s="497"/>
      <c r="AO908" s="497"/>
      <c r="AP908" s="497"/>
      <c r="AQ908" s="497"/>
      <c r="AR908" s="497"/>
      <c r="AS908" s="497"/>
      <c r="AT908" s="497"/>
      <c r="AU908" s="497"/>
      <c r="AV908" s="497"/>
      <c r="AW908" s="497"/>
      <c r="AX908" s="497"/>
      <c r="AY908" s="497"/>
      <c r="AZ908" s="497"/>
      <c r="BA908" s="497"/>
      <c r="BB908" s="497"/>
      <c r="BC908" s="497"/>
      <c r="BD908" s="497"/>
      <c r="BE908" s="497"/>
      <c r="BF908" s="497"/>
      <c r="BG908" s="497"/>
      <c r="BH908" s="497"/>
      <c r="BI908" s="497"/>
      <c r="BJ908" s="497"/>
      <c r="BK908" s="497"/>
      <c r="BL908" s="497"/>
      <c r="BM908" s="497"/>
      <c r="BN908" s="497"/>
      <c r="BO908" s="497"/>
      <c r="BP908" s="497"/>
      <c r="BQ908" s="497"/>
      <c r="BR908" s="497"/>
      <c r="BS908" s="497"/>
      <c r="BT908" s="497"/>
      <c r="BU908" s="497"/>
      <c r="BV908" s="497"/>
      <c r="BW908" s="497"/>
      <c r="BX908" s="497"/>
      <c r="BY908" s="497"/>
      <c r="BZ908" s="497"/>
      <c r="CA908" s="497"/>
      <c r="CB908" s="497"/>
      <c r="CC908" s="497"/>
      <c r="CD908" s="497"/>
      <c r="CE908" s="497"/>
      <c r="CF908" s="497"/>
      <c r="CG908" s="497"/>
      <c r="CH908" s="497"/>
    </row>
    <row r="909" spans="1:86" s="335" customFormat="1">
      <c r="A909" s="517"/>
      <c r="B909" s="517"/>
      <c r="C909" s="517"/>
      <c r="D909" s="517"/>
      <c r="E909" s="517"/>
      <c r="F909" s="517"/>
      <c r="G909" s="517"/>
      <c r="H909" s="639"/>
      <c r="I909" s="639"/>
      <c r="J909" s="336"/>
      <c r="K909" s="2056"/>
      <c r="L909" s="337"/>
      <c r="N909" s="2057"/>
      <c r="O909" s="337"/>
      <c r="P909" s="337"/>
      <c r="Q909" s="337"/>
      <c r="R909" s="337"/>
      <c r="S909" s="337"/>
      <c r="T909" s="337"/>
      <c r="U909" s="497"/>
      <c r="V909" s="497"/>
      <c r="W909" s="497"/>
      <c r="X909" s="497"/>
      <c r="Y909" s="497"/>
      <c r="Z909" s="497"/>
      <c r="AA909" s="497"/>
      <c r="AB909" s="497"/>
      <c r="AC909" s="497"/>
      <c r="AD909" s="497"/>
      <c r="AE909" s="497"/>
      <c r="AF909" s="497"/>
      <c r="AG909" s="497"/>
      <c r="AH909" s="497"/>
      <c r="AI909" s="497"/>
      <c r="AJ909" s="497"/>
      <c r="AK909" s="497"/>
      <c r="AL909" s="497"/>
      <c r="AM909" s="497"/>
      <c r="AN909" s="497"/>
      <c r="AO909" s="497"/>
      <c r="AP909" s="497"/>
      <c r="AQ909" s="497"/>
      <c r="AR909" s="497"/>
      <c r="AS909" s="497"/>
      <c r="AT909" s="497"/>
      <c r="AU909" s="497"/>
      <c r="AV909" s="497"/>
      <c r="AW909" s="497"/>
      <c r="AX909" s="497"/>
      <c r="AY909" s="497"/>
      <c r="AZ909" s="497"/>
      <c r="BA909" s="497"/>
      <c r="BB909" s="497"/>
      <c r="BC909" s="497"/>
      <c r="BD909" s="497"/>
      <c r="BE909" s="497"/>
      <c r="BF909" s="497"/>
      <c r="BG909" s="497"/>
      <c r="BH909" s="497"/>
      <c r="BI909" s="497"/>
      <c r="BJ909" s="497"/>
      <c r="BK909" s="497"/>
      <c r="BL909" s="497"/>
      <c r="BM909" s="497"/>
      <c r="BN909" s="497"/>
      <c r="BO909" s="497"/>
      <c r="BP909" s="497"/>
      <c r="BQ909" s="497"/>
      <c r="BR909" s="497"/>
      <c r="BS909" s="497"/>
      <c r="BT909" s="497"/>
      <c r="BU909" s="497"/>
      <c r="BV909" s="497"/>
      <c r="BW909" s="497"/>
      <c r="BX909" s="497"/>
      <c r="BY909" s="497"/>
      <c r="BZ909" s="497"/>
      <c r="CA909" s="497"/>
      <c r="CB909" s="497"/>
      <c r="CC909" s="497"/>
      <c r="CD909" s="497"/>
      <c r="CE909" s="497"/>
      <c r="CF909" s="497"/>
      <c r="CG909" s="497"/>
      <c r="CH909" s="497"/>
    </row>
    <row r="910" spans="1:86" s="335" customFormat="1">
      <c r="A910" s="517"/>
      <c r="B910" s="517"/>
      <c r="C910" s="517"/>
      <c r="D910" s="517"/>
      <c r="E910" s="517"/>
      <c r="F910" s="517"/>
      <c r="G910" s="517"/>
      <c r="H910" s="639"/>
      <c r="I910" s="639"/>
      <c r="J910" s="336"/>
      <c r="K910" s="2056"/>
      <c r="L910" s="337"/>
      <c r="N910" s="2057"/>
      <c r="O910" s="337"/>
      <c r="P910" s="337"/>
      <c r="Q910" s="337"/>
      <c r="R910" s="337"/>
      <c r="S910" s="337"/>
      <c r="T910" s="337"/>
      <c r="U910" s="497"/>
      <c r="V910" s="497"/>
      <c r="W910" s="497"/>
      <c r="X910" s="497"/>
      <c r="Y910" s="497"/>
      <c r="Z910" s="497"/>
      <c r="AA910" s="497"/>
      <c r="AB910" s="497"/>
      <c r="AC910" s="497"/>
      <c r="AD910" s="497"/>
      <c r="AE910" s="497"/>
      <c r="AF910" s="497"/>
      <c r="AG910" s="497"/>
      <c r="AH910" s="497"/>
      <c r="AI910" s="497"/>
      <c r="AJ910" s="497"/>
      <c r="AK910" s="497"/>
      <c r="AL910" s="497"/>
      <c r="AM910" s="497"/>
      <c r="AN910" s="497"/>
      <c r="AO910" s="497"/>
      <c r="AP910" s="497"/>
      <c r="AQ910" s="497"/>
      <c r="AR910" s="497"/>
      <c r="AS910" s="497"/>
      <c r="AT910" s="497"/>
      <c r="AU910" s="497"/>
      <c r="AV910" s="497"/>
      <c r="AW910" s="497"/>
      <c r="AX910" s="497"/>
      <c r="AY910" s="497"/>
      <c r="AZ910" s="497"/>
      <c r="BA910" s="497"/>
      <c r="BB910" s="497"/>
      <c r="BC910" s="497"/>
      <c r="BD910" s="497"/>
      <c r="BE910" s="497"/>
      <c r="BF910" s="497"/>
      <c r="BG910" s="497"/>
      <c r="BH910" s="497"/>
      <c r="BI910" s="497"/>
      <c r="BJ910" s="497"/>
      <c r="BK910" s="497"/>
      <c r="BL910" s="497"/>
      <c r="BM910" s="497"/>
      <c r="BN910" s="497"/>
      <c r="BO910" s="497"/>
      <c r="BP910" s="497"/>
      <c r="BQ910" s="497"/>
      <c r="BR910" s="497"/>
      <c r="BS910" s="497"/>
      <c r="BT910" s="497"/>
      <c r="BU910" s="497"/>
      <c r="BV910" s="497"/>
      <c r="BW910" s="497"/>
      <c r="BX910" s="497"/>
      <c r="BY910" s="497"/>
      <c r="BZ910" s="497"/>
      <c r="CA910" s="497"/>
      <c r="CB910" s="497"/>
      <c r="CC910" s="497"/>
      <c r="CD910" s="497"/>
      <c r="CE910" s="497"/>
      <c r="CF910" s="497"/>
      <c r="CG910" s="497"/>
      <c r="CH910" s="497"/>
    </row>
    <row r="911" spans="1:86" s="335" customFormat="1">
      <c r="A911" s="517"/>
      <c r="B911" s="517"/>
      <c r="C911" s="517"/>
      <c r="D911" s="517"/>
      <c r="E911" s="517"/>
      <c r="F911" s="517"/>
      <c r="G911" s="517"/>
      <c r="H911" s="639"/>
      <c r="I911" s="639"/>
      <c r="J911" s="336"/>
      <c r="K911" s="2056"/>
      <c r="L911" s="337"/>
      <c r="N911" s="2057"/>
      <c r="O911" s="337"/>
      <c r="P911" s="337"/>
      <c r="Q911" s="337"/>
      <c r="R911" s="337"/>
      <c r="S911" s="337"/>
      <c r="T911" s="337"/>
      <c r="U911" s="497"/>
      <c r="V911" s="497"/>
      <c r="W911" s="497"/>
      <c r="X911" s="497"/>
      <c r="Y911" s="497"/>
      <c r="Z911" s="497"/>
      <c r="AA911" s="497"/>
      <c r="AB911" s="497"/>
      <c r="AC911" s="497"/>
      <c r="AD911" s="497"/>
      <c r="AE911" s="497"/>
      <c r="AF911" s="497"/>
      <c r="AG911" s="497"/>
      <c r="AH911" s="497"/>
      <c r="AI911" s="497"/>
      <c r="AJ911" s="497"/>
      <c r="AK911" s="497"/>
      <c r="AL911" s="497"/>
      <c r="AM911" s="497"/>
      <c r="AN911" s="497"/>
      <c r="AO911" s="497"/>
      <c r="AP911" s="497"/>
      <c r="AQ911" s="497"/>
      <c r="AR911" s="497"/>
      <c r="AS911" s="497"/>
      <c r="AT911" s="497"/>
      <c r="AU911" s="497"/>
      <c r="AV911" s="497"/>
      <c r="AW911" s="497"/>
      <c r="AX911" s="497"/>
      <c r="AY911" s="497"/>
      <c r="AZ911" s="497"/>
      <c r="BA911" s="497"/>
      <c r="BB911" s="497"/>
      <c r="BC911" s="497"/>
      <c r="BD911" s="497"/>
      <c r="BE911" s="497"/>
      <c r="BF911" s="497"/>
      <c r="BG911" s="497"/>
      <c r="BH911" s="497"/>
      <c r="BI911" s="497"/>
      <c r="BJ911" s="497"/>
      <c r="BK911" s="497"/>
      <c r="BL911" s="497"/>
      <c r="BM911" s="497"/>
      <c r="BN911" s="497"/>
      <c r="BO911" s="497"/>
      <c r="BP911" s="497"/>
      <c r="BQ911" s="497"/>
      <c r="BR911" s="497"/>
      <c r="BS911" s="497"/>
      <c r="BT911" s="497"/>
      <c r="BU911" s="497"/>
      <c r="BV911" s="497"/>
      <c r="BW911" s="497"/>
      <c r="BX911" s="497"/>
      <c r="BY911" s="497"/>
      <c r="BZ911" s="497"/>
      <c r="CA911" s="497"/>
      <c r="CB911" s="497"/>
      <c r="CC911" s="497"/>
      <c r="CD911" s="497"/>
      <c r="CE911" s="497"/>
      <c r="CF911" s="497"/>
      <c r="CG911" s="497"/>
      <c r="CH911" s="497"/>
    </row>
    <row r="912" spans="1:86" s="335" customFormat="1">
      <c r="A912" s="517"/>
      <c r="B912" s="517"/>
      <c r="C912" s="517"/>
      <c r="D912" s="517"/>
      <c r="E912" s="517"/>
      <c r="F912" s="517"/>
      <c r="G912" s="517"/>
      <c r="H912" s="639"/>
      <c r="I912" s="639"/>
      <c r="J912" s="336"/>
      <c r="K912" s="2056"/>
      <c r="L912" s="337"/>
      <c r="N912" s="2057"/>
      <c r="O912" s="337"/>
      <c r="P912" s="337"/>
      <c r="Q912" s="337"/>
      <c r="R912" s="337"/>
      <c r="S912" s="337"/>
      <c r="T912" s="337"/>
      <c r="U912" s="497"/>
      <c r="V912" s="497"/>
      <c r="W912" s="497"/>
      <c r="X912" s="497"/>
      <c r="Y912" s="497"/>
      <c r="Z912" s="497"/>
      <c r="AA912" s="497"/>
      <c r="AB912" s="497"/>
      <c r="AC912" s="497"/>
      <c r="AD912" s="497"/>
      <c r="AE912" s="497"/>
      <c r="AF912" s="497"/>
      <c r="AG912" s="497"/>
      <c r="AH912" s="497"/>
      <c r="AI912" s="497"/>
      <c r="AJ912" s="497"/>
      <c r="AK912" s="497"/>
      <c r="AL912" s="497"/>
      <c r="AM912" s="497"/>
      <c r="AN912" s="497"/>
      <c r="AO912" s="497"/>
      <c r="AP912" s="497"/>
      <c r="AQ912" s="497"/>
      <c r="AR912" s="497"/>
      <c r="AS912" s="497"/>
      <c r="AT912" s="497"/>
      <c r="AU912" s="497"/>
      <c r="AV912" s="497"/>
      <c r="AW912" s="497"/>
      <c r="AX912" s="497"/>
      <c r="AY912" s="497"/>
      <c r="AZ912" s="497"/>
      <c r="BA912" s="497"/>
      <c r="BB912" s="497"/>
      <c r="BC912" s="497"/>
      <c r="BD912" s="497"/>
      <c r="BE912" s="497"/>
      <c r="BF912" s="497"/>
      <c r="BG912" s="497"/>
      <c r="BH912" s="497"/>
      <c r="BI912" s="497"/>
      <c r="BJ912" s="497"/>
      <c r="BK912" s="497"/>
      <c r="BL912" s="497"/>
      <c r="BM912" s="497"/>
      <c r="BN912" s="497"/>
      <c r="BO912" s="497"/>
      <c r="BP912" s="497"/>
      <c r="BQ912" s="497"/>
      <c r="BR912" s="497"/>
      <c r="BS912" s="497"/>
      <c r="BT912" s="497"/>
      <c r="BU912" s="497"/>
      <c r="BV912" s="497"/>
      <c r="BW912" s="497"/>
      <c r="BX912" s="497"/>
      <c r="BY912" s="497"/>
      <c r="BZ912" s="497"/>
      <c r="CA912" s="497"/>
      <c r="CB912" s="497"/>
      <c r="CC912" s="497"/>
      <c r="CD912" s="497"/>
      <c r="CE912" s="497"/>
      <c r="CF912" s="497"/>
      <c r="CG912" s="497"/>
      <c r="CH912" s="497"/>
    </row>
    <row r="913" spans="1:86" s="335" customFormat="1">
      <c r="A913" s="517"/>
      <c r="B913" s="517"/>
      <c r="C913" s="517"/>
      <c r="D913" s="517"/>
      <c r="E913" s="517"/>
      <c r="F913" s="517"/>
      <c r="G913" s="517"/>
      <c r="H913" s="639"/>
      <c r="I913" s="639"/>
      <c r="J913" s="336"/>
      <c r="K913" s="2056"/>
      <c r="L913" s="337"/>
      <c r="N913" s="2057"/>
      <c r="O913" s="337"/>
      <c r="P913" s="337"/>
      <c r="Q913" s="337"/>
      <c r="R913" s="337"/>
      <c r="S913" s="337"/>
      <c r="T913" s="337"/>
      <c r="U913" s="497"/>
      <c r="V913" s="497"/>
      <c r="W913" s="497"/>
      <c r="X913" s="497"/>
      <c r="Y913" s="497"/>
      <c r="Z913" s="497"/>
      <c r="AA913" s="497"/>
      <c r="AB913" s="497"/>
      <c r="AC913" s="497"/>
      <c r="AD913" s="497"/>
      <c r="AE913" s="497"/>
      <c r="AF913" s="497"/>
      <c r="AG913" s="497"/>
      <c r="AH913" s="497"/>
      <c r="AI913" s="497"/>
      <c r="AJ913" s="497"/>
      <c r="AK913" s="497"/>
      <c r="AL913" s="497"/>
      <c r="AM913" s="497"/>
      <c r="AN913" s="497"/>
      <c r="AO913" s="497"/>
      <c r="AP913" s="497"/>
      <c r="AQ913" s="497"/>
      <c r="AR913" s="497"/>
      <c r="AS913" s="497"/>
      <c r="AT913" s="497"/>
      <c r="AU913" s="497"/>
      <c r="AV913" s="497"/>
      <c r="AW913" s="497"/>
      <c r="AX913" s="497"/>
      <c r="AY913" s="497"/>
      <c r="AZ913" s="497"/>
      <c r="BA913" s="497"/>
      <c r="BB913" s="497"/>
      <c r="BC913" s="497"/>
      <c r="BD913" s="497"/>
      <c r="BE913" s="497"/>
      <c r="BF913" s="497"/>
      <c r="BG913" s="497"/>
      <c r="BH913" s="497"/>
      <c r="BI913" s="497"/>
      <c r="BJ913" s="497"/>
      <c r="BK913" s="497"/>
      <c r="BL913" s="497"/>
      <c r="BM913" s="497"/>
      <c r="BN913" s="497"/>
      <c r="BO913" s="497"/>
      <c r="BP913" s="497"/>
      <c r="BQ913" s="497"/>
      <c r="BR913" s="497"/>
      <c r="BS913" s="497"/>
      <c r="BT913" s="497"/>
      <c r="BU913" s="497"/>
      <c r="BV913" s="497"/>
      <c r="BW913" s="497"/>
      <c r="BX913" s="497"/>
      <c r="BY913" s="497"/>
      <c r="BZ913" s="497"/>
      <c r="CA913" s="497"/>
      <c r="CB913" s="497"/>
      <c r="CC913" s="497"/>
      <c r="CD913" s="497"/>
      <c r="CE913" s="497"/>
      <c r="CF913" s="497"/>
      <c r="CG913" s="497"/>
      <c r="CH913" s="497"/>
    </row>
    <row r="914" spans="1:86" s="335" customFormat="1">
      <c r="A914" s="517"/>
      <c r="B914" s="517"/>
      <c r="C914" s="517"/>
      <c r="D914" s="517"/>
      <c r="E914" s="517"/>
      <c r="F914" s="517"/>
      <c r="G914" s="517"/>
      <c r="H914" s="639"/>
      <c r="I914" s="639"/>
      <c r="J914" s="336"/>
      <c r="K914" s="2056"/>
      <c r="L914" s="337"/>
      <c r="N914" s="2057"/>
      <c r="O914" s="337"/>
      <c r="P914" s="337"/>
      <c r="Q914" s="337"/>
      <c r="R914" s="337"/>
      <c r="S914" s="337"/>
      <c r="T914" s="337"/>
      <c r="U914" s="497"/>
      <c r="V914" s="497"/>
      <c r="W914" s="497"/>
      <c r="X914" s="497"/>
      <c r="Y914" s="497"/>
      <c r="Z914" s="497"/>
      <c r="AA914" s="497"/>
      <c r="AB914" s="497"/>
      <c r="AC914" s="497"/>
      <c r="AD914" s="497"/>
      <c r="AE914" s="497"/>
      <c r="AF914" s="497"/>
      <c r="AG914" s="497"/>
      <c r="AH914" s="497"/>
      <c r="AI914" s="497"/>
      <c r="AJ914" s="497"/>
      <c r="AK914" s="497"/>
      <c r="AL914" s="497"/>
      <c r="AM914" s="497"/>
      <c r="AN914" s="497"/>
      <c r="AO914" s="497"/>
      <c r="AP914" s="497"/>
      <c r="AQ914" s="497"/>
      <c r="AR914" s="497"/>
      <c r="AS914" s="497"/>
      <c r="AT914" s="497"/>
      <c r="AU914" s="497"/>
      <c r="AV914" s="497"/>
      <c r="AW914" s="497"/>
      <c r="AX914" s="497"/>
      <c r="AY914" s="497"/>
      <c r="AZ914" s="497"/>
      <c r="BA914" s="497"/>
      <c r="BB914" s="497"/>
      <c r="BC914" s="497"/>
      <c r="BD914" s="497"/>
      <c r="BE914" s="497"/>
      <c r="BF914" s="497"/>
      <c r="BG914" s="497"/>
      <c r="BH914" s="497"/>
      <c r="BI914" s="497"/>
      <c r="BJ914" s="497"/>
      <c r="BK914" s="497"/>
      <c r="BL914" s="497"/>
      <c r="BM914" s="497"/>
      <c r="BN914" s="497"/>
      <c r="BO914" s="497"/>
      <c r="BP914" s="497"/>
      <c r="BQ914" s="497"/>
      <c r="BR914" s="497"/>
      <c r="BS914" s="497"/>
      <c r="BT914" s="497"/>
      <c r="BU914" s="497"/>
      <c r="BV914" s="497"/>
      <c r="BW914" s="497"/>
      <c r="BX914" s="497"/>
      <c r="BY914" s="497"/>
      <c r="BZ914" s="497"/>
      <c r="CA914" s="497"/>
      <c r="CB914" s="497"/>
      <c r="CC914" s="497"/>
      <c r="CD914" s="497"/>
      <c r="CE914" s="497"/>
      <c r="CF914" s="497"/>
      <c r="CG914" s="497"/>
      <c r="CH914" s="497"/>
    </row>
    <row r="915" spans="1:86" s="335" customFormat="1">
      <c r="A915" s="517"/>
      <c r="B915" s="517"/>
      <c r="C915" s="517"/>
      <c r="D915" s="517"/>
      <c r="E915" s="517"/>
      <c r="F915" s="517"/>
      <c r="G915" s="517"/>
      <c r="H915" s="639"/>
      <c r="I915" s="639"/>
      <c r="J915" s="336"/>
      <c r="K915" s="2056"/>
      <c r="L915" s="337"/>
      <c r="N915" s="2057"/>
      <c r="O915" s="337"/>
      <c r="P915" s="337"/>
      <c r="Q915" s="337"/>
      <c r="R915" s="337"/>
      <c r="S915" s="337"/>
      <c r="T915" s="337"/>
      <c r="U915" s="497"/>
      <c r="V915" s="497"/>
      <c r="W915" s="497"/>
      <c r="X915" s="497"/>
      <c r="Y915" s="497"/>
      <c r="Z915" s="497"/>
      <c r="AA915" s="497"/>
      <c r="AB915" s="497"/>
      <c r="AC915" s="497"/>
      <c r="AD915" s="497"/>
      <c r="AE915" s="497"/>
      <c r="AF915" s="497"/>
      <c r="AG915" s="497"/>
      <c r="AH915" s="497"/>
      <c r="AI915" s="497"/>
      <c r="AJ915" s="497"/>
      <c r="AK915" s="497"/>
      <c r="AL915" s="497"/>
      <c r="AM915" s="497"/>
      <c r="AN915" s="497"/>
      <c r="AO915" s="497"/>
      <c r="AP915" s="497"/>
      <c r="AQ915" s="497"/>
      <c r="AR915" s="497"/>
      <c r="AS915" s="497"/>
      <c r="AT915" s="497"/>
      <c r="AU915" s="497"/>
      <c r="AV915" s="497"/>
      <c r="AW915" s="497"/>
      <c r="AX915" s="497"/>
      <c r="AY915" s="497"/>
      <c r="AZ915" s="497"/>
      <c r="BA915" s="497"/>
      <c r="BB915" s="497"/>
      <c r="BC915" s="497"/>
      <c r="BD915" s="497"/>
      <c r="BE915" s="497"/>
      <c r="BF915" s="497"/>
      <c r="BG915" s="497"/>
      <c r="BH915" s="497"/>
      <c r="BI915" s="497"/>
      <c r="BJ915" s="497"/>
      <c r="BK915" s="497"/>
      <c r="BL915" s="497"/>
      <c r="BM915" s="497"/>
      <c r="BN915" s="497"/>
      <c r="BO915" s="497"/>
      <c r="BP915" s="497"/>
      <c r="BQ915" s="497"/>
      <c r="BR915" s="497"/>
      <c r="BS915" s="497"/>
      <c r="BT915" s="497"/>
      <c r="BU915" s="497"/>
      <c r="BV915" s="497"/>
      <c r="BW915" s="497"/>
      <c r="BX915" s="497"/>
      <c r="BY915" s="497"/>
      <c r="BZ915" s="497"/>
      <c r="CA915" s="497"/>
      <c r="CB915" s="497"/>
      <c r="CC915" s="497"/>
      <c r="CD915" s="497"/>
      <c r="CE915" s="497"/>
      <c r="CF915" s="497"/>
      <c r="CG915" s="497"/>
      <c r="CH915" s="497"/>
    </row>
    <row r="916" spans="1:86" s="335" customFormat="1">
      <c r="A916" s="517"/>
      <c r="B916" s="517"/>
      <c r="C916" s="517"/>
      <c r="D916" s="517"/>
      <c r="E916" s="517"/>
      <c r="F916" s="517"/>
      <c r="G916" s="517"/>
      <c r="H916" s="639"/>
      <c r="I916" s="639"/>
      <c r="J916" s="336"/>
      <c r="K916" s="2056"/>
      <c r="L916" s="337"/>
      <c r="N916" s="2057"/>
      <c r="O916" s="337"/>
      <c r="P916" s="337"/>
      <c r="Q916" s="337"/>
      <c r="R916" s="337"/>
      <c r="S916" s="337"/>
      <c r="T916" s="337"/>
      <c r="U916" s="497"/>
      <c r="V916" s="497"/>
      <c r="W916" s="497"/>
      <c r="X916" s="497"/>
      <c r="Y916" s="497"/>
      <c r="Z916" s="497"/>
      <c r="AA916" s="497"/>
      <c r="AB916" s="497"/>
      <c r="AC916" s="497"/>
      <c r="AD916" s="497"/>
      <c r="AE916" s="497"/>
      <c r="AF916" s="497"/>
      <c r="AG916" s="497"/>
      <c r="AH916" s="497"/>
      <c r="AI916" s="497"/>
      <c r="AJ916" s="497"/>
      <c r="AK916" s="497"/>
      <c r="AL916" s="497"/>
      <c r="AM916" s="497"/>
      <c r="AN916" s="497"/>
      <c r="AO916" s="497"/>
      <c r="AP916" s="497"/>
      <c r="AQ916" s="497"/>
      <c r="AR916" s="497"/>
      <c r="AS916" s="497"/>
      <c r="AT916" s="497"/>
      <c r="AU916" s="497"/>
      <c r="AV916" s="497"/>
      <c r="AW916" s="497"/>
      <c r="AX916" s="497"/>
      <c r="AY916" s="497"/>
      <c r="AZ916" s="497"/>
      <c r="BA916" s="497"/>
      <c r="BB916" s="497"/>
      <c r="BC916" s="497"/>
      <c r="BD916" s="497"/>
      <c r="BE916" s="497"/>
      <c r="BF916" s="497"/>
      <c r="BG916" s="497"/>
      <c r="BH916" s="497"/>
      <c r="BI916" s="497"/>
      <c r="BJ916" s="497"/>
      <c r="BK916" s="497"/>
      <c r="BL916" s="497"/>
      <c r="BM916" s="497"/>
      <c r="BN916" s="497"/>
      <c r="BO916" s="497"/>
      <c r="BP916" s="497"/>
      <c r="BQ916" s="497"/>
      <c r="BR916" s="497"/>
      <c r="BS916" s="497"/>
      <c r="BT916" s="497"/>
      <c r="BU916" s="497"/>
      <c r="BV916" s="497"/>
      <c r="BW916" s="497"/>
      <c r="BX916" s="497"/>
      <c r="BY916" s="497"/>
      <c r="BZ916" s="497"/>
      <c r="CA916" s="497"/>
      <c r="CB916" s="497"/>
      <c r="CC916" s="497"/>
      <c r="CD916" s="497"/>
      <c r="CE916" s="497"/>
      <c r="CF916" s="497"/>
      <c r="CG916" s="497"/>
      <c r="CH916" s="497"/>
    </row>
    <row r="917" spans="1:86" s="335" customFormat="1">
      <c r="A917" s="517"/>
      <c r="B917" s="517"/>
      <c r="C917" s="517"/>
      <c r="D917" s="517"/>
      <c r="E917" s="517"/>
      <c r="F917" s="517"/>
      <c r="G917" s="517"/>
      <c r="H917" s="639"/>
      <c r="I917" s="639"/>
      <c r="J917" s="336"/>
      <c r="K917" s="2056"/>
      <c r="L917" s="337"/>
      <c r="N917" s="2057"/>
      <c r="O917" s="337"/>
      <c r="P917" s="337"/>
      <c r="Q917" s="337"/>
      <c r="R917" s="337"/>
      <c r="S917" s="337"/>
      <c r="T917" s="337"/>
      <c r="U917" s="497"/>
      <c r="V917" s="497"/>
      <c r="W917" s="497"/>
      <c r="X917" s="497"/>
      <c r="Y917" s="497"/>
      <c r="Z917" s="497"/>
      <c r="AA917" s="497"/>
      <c r="AB917" s="497"/>
      <c r="AC917" s="497"/>
      <c r="AD917" s="497"/>
      <c r="AE917" s="497"/>
      <c r="AF917" s="497"/>
      <c r="AG917" s="497"/>
      <c r="AH917" s="497"/>
      <c r="AI917" s="497"/>
      <c r="AJ917" s="497"/>
      <c r="AK917" s="497"/>
      <c r="AL917" s="497"/>
      <c r="AM917" s="497"/>
      <c r="AN917" s="497"/>
      <c r="AO917" s="497"/>
      <c r="AP917" s="497"/>
      <c r="AQ917" s="497"/>
      <c r="AR917" s="497"/>
      <c r="AS917" s="497"/>
      <c r="AT917" s="497"/>
      <c r="AU917" s="497"/>
      <c r="AV917" s="497"/>
      <c r="AW917" s="497"/>
      <c r="AX917" s="497"/>
      <c r="AY917" s="497"/>
      <c r="AZ917" s="497"/>
      <c r="BA917" s="497"/>
      <c r="BB917" s="497"/>
      <c r="BC917" s="497"/>
      <c r="BD917" s="497"/>
      <c r="BE917" s="497"/>
      <c r="BF917" s="497"/>
      <c r="BG917" s="497"/>
      <c r="BH917" s="497"/>
      <c r="BI917" s="497"/>
      <c r="BJ917" s="497"/>
      <c r="BK917" s="497"/>
      <c r="BL917" s="497"/>
      <c r="BM917" s="497"/>
      <c r="BN917" s="497"/>
      <c r="BO917" s="497"/>
      <c r="BP917" s="497"/>
      <c r="BQ917" s="497"/>
      <c r="BR917" s="497"/>
      <c r="BS917" s="497"/>
      <c r="BT917" s="497"/>
      <c r="BU917" s="497"/>
      <c r="BV917" s="497"/>
      <c r="BW917" s="497"/>
      <c r="BX917" s="497"/>
      <c r="BY917" s="497"/>
      <c r="BZ917" s="497"/>
      <c r="CA917" s="497"/>
      <c r="CB917" s="497"/>
      <c r="CC917" s="497"/>
      <c r="CD917" s="497"/>
      <c r="CE917" s="497"/>
      <c r="CF917" s="497"/>
      <c r="CG917" s="497"/>
      <c r="CH917" s="497"/>
    </row>
    <row r="918" spans="1:86" s="335" customFormat="1">
      <c r="A918" s="517"/>
      <c r="B918" s="517"/>
      <c r="C918" s="517"/>
      <c r="D918" s="517"/>
      <c r="E918" s="517"/>
      <c r="F918" s="517"/>
      <c r="G918" s="517"/>
      <c r="H918" s="639"/>
      <c r="I918" s="639"/>
      <c r="J918" s="336"/>
      <c r="K918" s="2056"/>
      <c r="L918" s="337"/>
      <c r="N918" s="2057"/>
      <c r="O918" s="337"/>
      <c r="P918" s="337"/>
      <c r="Q918" s="337"/>
      <c r="R918" s="337"/>
      <c r="S918" s="337"/>
      <c r="T918" s="337"/>
      <c r="U918" s="497"/>
      <c r="V918" s="497"/>
      <c r="W918" s="497"/>
      <c r="X918" s="497"/>
      <c r="Y918" s="497"/>
      <c r="Z918" s="497"/>
      <c r="AA918" s="497"/>
      <c r="AB918" s="497"/>
      <c r="AC918" s="497"/>
      <c r="AD918" s="497"/>
      <c r="AE918" s="497"/>
      <c r="AF918" s="497"/>
      <c r="AG918" s="497"/>
      <c r="AH918" s="497"/>
      <c r="AI918" s="497"/>
      <c r="AJ918" s="497"/>
      <c r="AK918" s="497"/>
      <c r="AL918" s="497"/>
      <c r="AM918" s="497"/>
      <c r="AN918" s="497"/>
      <c r="AO918" s="497"/>
      <c r="AP918" s="497"/>
      <c r="AQ918" s="497"/>
      <c r="AR918" s="497"/>
      <c r="AS918" s="497"/>
      <c r="AT918" s="497"/>
      <c r="AU918" s="497"/>
      <c r="AV918" s="497"/>
      <c r="AW918" s="497"/>
      <c r="AX918" s="497"/>
      <c r="AY918" s="497"/>
      <c r="AZ918" s="497"/>
      <c r="BA918" s="497"/>
      <c r="BB918" s="497"/>
      <c r="BC918" s="497"/>
      <c r="BD918" s="497"/>
      <c r="BE918" s="497"/>
      <c r="BF918" s="497"/>
      <c r="BG918" s="497"/>
      <c r="BH918" s="497"/>
      <c r="BI918" s="497"/>
      <c r="BJ918" s="497"/>
      <c r="BK918" s="497"/>
      <c r="BL918" s="497"/>
      <c r="BM918" s="497"/>
      <c r="BN918" s="497"/>
      <c r="BO918" s="497"/>
      <c r="BP918" s="497"/>
      <c r="BQ918" s="497"/>
      <c r="BR918" s="497"/>
      <c r="BS918" s="497"/>
      <c r="BT918" s="497"/>
      <c r="BU918" s="497"/>
      <c r="BV918" s="497"/>
      <c r="BW918" s="497"/>
      <c r="BX918" s="497"/>
      <c r="BY918" s="497"/>
      <c r="BZ918" s="497"/>
      <c r="CA918" s="497"/>
      <c r="CB918" s="497"/>
      <c r="CC918" s="497"/>
      <c r="CD918" s="497"/>
      <c r="CE918" s="497"/>
      <c r="CF918" s="497"/>
      <c r="CG918" s="497"/>
      <c r="CH918" s="497"/>
    </row>
    <row r="919" spans="1:86" s="335" customFormat="1">
      <c r="A919" s="517"/>
      <c r="B919" s="517"/>
      <c r="C919" s="517"/>
      <c r="D919" s="517"/>
      <c r="E919" s="517"/>
      <c r="F919" s="517"/>
      <c r="G919" s="517"/>
      <c r="H919" s="639"/>
      <c r="I919" s="639"/>
      <c r="J919" s="336"/>
      <c r="K919" s="2056"/>
      <c r="L919" s="337"/>
      <c r="N919" s="2057"/>
      <c r="O919" s="337"/>
      <c r="P919" s="337"/>
      <c r="Q919" s="337"/>
      <c r="R919" s="337"/>
      <c r="S919" s="337"/>
      <c r="T919" s="337"/>
      <c r="U919" s="497"/>
      <c r="V919" s="497"/>
      <c r="W919" s="497"/>
      <c r="X919" s="497"/>
      <c r="Y919" s="497"/>
      <c r="Z919" s="497"/>
      <c r="AA919" s="497"/>
      <c r="AB919" s="497"/>
      <c r="AC919" s="497"/>
      <c r="AD919" s="497"/>
      <c r="AE919" s="497"/>
      <c r="AF919" s="497"/>
      <c r="AG919" s="497"/>
      <c r="AH919" s="497"/>
      <c r="AI919" s="497"/>
      <c r="AJ919" s="497"/>
      <c r="AK919" s="497"/>
      <c r="AL919" s="497"/>
      <c r="AM919" s="497"/>
      <c r="AN919" s="497"/>
      <c r="AO919" s="497"/>
      <c r="AP919" s="497"/>
      <c r="AQ919" s="497"/>
      <c r="AR919" s="497"/>
      <c r="AS919" s="497"/>
      <c r="AT919" s="497"/>
      <c r="AU919" s="497"/>
      <c r="AV919" s="497"/>
      <c r="AW919" s="497"/>
      <c r="AX919" s="497"/>
      <c r="AY919" s="497"/>
      <c r="AZ919" s="497"/>
      <c r="BA919" s="497"/>
      <c r="BB919" s="497"/>
      <c r="BC919" s="497"/>
      <c r="BD919" s="497"/>
      <c r="BE919" s="497"/>
      <c r="BF919" s="497"/>
      <c r="BG919" s="497"/>
      <c r="BH919" s="497"/>
      <c r="BI919" s="497"/>
      <c r="BJ919" s="497"/>
      <c r="BK919" s="497"/>
      <c r="BL919" s="497"/>
      <c r="BM919" s="497"/>
      <c r="BN919" s="497"/>
      <c r="BO919" s="497"/>
      <c r="BP919" s="497"/>
      <c r="BQ919" s="497"/>
      <c r="BR919" s="497"/>
      <c r="BS919" s="497"/>
      <c r="BT919" s="497"/>
      <c r="BU919" s="497"/>
      <c r="BV919" s="497"/>
      <c r="BW919" s="497"/>
      <c r="BX919" s="497"/>
      <c r="BY919" s="497"/>
      <c r="BZ919" s="497"/>
      <c r="CA919" s="497"/>
      <c r="CB919" s="497"/>
      <c r="CC919" s="497"/>
      <c r="CD919" s="497"/>
      <c r="CE919" s="497"/>
      <c r="CF919" s="497"/>
      <c r="CG919" s="497"/>
      <c r="CH919" s="497"/>
    </row>
    <row r="920" spans="1:86" s="335" customFormat="1">
      <c r="A920" s="517"/>
      <c r="B920" s="517"/>
      <c r="C920" s="517"/>
      <c r="D920" s="517"/>
      <c r="E920" s="517"/>
      <c r="F920" s="517"/>
      <c r="G920" s="517"/>
      <c r="H920" s="639"/>
      <c r="I920" s="639"/>
      <c r="J920" s="336"/>
      <c r="K920" s="2056"/>
      <c r="L920" s="337"/>
      <c r="N920" s="2057"/>
      <c r="O920" s="337"/>
      <c r="P920" s="337"/>
      <c r="Q920" s="337"/>
      <c r="R920" s="337"/>
      <c r="S920" s="337"/>
      <c r="T920" s="337"/>
      <c r="U920" s="497"/>
      <c r="V920" s="497"/>
      <c r="W920" s="497"/>
      <c r="X920" s="497"/>
      <c r="Y920" s="497"/>
      <c r="Z920" s="497"/>
      <c r="AA920" s="497"/>
      <c r="AB920" s="497"/>
      <c r="AC920" s="497"/>
      <c r="AD920" s="497"/>
      <c r="AE920" s="497"/>
      <c r="AF920" s="497"/>
      <c r="AG920" s="497"/>
      <c r="AH920" s="497"/>
      <c r="AI920" s="497"/>
      <c r="AJ920" s="497"/>
      <c r="AK920" s="497"/>
      <c r="AL920" s="497"/>
      <c r="AM920" s="497"/>
      <c r="AN920" s="497"/>
      <c r="AO920" s="497"/>
      <c r="AP920" s="497"/>
      <c r="AQ920" s="497"/>
      <c r="AR920" s="497"/>
      <c r="AS920" s="497"/>
      <c r="AT920" s="497"/>
      <c r="AU920" s="497"/>
      <c r="AV920" s="497"/>
      <c r="AW920" s="497"/>
      <c r="AX920" s="497"/>
      <c r="AY920" s="497"/>
      <c r="AZ920" s="497"/>
      <c r="BA920" s="497"/>
      <c r="BB920" s="497"/>
      <c r="BC920" s="497"/>
      <c r="BD920" s="497"/>
      <c r="BE920" s="497"/>
      <c r="BF920" s="497"/>
      <c r="BG920" s="497"/>
      <c r="BH920" s="497"/>
      <c r="BI920" s="497"/>
      <c r="BJ920" s="497"/>
      <c r="BK920" s="497"/>
      <c r="BL920" s="497"/>
      <c r="BM920" s="497"/>
      <c r="BN920" s="497"/>
      <c r="BO920" s="497"/>
      <c r="BP920" s="497"/>
      <c r="BQ920" s="497"/>
      <c r="BR920" s="497"/>
      <c r="BS920" s="497"/>
      <c r="BT920" s="497"/>
      <c r="BU920" s="497"/>
      <c r="BV920" s="497"/>
      <c r="BW920" s="497"/>
      <c r="BX920" s="497"/>
      <c r="BY920" s="497"/>
      <c r="BZ920" s="497"/>
      <c r="CA920" s="497"/>
      <c r="CB920" s="497"/>
      <c r="CC920" s="497"/>
      <c r="CD920" s="497"/>
      <c r="CE920" s="497"/>
      <c r="CF920" s="497"/>
      <c r="CG920" s="497"/>
      <c r="CH920" s="497"/>
    </row>
    <row r="921" spans="1:86" s="335" customFormat="1">
      <c r="A921" s="517"/>
      <c r="B921" s="517"/>
      <c r="C921" s="517"/>
      <c r="D921" s="517"/>
      <c r="E921" s="517"/>
      <c r="F921" s="517"/>
      <c r="G921" s="517"/>
      <c r="H921" s="639"/>
      <c r="I921" s="639"/>
      <c r="J921" s="336"/>
      <c r="K921" s="2056"/>
      <c r="L921" s="337"/>
      <c r="N921" s="2057"/>
      <c r="O921" s="337"/>
      <c r="P921" s="337"/>
      <c r="Q921" s="337"/>
      <c r="R921" s="337"/>
      <c r="S921" s="337"/>
      <c r="T921" s="337"/>
      <c r="U921" s="497"/>
      <c r="V921" s="497"/>
      <c r="W921" s="497"/>
      <c r="X921" s="497"/>
      <c r="Y921" s="497"/>
      <c r="Z921" s="497"/>
      <c r="AA921" s="497"/>
      <c r="AB921" s="497"/>
      <c r="AC921" s="497"/>
      <c r="AD921" s="497"/>
      <c r="AE921" s="497"/>
      <c r="AF921" s="497"/>
      <c r="AG921" s="497"/>
      <c r="AH921" s="497"/>
      <c r="AI921" s="497"/>
      <c r="AJ921" s="497"/>
      <c r="AK921" s="497"/>
      <c r="AL921" s="497"/>
      <c r="AM921" s="497"/>
      <c r="AN921" s="497"/>
      <c r="AO921" s="497"/>
      <c r="AP921" s="497"/>
      <c r="AQ921" s="497"/>
      <c r="AR921" s="497"/>
      <c r="AS921" s="497"/>
      <c r="AT921" s="497"/>
      <c r="AU921" s="497"/>
      <c r="AV921" s="497"/>
      <c r="AW921" s="497"/>
      <c r="AX921" s="497"/>
      <c r="AY921" s="497"/>
      <c r="AZ921" s="497"/>
      <c r="BA921" s="497"/>
      <c r="BB921" s="497"/>
      <c r="BC921" s="497"/>
      <c r="BD921" s="497"/>
      <c r="BE921" s="497"/>
      <c r="BF921" s="497"/>
      <c r="BG921" s="497"/>
      <c r="BH921" s="497"/>
      <c r="BI921" s="497"/>
      <c r="BJ921" s="497"/>
      <c r="BK921" s="497"/>
      <c r="BL921" s="497"/>
      <c r="BM921" s="497"/>
      <c r="BN921" s="497"/>
      <c r="BO921" s="497"/>
      <c r="BP921" s="497"/>
      <c r="BQ921" s="497"/>
      <c r="BR921" s="497"/>
      <c r="BS921" s="497"/>
      <c r="BT921" s="497"/>
      <c r="BU921" s="497"/>
      <c r="BV921" s="497"/>
      <c r="BW921" s="497"/>
      <c r="BX921" s="497"/>
      <c r="BY921" s="497"/>
      <c r="BZ921" s="497"/>
      <c r="CA921" s="497"/>
      <c r="CB921" s="497"/>
      <c r="CC921" s="497"/>
      <c r="CD921" s="497"/>
      <c r="CE921" s="497"/>
      <c r="CF921" s="497"/>
      <c r="CG921" s="497"/>
      <c r="CH921" s="497"/>
    </row>
    <row r="922" spans="1:86" s="335" customFormat="1">
      <c r="A922" s="517"/>
      <c r="B922" s="517"/>
      <c r="C922" s="517"/>
      <c r="D922" s="517"/>
      <c r="E922" s="517"/>
      <c r="F922" s="517"/>
      <c r="G922" s="517"/>
      <c r="H922" s="639"/>
      <c r="I922" s="639"/>
      <c r="J922" s="336"/>
      <c r="K922" s="2056"/>
      <c r="L922" s="337"/>
      <c r="N922" s="2057"/>
      <c r="O922" s="337"/>
      <c r="P922" s="337"/>
      <c r="Q922" s="337"/>
      <c r="R922" s="337"/>
      <c r="S922" s="337"/>
      <c r="T922" s="337"/>
      <c r="U922" s="497"/>
      <c r="V922" s="497"/>
      <c r="W922" s="497"/>
      <c r="X922" s="497"/>
      <c r="Y922" s="497"/>
      <c r="Z922" s="497"/>
      <c r="AA922" s="497"/>
      <c r="AB922" s="497"/>
      <c r="AC922" s="497"/>
      <c r="AD922" s="497"/>
      <c r="AE922" s="497"/>
      <c r="AF922" s="497"/>
      <c r="AG922" s="497"/>
      <c r="AH922" s="497"/>
      <c r="AI922" s="497"/>
      <c r="AJ922" s="497"/>
      <c r="AK922" s="497"/>
      <c r="AL922" s="497"/>
      <c r="AM922" s="497"/>
      <c r="AN922" s="497"/>
      <c r="AO922" s="497"/>
      <c r="AP922" s="497"/>
      <c r="AQ922" s="497"/>
      <c r="AR922" s="497"/>
      <c r="AS922" s="497"/>
      <c r="AT922" s="497"/>
      <c r="AU922" s="497"/>
      <c r="AV922" s="497"/>
      <c r="AW922" s="497"/>
      <c r="AX922" s="497"/>
      <c r="AY922" s="497"/>
      <c r="AZ922" s="497"/>
      <c r="BA922" s="497"/>
      <c r="BB922" s="497"/>
      <c r="BC922" s="497"/>
      <c r="BD922" s="497"/>
      <c r="BE922" s="497"/>
      <c r="BF922" s="497"/>
      <c r="BG922" s="497"/>
      <c r="BH922" s="497"/>
      <c r="BI922" s="497"/>
      <c r="BJ922" s="497"/>
      <c r="BK922" s="497"/>
      <c r="BL922" s="497"/>
      <c r="BM922" s="497"/>
      <c r="BN922" s="497"/>
      <c r="BO922" s="497"/>
      <c r="BP922" s="497"/>
      <c r="BQ922" s="497"/>
      <c r="BR922" s="497"/>
      <c r="BS922" s="497"/>
      <c r="BT922" s="497"/>
      <c r="BU922" s="497"/>
      <c r="BV922" s="497"/>
      <c r="BW922" s="497"/>
      <c r="BX922" s="497"/>
      <c r="BY922" s="497"/>
      <c r="BZ922" s="497"/>
      <c r="CA922" s="497"/>
      <c r="CB922" s="497"/>
      <c r="CC922" s="497"/>
      <c r="CD922" s="497"/>
      <c r="CE922" s="497"/>
      <c r="CF922" s="497"/>
      <c r="CG922" s="497"/>
      <c r="CH922" s="497"/>
    </row>
    <row r="923" spans="1:86" s="335" customFormat="1">
      <c r="A923" s="517"/>
      <c r="B923" s="517"/>
      <c r="C923" s="517"/>
      <c r="D923" s="517"/>
      <c r="E923" s="517"/>
      <c r="F923" s="517"/>
      <c r="G923" s="517"/>
      <c r="H923" s="639"/>
      <c r="I923" s="639"/>
      <c r="J923" s="336"/>
      <c r="K923" s="2056"/>
      <c r="L923" s="337"/>
      <c r="N923" s="2057"/>
      <c r="O923" s="337"/>
      <c r="P923" s="337"/>
      <c r="Q923" s="337"/>
      <c r="R923" s="337"/>
      <c r="S923" s="337"/>
      <c r="T923" s="337"/>
      <c r="U923" s="497"/>
      <c r="V923" s="497"/>
      <c r="W923" s="497"/>
      <c r="X923" s="497"/>
      <c r="Y923" s="497"/>
      <c r="Z923" s="497"/>
      <c r="AA923" s="497"/>
      <c r="AB923" s="497"/>
      <c r="AC923" s="497"/>
      <c r="AD923" s="497"/>
      <c r="AE923" s="497"/>
      <c r="AF923" s="497"/>
      <c r="AG923" s="497"/>
      <c r="AH923" s="497"/>
      <c r="AI923" s="497"/>
      <c r="AJ923" s="497"/>
      <c r="AK923" s="497"/>
      <c r="AL923" s="497"/>
      <c r="AM923" s="497"/>
      <c r="AN923" s="497"/>
      <c r="AO923" s="497"/>
      <c r="AP923" s="497"/>
      <c r="AQ923" s="497"/>
      <c r="AR923" s="497"/>
      <c r="AS923" s="497"/>
      <c r="AT923" s="497"/>
      <c r="AU923" s="497"/>
      <c r="AV923" s="497"/>
      <c r="AW923" s="497"/>
      <c r="AX923" s="497"/>
      <c r="AY923" s="497"/>
      <c r="AZ923" s="497"/>
      <c r="BA923" s="497"/>
      <c r="BB923" s="497"/>
      <c r="BC923" s="497"/>
      <c r="BD923" s="497"/>
      <c r="BE923" s="497"/>
      <c r="BF923" s="497"/>
      <c r="BG923" s="497"/>
      <c r="BH923" s="497"/>
      <c r="BI923" s="497"/>
      <c r="BJ923" s="497"/>
      <c r="BK923" s="497"/>
      <c r="BL923" s="497"/>
      <c r="BM923" s="497"/>
      <c r="BN923" s="497"/>
      <c r="BO923" s="497"/>
      <c r="BP923" s="497"/>
      <c r="BQ923" s="497"/>
      <c r="BR923" s="497"/>
      <c r="BS923" s="497"/>
      <c r="BT923" s="497"/>
      <c r="BU923" s="497"/>
      <c r="BV923" s="497"/>
      <c r="BW923" s="497"/>
      <c r="BX923" s="497"/>
      <c r="BY923" s="497"/>
      <c r="BZ923" s="497"/>
      <c r="CA923" s="497"/>
      <c r="CB923" s="497"/>
      <c r="CC923" s="497"/>
      <c r="CD923" s="497"/>
      <c r="CE923" s="497"/>
      <c r="CF923" s="497"/>
      <c r="CG923" s="497"/>
      <c r="CH923" s="497"/>
    </row>
    <row r="924" spans="1:86" s="335" customFormat="1">
      <c r="A924" s="517"/>
      <c r="B924" s="517"/>
      <c r="C924" s="517"/>
      <c r="D924" s="517"/>
      <c r="E924" s="517"/>
      <c r="F924" s="517"/>
      <c r="G924" s="517"/>
      <c r="H924" s="639"/>
      <c r="I924" s="639"/>
      <c r="J924" s="336"/>
      <c r="K924" s="2056"/>
      <c r="L924" s="337"/>
      <c r="N924" s="2057"/>
      <c r="O924" s="337"/>
      <c r="P924" s="337"/>
      <c r="Q924" s="337"/>
      <c r="R924" s="337"/>
      <c r="S924" s="337"/>
      <c r="T924" s="337"/>
      <c r="U924" s="497"/>
      <c r="V924" s="497"/>
      <c r="W924" s="497"/>
      <c r="X924" s="497"/>
      <c r="Y924" s="497"/>
      <c r="Z924" s="497"/>
      <c r="AA924" s="497"/>
      <c r="AB924" s="497"/>
      <c r="AC924" s="497"/>
      <c r="AD924" s="497"/>
      <c r="AE924" s="497"/>
      <c r="AF924" s="497"/>
      <c r="AG924" s="497"/>
      <c r="AH924" s="497"/>
      <c r="AI924" s="497"/>
      <c r="AJ924" s="497"/>
      <c r="AK924" s="497"/>
      <c r="AL924" s="497"/>
      <c r="AM924" s="497"/>
      <c r="AN924" s="497"/>
      <c r="AO924" s="497"/>
      <c r="AP924" s="497"/>
      <c r="AQ924" s="497"/>
      <c r="AR924" s="497"/>
      <c r="AS924" s="497"/>
      <c r="AT924" s="497"/>
      <c r="AU924" s="497"/>
      <c r="AV924" s="497"/>
      <c r="AW924" s="497"/>
      <c r="AX924" s="497"/>
      <c r="AY924" s="497"/>
      <c r="AZ924" s="497"/>
      <c r="BA924" s="497"/>
      <c r="BB924" s="497"/>
      <c r="BC924" s="497"/>
      <c r="BD924" s="497"/>
      <c r="BE924" s="497"/>
      <c r="BF924" s="497"/>
      <c r="BG924" s="497"/>
      <c r="BH924" s="497"/>
      <c r="BI924" s="497"/>
      <c r="BJ924" s="497"/>
      <c r="BK924" s="497"/>
      <c r="BL924" s="497"/>
      <c r="BM924" s="497"/>
      <c r="BN924" s="497"/>
      <c r="BO924" s="497"/>
      <c r="BP924" s="497"/>
      <c r="BQ924" s="497"/>
      <c r="BR924" s="497"/>
      <c r="BS924" s="497"/>
      <c r="BT924" s="497"/>
      <c r="BU924" s="497"/>
      <c r="BV924" s="497"/>
      <c r="BW924" s="497"/>
      <c r="BX924" s="497"/>
      <c r="BY924" s="497"/>
      <c r="BZ924" s="497"/>
      <c r="CA924" s="497"/>
      <c r="CB924" s="497"/>
      <c r="CC924" s="497"/>
      <c r="CD924" s="497"/>
      <c r="CE924" s="497"/>
      <c r="CF924" s="497"/>
      <c r="CG924" s="497"/>
      <c r="CH924" s="497"/>
    </row>
    <row r="925" spans="1:86" s="335" customFormat="1">
      <c r="A925" s="517"/>
      <c r="B925" s="517"/>
      <c r="C925" s="517"/>
      <c r="D925" s="517"/>
      <c r="E925" s="517"/>
      <c r="F925" s="517"/>
      <c r="G925" s="517"/>
      <c r="H925" s="639"/>
      <c r="I925" s="639"/>
      <c r="J925" s="336"/>
      <c r="K925" s="2056"/>
      <c r="L925" s="337"/>
      <c r="N925" s="2057"/>
      <c r="O925" s="337"/>
      <c r="P925" s="337"/>
      <c r="Q925" s="337"/>
      <c r="R925" s="337"/>
      <c r="S925" s="337"/>
      <c r="T925" s="337"/>
      <c r="U925" s="497"/>
      <c r="V925" s="497"/>
      <c r="W925" s="497"/>
      <c r="X925" s="497"/>
      <c r="Y925" s="497"/>
      <c r="Z925" s="497"/>
      <c r="AA925" s="497"/>
      <c r="AB925" s="497"/>
      <c r="AC925" s="497"/>
      <c r="AD925" s="497"/>
      <c r="AE925" s="497"/>
      <c r="AF925" s="497"/>
      <c r="AG925" s="497"/>
      <c r="AH925" s="497"/>
      <c r="AI925" s="497"/>
      <c r="AJ925" s="497"/>
      <c r="AK925" s="497"/>
      <c r="AL925" s="497"/>
      <c r="AM925" s="497"/>
      <c r="AN925" s="497"/>
      <c r="AO925" s="497"/>
      <c r="AP925" s="497"/>
      <c r="AQ925" s="497"/>
      <c r="AR925" s="497"/>
      <c r="AS925" s="497"/>
      <c r="AT925" s="497"/>
      <c r="AU925" s="497"/>
      <c r="AV925" s="497"/>
      <c r="AW925" s="497"/>
      <c r="AX925" s="497"/>
      <c r="AY925" s="497"/>
      <c r="AZ925" s="497"/>
      <c r="BA925" s="497"/>
      <c r="BB925" s="497"/>
      <c r="BC925" s="497"/>
      <c r="BD925" s="497"/>
      <c r="BE925" s="497"/>
      <c r="BF925" s="497"/>
      <c r="BG925" s="497"/>
      <c r="BH925" s="497"/>
      <c r="BI925" s="497"/>
      <c r="BJ925" s="497"/>
      <c r="BK925" s="497"/>
      <c r="BL925" s="497"/>
      <c r="BM925" s="497"/>
      <c r="BN925" s="497"/>
      <c r="BO925" s="497"/>
      <c r="BP925" s="497"/>
      <c r="BQ925" s="497"/>
      <c r="BR925" s="497"/>
      <c r="BS925" s="497"/>
      <c r="BT925" s="497"/>
      <c r="BU925" s="497"/>
      <c r="BV925" s="497"/>
      <c r="BW925" s="497"/>
      <c r="BX925" s="497"/>
      <c r="BY925" s="497"/>
      <c r="BZ925" s="497"/>
      <c r="CA925" s="497"/>
      <c r="CB925" s="497"/>
      <c r="CC925" s="497"/>
      <c r="CD925" s="497"/>
      <c r="CE925" s="497"/>
      <c r="CF925" s="497"/>
      <c r="CG925" s="497"/>
      <c r="CH925" s="497"/>
    </row>
    <row r="926" spans="1:86" s="335" customFormat="1">
      <c r="A926" s="517"/>
      <c r="B926" s="517"/>
      <c r="C926" s="517"/>
      <c r="D926" s="517"/>
      <c r="E926" s="517"/>
      <c r="F926" s="517"/>
      <c r="G926" s="517"/>
      <c r="H926" s="639"/>
      <c r="I926" s="639"/>
      <c r="J926" s="336"/>
      <c r="K926" s="2056"/>
      <c r="L926" s="337"/>
      <c r="N926" s="2057"/>
      <c r="O926" s="337"/>
      <c r="P926" s="337"/>
      <c r="Q926" s="337"/>
      <c r="R926" s="337"/>
      <c r="S926" s="337"/>
      <c r="T926" s="337"/>
      <c r="U926" s="497"/>
      <c r="V926" s="497"/>
      <c r="W926" s="497"/>
      <c r="X926" s="497"/>
      <c r="Y926" s="497"/>
      <c r="Z926" s="497"/>
      <c r="AA926" s="497"/>
      <c r="AB926" s="497"/>
      <c r="AC926" s="497"/>
      <c r="AD926" s="497"/>
      <c r="AE926" s="497"/>
      <c r="AF926" s="497"/>
      <c r="AG926" s="497"/>
      <c r="AH926" s="497"/>
      <c r="AI926" s="497"/>
      <c r="AJ926" s="497"/>
      <c r="AK926" s="497"/>
      <c r="AL926" s="497"/>
      <c r="AM926" s="497"/>
      <c r="AN926" s="497"/>
      <c r="AO926" s="497"/>
      <c r="AP926" s="497"/>
      <c r="AQ926" s="497"/>
      <c r="AR926" s="497"/>
      <c r="AS926" s="497"/>
      <c r="AT926" s="497"/>
      <c r="AU926" s="497"/>
      <c r="AV926" s="497"/>
      <c r="AW926" s="497"/>
      <c r="AX926" s="497"/>
      <c r="AY926" s="497"/>
      <c r="AZ926" s="497"/>
      <c r="BA926" s="497"/>
      <c r="BB926" s="497"/>
      <c r="BC926" s="497"/>
      <c r="BD926" s="497"/>
      <c r="BE926" s="497"/>
      <c r="BF926" s="497"/>
      <c r="BG926" s="497"/>
      <c r="BH926" s="497"/>
      <c r="BI926" s="497"/>
      <c r="BJ926" s="497"/>
      <c r="BK926" s="497"/>
      <c r="BL926" s="497"/>
      <c r="BM926" s="497"/>
      <c r="BN926" s="497"/>
      <c r="BO926" s="497"/>
      <c r="BP926" s="497"/>
      <c r="BQ926" s="497"/>
      <c r="BR926" s="497"/>
      <c r="BS926" s="497"/>
      <c r="BT926" s="497"/>
      <c r="BU926" s="497"/>
      <c r="BV926" s="497"/>
      <c r="BW926" s="497"/>
      <c r="BX926" s="497"/>
      <c r="BY926" s="497"/>
      <c r="BZ926" s="497"/>
      <c r="CA926" s="497"/>
      <c r="CB926" s="497"/>
      <c r="CC926" s="497"/>
      <c r="CD926" s="497"/>
      <c r="CE926" s="497"/>
      <c r="CF926" s="497"/>
      <c r="CG926" s="497"/>
      <c r="CH926" s="497"/>
    </row>
    <row r="927" spans="1:86" s="335" customFormat="1">
      <c r="A927" s="517"/>
      <c r="B927" s="517"/>
      <c r="C927" s="517"/>
      <c r="D927" s="517"/>
      <c r="E927" s="517"/>
      <c r="F927" s="517"/>
      <c r="G927" s="517"/>
      <c r="H927" s="639"/>
      <c r="I927" s="639"/>
      <c r="J927" s="336"/>
      <c r="K927" s="2056"/>
      <c r="L927" s="337"/>
      <c r="N927" s="2057"/>
      <c r="O927" s="337"/>
      <c r="P927" s="337"/>
      <c r="Q927" s="337"/>
      <c r="R927" s="337"/>
      <c r="S927" s="337"/>
      <c r="T927" s="337"/>
      <c r="U927" s="497"/>
      <c r="V927" s="497"/>
      <c r="W927" s="497"/>
      <c r="X927" s="497"/>
      <c r="Y927" s="497"/>
      <c r="Z927" s="497"/>
      <c r="AA927" s="497"/>
      <c r="AB927" s="497"/>
      <c r="AC927" s="497"/>
      <c r="AD927" s="497"/>
      <c r="AE927" s="497"/>
      <c r="AF927" s="497"/>
      <c r="AG927" s="497"/>
      <c r="AH927" s="497"/>
      <c r="AI927" s="497"/>
      <c r="AJ927" s="497"/>
      <c r="AK927" s="497"/>
      <c r="AL927" s="497"/>
      <c r="AM927" s="497"/>
      <c r="AN927" s="497"/>
      <c r="AO927" s="497"/>
      <c r="AP927" s="497"/>
      <c r="AQ927" s="497"/>
      <c r="AR927" s="497"/>
      <c r="AS927" s="497"/>
      <c r="AT927" s="497"/>
      <c r="AU927" s="497"/>
      <c r="AV927" s="497"/>
      <c r="AW927" s="497"/>
      <c r="AX927" s="497"/>
      <c r="AY927" s="497"/>
      <c r="AZ927" s="497"/>
      <c r="BA927" s="497"/>
      <c r="BB927" s="497"/>
      <c r="BC927" s="497"/>
      <c r="BD927" s="497"/>
      <c r="BE927" s="497"/>
      <c r="BF927" s="497"/>
      <c r="BG927" s="497"/>
      <c r="BH927" s="497"/>
      <c r="BI927" s="497"/>
      <c r="BJ927" s="497"/>
      <c r="BK927" s="497"/>
      <c r="BL927" s="497"/>
      <c r="BM927" s="497"/>
      <c r="BN927" s="497"/>
      <c r="BO927" s="497"/>
      <c r="BP927" s="497"/>
      <c r="BQ927" s="497"/>
      <c r="BR927" s="497"/>
      <c r="BS927" s="497"/>
      <c r="BT927" s="497"/>
      <c r="BU927" s="497"/>
      <c r="BV927" s="497"/>
      <c r="BW927" s="497"/>
      <c r="BX927" s="497"/>
      <c r="BY927" s="497"/>
      <c r="BZ927" s="497"/>
      <c r="CA927" s="497"/>
      <c r="CB927" s="497"/>
      <c r="CC927" s="497"/>
      <c r="CD927" s="497"/>
      <c r="CE927" s="497"/>
      <c r="CF927" s="497"/>
      <c r="CG927" s="497"/>
      <c r="CH927" s="497"/>
    </row>
    <row r="928" spans="1:86" s="335" customFormat="1">
      <c r="A928" s="517"/>
      <c r="B928" s="517"/>
      <c r="C928" s="517"/>
      <c r="D928" s="517"/>
      <c r="E928" s="517"/>
      <c r="F928" s="517"/>
      <c r="G928" s="517"/>
      <c r="H928" s="639"/>
      <c r="I928" s="639"/>
      <c r="J928" s="336"/>
      <c r="K928" s="2056"/>
      <c r="L928" s="337"/>
      <c r="N928" s="2057"/>
      <c r="O928" s="337"/>
      <c r="P928" s="337"/>
      <c r="Q928" s="337"/>
      <c r="R928" s="337"/>
      <c r="S928" s="337"/>
      <c r="T928" s="337"/>
      <c r="U928" s="497"/>
      <c r="V928" s="497"/>
      <c r="W928" s="497"/>
      <c r="X928" s="497"/>
      <c r="Y928" s="497"/>
      <c r="Z928" s="497"/>
      <c r="AA928" s="497"/>
      <c r="AB928" s="497"/>
      <c r="AC928" s="497"/>
      <c r="AD928" s="497"/>
      <c r="AE928" s="497"/>
      <c r="AF928" s="497"/>
      <c r="AG928" s="497"/>
      <c r="AH928" s="497"/>
      <c r="AI928" s="497"/>
      <c r="AJ928" s="497"/>
      <c r="AK928" s="497"/>
      <c r="AL928" s="497"/>
      <c r="AM928" s="497"/>
      <c r="AN928" s="497"/>
      <c r="AO928" s="497"/>
      <c r="AP928" s="497"/>
      <c r="AQ928" s="497"/>
      <c r="AR928" s="497"/>
      <c r="AS928" s="497"/>
      <c r="AT928" s="497"/>
      <c r="AU928" s="497"/>
      <c r="AV928" s="497"/>
      <c r="AW928" s="497"/>
      <c r="AX928" s="497"/>
      <c r="AY928" s="497"/>
      <c r="AZ928" s="497"/>
      <c r="BA928" s="497"/>
      <c r="BB928" s="497"/>
      <c r="BC928" s="497"/>
      <c r="BD928" s="497"/>
      <c r="BE928" s="497"/>
      <c r="BF928" s="497"/>
      <c r="BG928" s="497"/>
      <c r="BH928" s="497"/>
      <c r="BI928" s="497"/>
      <c r="BJ928" s="497"/>
      <c r="BK928" s="497"/>
      <c r="BL928" s="497"/>
      <c r="BM928" s="497"/>
      <c r="BN928" s="497"/>
      <c r="BO928" s="497"/>
      <c r="BP928" s="497"/>
      <c r="BQ928" s="497"/>
      <c r="BR928" s="497"/>
      <c r="BS928" s="497"/>
      <c r="BT928" s="497"/>
      <c r="BU928" s="497"/>
      <c r="BV928" s="497"/>
      <c r="BW928" s="497"/>
      <c r="BX928" s="497"/>
      <c r="BY928" s="497"/>
      <c r="BZ928" s="497"/>
      <c r="CA928" s="497"/>
      <c r="CB928" s="497"/>
      <c r="CC928" s="497"/>
      <c r="CD928" s="497"/>
      <c r="CE928" s="497"/>
      <c r="CF928" s="497"/>
      <c r="CG928" s="497"/>
      <c r="CH928" s="497"/>
    </row>
    <row r="929" spans="1:86" s="335" customFormat="1">
      <c r="A929" s="517"/>
      <c r="B929" s="517"/>
      <c r="C929" s="517"/>
      <c r="D929" s="517"/>
      <c r="E929" s="517"/>
      <c r="F929" s="517"/>
      <c r="G929" s="517"/>
      <c r="H929" s="639"/>
      <c r="I929" s="639"/>
      <c r="J929" s="336"/>
      <c r="K929" s="2056"/>
      <c r="L929" s="337"/>
      <c r="N929" s="2057"/>
      <c r="O929" s="337"/>
      <c r="P929" s="337"/>
      <c r="Q929" s="337"/>
      <c r="R929" s="337"/>
      <c r="S929" s="337"/>
      <c r="T929" s="337"/>
      <c r="U929" s="497"/>
      <c r="V929" s="497"/>
      <c r="W929" s="497"/>
      <c r="X929" s="497"/>
      <c r="Y929" s="497"/>
      <c r="Z929" s="497"/>
      <c r="AA929" s="497"/>
      <c r="AB929" s="497"/>
      <c r="AC929" s="497"/>
      <c r="AD929" s="497"/>
      <c r="AE929" s="497"/>
      <c r="AF929" s="497"/>
      <c r="AG929" s="497"/>
      <c r="AH929" s="497"/>
      <c r="AI929" s="497"/>
      <c r="AJ929" s="497"/>
      <c r="AK929" s="497"/>
      <c r="AL929" s="497"/>
      <c r="AM929" s="497"/>
      <c r="AN929" s="497"/>
      <c r="AO929" s="497"/>
      <c r="AP929" s="497"/>
      <c r="AQ929" s="497"/>
      <c r="AR929" s="497"/>
      <c r="AS929" s="497"/>
      <c r="AT929" s="497"/>
      <c r="AU929" s="497"/>
      <c r="AV929" s="497"/>
      <c r="AW929" s="497"/>
      <c r="AX929" s="497"/>
      <c r="AY929" s="497"/>
      <c r="AZ929" s="497"/>
      <c r="BA929" s="497"/>
      <c r="BB929" s="497"/>
      <c r="BC929" s="497"/>
      <c r="BD929" s="497"/>
      <c r="BE929" s="497"/>
      <c r="BF929" s="497"/>
      <c r="BG929" s="497"/>
      <c r="BH929" s="497"/>
      <c r="BI929" s="497"/>
      <c r="BJ929" s="497"/>
      <c r="BK929" s="497"/>
      <c r="BL929" s="497"/>
      <c r="BM929" s="497"/>
      <c r="BN929" s="497"/>
      <c r="BO929" s="497"/>
      <c r="BP929" s="497"/>
      <c r="BQ929" s="497"/>
      <c r="BR929" s="497"/>
      <c r="BS929" s="497"/>
      <c r="BT929" s="497"/>
      <c r="BU929" s="497"/>
      <c r="BV929" s="497"/>
      <c r="BW929" s="497"/>
      <c r="BX929" s="497"/>
      <c r="BY929" s="497"/>
      <c r="BZ929" s="497"/>
      <c r="CA929" s="497"/>
      <c r="CB929" s="497"/>
      <c r="CC929" s="497"/>
      <c r="CD929" s="497"/>
      <c r="CE929" s="497"/>
      <c r="CF929" s="497"/>
      <c r="CG929" s="497"/>
      <c r="CH929" s="497"/>
    </row>
    <row r="930" spans="1:86" s="335" customFormat="1">
      <c r="A930" s="517"/>
      <c r="B930" s="517"/>
      <c r="C930" s="517"/>
      <c r="D930" s="517"/>
      <c r="E930" s="517"/>
      <c r="F930" s="517"/>
      <c r="G930" s="517"/>
      <c r="H930" s="639"/>
      <c r="I930" s="639"/>
      <c r="J930" s="336"/>
      <c r="K930" s="2056"/>
      <c r="L930" s="337"/>
      <c r="N930" s="2057"/>
      <c r="O930" s="337"/>
      <c r="P930" s="337"/>
      <c r="Q930" s="337"/>
      <c r="R930" s="337"/>
      <c r="S930" s="337"/>
      <c r="T930" s="337"/>
      <c r="U930" s="497"/>
      <c r="V930" s="497"/>
      <c r="W930" s="497"/>
      <c r="X930" s="497"/>
      <c r="Y930" s="497"/>
      <c r="Z930" s="497"/>
      <c r="AA930" s="497"/>
      <c r="AB930" s="497"/>
      <c r="AC930" s="497"/>
      <c r="AD930" s="497"/>
      <c r="AE930" s="497"/>
      <c r="AF930" s="497"/>
      <c r="AG930" s="497"/>
      <c r="AH930" s="497"/>
      <c r="AI930" s="497"/>
      <c r="AJ930" s="497"/>
      <c r="AK930" s="497"/>
      <c r="AL930" s="497"/>
      <c r="AM930" s="497"/>
      <c r="AN930" s="497"/>
      <c r="AO930" s="497"/>
      <c r="AP930" s="497"/>
      <c r="AQ930" s="497"/>
      <c r="AR930" s="497"/>
      <c r="AS930" s="497"/>
      <c r="AT930" s="497"/>
      <c r="AU930" s="497"/>
      <c r="AV930" s="497"/>
      <c r="AW930" s="497"/>
      <c r="AX930" s="497"/>
      <c r="AY930" s="497"/>
      <c r="AZ930" s="497"/>
      <c r="BA930" s="497"/>
      <c r="BB930" s="497"/>
      <c r="BC930" s="497"/>
      <c r="BD930" s="497"/>
      <c r="BE930" s="497"/>
      <c r="BF930" s="497"/>
      <c r="BG930" s="497"/>
      <c r="BH930" s="497"/>
      <c r="BI930" s="497"/>
      <c r="BJ930" s="497"/>
      <c r="BK930" s="497"/>
      <c r="BL930" s="497"/>
      <c r="BM930" s="497"/>
      <c r="BN930" s="497"/>
      <c r="BO930" s="497"/>
      <c r="BP930" s="497"/>
      <c r="BQ930" s="497"/>
      <c r="BR930" s="497"/>
      <c r="BS930" s="497"/>
      <c r="BT930" s="497"/>
      <c r="BU930" s="497"/>
      <c r="BV930" s="497"/>
      <c r="BW930" s="497"/>
      <c r="BX930" s="497"/>
      <c r="BY930" s="497"/>
      <c r="BZ930" s="497"/>
      <c r="CA930" s="497"/>
      <c r="CB930" s="497"/>
      <c r="CC930" s="497"/>
      <c r="CD930" s="497"/>
      <c r="CE930" s="497"/>
      <c r="CF930" s="497"/>
      <c r="CG930" s="497"/>
      <c r="CH930" s="497"/>
    </row>
    <row r="931" spans="1:86" s="335" customFormat="1">
      <c r="A931" s="517"/>
      <c r="B931" s="517"/>
      <c r="C931" s="517"/>
      <c r="D931" s="517"/>
      <c r="E931" s="517"/>
      <c r="F931" s="517"/>
      <c r="G931" s="517"/>
      <c r="H931" s="639"/>
      <c r="I931" s="639"/>
      <c r="J931" s="336"/>
      <c r="K931" s="2056"/>
      <c r="L931" s="337"/>
      <c r="N931" s="2057"/>
      <c r="O931" s="337"/>
      <c r="P931" s="337"/>
      <c r="Q931" s="337"/>
      <c r="R931" s="337"/>
      <c r="S931" s="337"/>
      <c r="T931" s="337"/>
      <c r="U931" s="497"/>
      <c r="V931" s="497"/>
      <c r="W931" s="497"/>
      <c r="X931" s="497"/>
      <c r="Y931" s="497"/>
      <c r="Z931" s="497"/>
      <c r="AA931" s="497"/>
      <c r="AB931" s="497"/>
      <c r="AC931" s="497"/>
      <c r="AD931" s="497"/>
      <c r="AE931" s="497"/>
      <c r="AF931" s="497"/>
      <c r="AG931" s="497"/>
      <c r="AH931" s="497"/>
      <c r="AI931" s="497"/>
      <c r="AJ931" s="497"/>
      <c r="AK931" s="497"/>
      <c r="AL931" s="497"/>
      <c r="AM931" s="497"/>
      <c r="AN931" s="497"/>
      <c r="AO931" s="497"/>
      <c r="AP931" s="497"/>
      <c r="AQ931" s="497"/>
      <c r="AR931" s="497"/>
      <c r="AS931" s="497"/>
      <c r="AT931" s="497"/>
      <c r="AU931" s="497"/>
      <c r="AV931" s="497"/>
      <c r="AW931" s="497"/>
      <c r="AX931" s="497"/>
      <c r="AY931" s="497"/>
      <c r="AZ931" s="497"/>
      <c r="BA931" s="497"/>
      <c r="BB931" s="497"/>
      <c r="BC931" s="497"/>
      <c r="BD931" s="497"/>
      <c r="BE931" s="497"/>
      <c r="BF931" s="497"/>
      <c r="BG931" s="497"/>
      <c r="BH931" s="497"/>
      <c r="BI931" s="497"/>
      <c r="BJ931" s="497"/>
      <c r="BK931" s="497"/>
      <c r="BL931" s="497"/>
      <c r="BM931" s="497"/>
      <c r="BN931" s="497"/>
      <c r="BO931" s="497"/>
      <c r="BP931" s="497"/>
      <c r="BQ931" s="497"/>
      <c r="BR931" s="497"/>
      <c r="BS931" s="497"/>
      <c r="BT931" s="497"/>
      <c r="BU931" s="497"/>
      <c r="BV931" s="497"/>
      <c r="BW931" s="497"/>
      <c r="BX931" s="497"/>
      <c r="BY931" s="497"/>
      <c r="BZ931" s="497"/>
      <c r="CA931" s="497"/>
      <c r="CB931" s="497"/>
      <c r="CC931" s="497"/>
      <c r="CD931" s="497"/>
      <c r="CE931" s="497"/>
      <c r="CF931" s="497"/>
      <c r="CG931" s="497"/>
      <c r="CH931" s="497"/>
    </row>
    <row r="932" spans="1:86" s="335" customFormat="1">
      <c r="A932" s="517"/>
      <c r="B932" s="517"/>
      <c r="C932" s="517"/>
      <c r="D932" s="517"/>
      <c r="E932" s="517"/>
      <c r="F932" s="517"/>
      <c r="G932" s="517"/>
      <c r="H932" s="639"/>
      <c r="I932" s="639"/>
      <c r="J932" s="336"/>
      <c r="K932" s="2056"/>
      <c r="L932" s="337"/>
      <c r="N932" s="2057"/>
      <c r="O932" s="337"/>
      <c r="P932" s="337"/>
      <c r="Q932" s="337"/>
      <c r="R932" s="337"/>
      <c r="S932" s="337"/>
      <c r="T932" s="337"/>
      <c r="U932" s="497"/>
      <c r="V932" s="497"/>
      <c r="W932" s="497"/>
      <c r="X932" s="497"/>
      <c r="Y932" s="497"/>
      <c r="Z932" s="497"/>
      <c r="AA932" s="497"/>
      <c r="AB932" s="497"/>
      <c r="AC932" s="497"/>
      <c r="AD932" s="497"/>
      <c r="AE932" s="497"/>
      <c r="AF932" s="497"/>
      <c r="AG932" s="497"/>
      <c r="AH932" s="497"/>
      <c r="AI932" s="497"/>
      <c r="AJ932" s="497"/>
      <c r="AK932" s="497"/>
      <c r="AL932" s="497"/>
      <c r="AM932" s="497"/>
      <c r="AN932" s="497"/>
      <c r="AO932" s="497"/>
      <c r="AP932" s="497"/>
      <c r="AQ932" s="497"/>
      <c r="AR932" s="497"/>
      <c r="AS932" s="497"/>
      <c r="AT932" s="497"/>
      <c r="AU932" s="497"/>
      <c r="AV932" s="497"/>
      <c r="AW932" s="497"/>
      <c r="AX932" s="497"/>
      <c r="AY932" s="497"/>
      <c r="AZ932" s="497"/>
      <c r="BA932" s="497"/>
      <c r="BB932" s="497"/>
      <c r="BC932" s="497"/>
      <c r="BD932" s="497"/>
      <c r="BE932" s="497"/>
      <c r="BF932" s="497"/>
      <c r="BG932" s="497"/>
      <c r="BH932" s="497"/>
      <c r="BI932" s="497"/>
      <c r="BJ932" s="497"/>
      <c r="BK932" s="497"/>
      <c r="BL932" s="497"/>
      <c r="BM932" s="497"/>
      <c r="BN932" s="497"/>
      <c r="BO932" s="497"/>
      <c r="BP932" s="497"/>
      <c r="BQ932" s="497"/>
      <c r="BR932" s="497"/>
      <c r="BS932" s="497"/>
      <c r="BT932" s="497"/>
      <c r="BU932" s="497"/>
      <c r="BV932" s="497"/>
      <c r="BW932" s="497"/>
      <c r="BX932" s="497"/>
      <c r="BY932" s="497"/>
      <c r="BZ932" s="497"/>
      <c r="CA932" s="497"/>
      <c r="CB932" s="497"/>
      <c r="CC932" s="497"/>
      <c r="CD932" s="497"/>
      <c r="CE932" s="497"/>
      <c r="CF932" s="497"/>
      <c r="CG932" s="497"/>
      <c r="CH932" s="497"/>
    </row>
    <row r="933" spans="1:86" s="335" customFormat="1">
      <c r="A933" s="517"/>
      <c r="B933" s="517"/>
      <c r="C933" s="517"/>
      <c r="D933" s="517"/>
      <c r="E933" s="517"/>
      <c r="F933" s="517"/>
      <c r="G933" s="517"/>
      <c r="H933" s="639"/>
      <c r="I933" s="639"/>
      <c r="J933" s="336"/>
      <c r="K933" s="2056"/>
      <c r="L933" s="337"/>
      <c r="N933" s="2057"/>
      <c r="O933" s="337"/>
      <c r="P933" s="337"/>
      <c r="Q933" s="337"/>
      <c r="R933" s="337"/>
      <c r="S933" s="337"/>
      <c r="T933" s="337"/>
      <c r="U933" s="497"/>
      <c r="V933" s="497"/>
      <c r="W933" s="497"/>
      <c r="X933" s="497"/>
      <c r="Y933" s="497"/>
      <c r="Z933" s="497"/>
      <c r="AA933" s="497"/>
      <c r="AB933" s="497"/>
      <c r="AC933" s="497"/>
      <c r="AD933" s="497"/>
      <c r="AE933" s="497"/>
      <c r="AF933" s="497"/>
      <c r="AG933" s="497"/>
      <c r="AH933" s="497"/>
      <c r="AI933" s="497"/>
      <c r="AJ933" s="497"/>
      <c r="AK933" s="497"/>
      <c r="AL933" s="497"/>
      <c r="AM933" s="497"/>
      <c r="AN933" s="497"/>
      <c r="AO933" s="497"/>
      <c r="AP933" s="497"/>
      <c r="AQ933" s="497"/>
      <c r="AR933" s="497"/>
      <c r="AS933" s="497"/>
      <c r="AT933" s="497"/>
      <c r="AU933" s="497"/>
      <c r="AV933" s="497"/>
      <c r="AW933" s="497"/>
      <c r="AX933" s="497"/>
      <c r="AY933" s="497"/>
      <c r="AZ933" s="497"/>
      <c r="BA933" s="497"/>
      <c r="BB933" s="497"/>
      <c r="BC933" s="497"/>
      <c r="BD933" s="497"/>
      <c r="BE933" s="497"/>
      <c r="BF933" s="497"/>
      <c r="BG933" s="497"/>
      <c r="BH933" s="497"/>
      <c r="BI933" s="497"/>
      <c r="BJ933" s="497"/>
      <c r="BK933" s="497"/>
      <c r="BL933" s="497"/>
      <c r="BM933" s="497"/>
      <c r="BN933" s="497"/>
      <c r="BO933" s="497"/>
      <c r="BP933" s="497"/>
      <c r="BQ933" s="497"/>
      <c r="BR933" s="497"/>
      <c r="BS933" s="497"/>
      <c r="BT933" s="497"/>
      <c r="BU933" s="497"/>
      <c r="BV933" s="497"/>
      <c r="BW933" s="497"/>
      <c r="BX933" s="497"/>
      <c r="BY933" s="497"/>
      <c r="BZ933" s="497"/>
      <c r="CA933" s="497"/>
      <c r="CB933" s="497"/>
      <c r="CC933" s="497"/>
      <c r="CD933" s="497"/>
      <c r="CE933" s="497"/>
      <c r="CF933" s="497"/>
      <c r="CG933" s="497"/>
      <c r="CH933" s="497"/>
    </row>
    <row r="934" spans="1:86" s="335" customFormat="1">
      <c r="A934" s="517"/>
      <c r="B934" s="517"/>
      <c r="C934" s="517"/>
      <c r="D934" s="517"/>
      <c r="E934" s="517"/>
      <c r="F934" s="517"/>
      <c r="G934" s="517"/>
      <c r="H934" s="639"/>
      <c r="I934" s="639"/>
      <c r="J934" s="336"/>
      <c r="K934" s="2056"/>
      <c r="L934" s="337"/>
      <c r="N934" s="2057"/>
      <c r="O934" s="337"/>
      <c r="P934" s="337"/>
      <c r="Q934" s="337"/>
      <c r="R934" s="337"/>
      <c r="S934" s="337"/>
      <c r="T934" s="337"/>
      <c r="U934" s="497"/>
      <c r="V934" s="497"/>
      <c r="W934" s="497"/>
      <c r="X934" s="497"/>
      <c r="Y934" s="497"/>
      <c r="Z934" s="497"/>
      <c r="AA934" s="497"/>
      <c r="AB934" s="497"/>
      <c r="AC934" s="497"/>
      <c r="AD934" s="497"/>
      <c r="AE934" s="497"/>
      <c r="AF934" s="497"/>
      <c r="AG934" s="497"/>
      <c r="AH934" s="497"/>
      <c r="AI934" s="497"/>
      <c r="AJ934" s="497"/>
      <c r="AK934" s="497"/>
      <c r="AL934" s="497"/>
      <c r="AM934" s="497"/>
      <c r="AN934" s="497"/>
      <c r="AO934" s="497"/>
      <c r="AP934" s="497"/>
      <c r="AQ934" s="497"/>
      <c r="AR934" s="497"/>
      <c r="AS934" s="497"/>
      <c r="AT934" s="497"/>
      <c r="AU934" s="497"/>
      <c r="AV934" s="497"/>
      <c r="AW934" s="497"/>
      <c r="AX934" s="497"/>
      <c r="AY934" s="497"/>
      <c r="AZ934" s="497"/>
      <c r="BA934" s="497"/>
      <c r="BB934" s="497"/>
      <c r="BC934" s="497"/>
      <c r="BD934" s="497"/>
      <c r="BE934" s="497"/>
      <c r="BF934" s="497"/>
      <c r="BG934" s="497"/>
      <c r="BH934" s="497"/>
      <c r="BI934" s="497"/>
      <c r="BJ934" s="497"/>
      <c r="BK934" s="497"/>
      <c r="BL934" s="497"/>
      <c r="BM934" s="497"/>
      <c r="BN934" s="497"/>
      <c r="BO934" s="497"/>
      <c r="BP934" s="497"/>
      <c r="BQ934" s="497"/>
      <c r="BR934" s="497"/>
      <c r="BS934" s="497"/>
      <c r="BT934" s="497"/>
      <c r="BU934" s="497"/>
      <c r="BV934" s="497"/>
      <c r="BW934" s="497"/>
      <c r="BX934" s="497"/>
      <c r="BY934" s="497"/>
      <c r="BZ934" s="497"/>
      <c r="CA934" s="497"/>
      <c r="CB934" s="497"/>
      <c r="CC934" s="497"/>
      <c r="CD934" s="497"/>
      <c r="CE934" s="497"/>
      <c r="CF934" s="497"/>
      <c r="CG934" s="497"/>
      <c r="CH934" s="497"/>
    </row>
    <row r="935" spans="1:86" s="335" customFormat="1">
      <c r="A935" s="517"/>
      <c r="B935" s="517"/>
      <c r="C935" s="517"/>
      <c r="D935" s="517"/>
      <c r="E935" s="517"/>
      <c r="F935" s="517"/>
      <c r="G935" s="517"/>
      <c r="H935" s="639"/>
      <c r="I935" s="639"/>
      <c r="J935" s="336"/>
      <c r="K935" s="2056"/>
      <c r="L935" s="337"/>
      <c r="N935" s="2057"/>
      <c r="O935" s="337"/>
      <c r="P935" s="337"/>
      <c r="Q935" s="337"/>
      <c r="R935" s="337"/>
      <c r="S935" s="337"/>
      <c r="T935" s="337"/>
      <c r="U935" s="497"/>
      <c r="V935" s="497"/>
      <c r="W935" s="497"/>
      <c r="X935" s="497"/>
      <c r="Y935" s="497"/>
      <c r="Z935" s="497"/>
      <c r="AA935" s="497"/>
      <c r="AB935" s="497"/>
      <c r="AC935" s="497"/>
      <c r="AD935" s="497"/>
      <c r="AE935" s="497"/>
      <c r="AF935" s="497"/>
      <c r="AG935" s="497"/>
      <c r="AH935" s="497"/>
      <c r="AI935" s="497"/>
      <c r="AJ935" s="497"/>
      <c r="AK935" s="497"/>
      <c r="AL935" s="497"/>
      <c r="AM935" s="497"/>
      <c r="AN935" s="497"/>
      <c r="AO935" s="497"/>
      <c r="AP935" s="497"/>
      <c r="AQ935" s="497"/>
      <c r="AR935" s="497"/>
      <c r="AS935" s="497"/>
      <c r="AT935" s="497"/>
      <c r="AU935" s="497"/>
      <c r="AV935" s="497"/>
      <c r="AW935" s="497"/>
      <c r="AX935" s="497"/>
      <c r="AY935" s="497"/>
      <c r="AZ935" s="497"/>
      <c r="BA935" s="497"/>
      <c r="BB935" s="497"/>
      <c r="BC935" s="497"/>
      <c r="BD935" s="497"/>
      <c r="BE935" s="497"/>
      <c r="BF935" s="497"/>
      <c r="BG935" s="497"/>
      <c r="BH935" s="497"/>
      <c r="BI935" s="497"/>
      <c r="BJ935" s="497"/>
      <c r="BK935" s="497"/>
      <c r="BL935" s="497"/>
      <c r="BM935" s="497"/>
      <c r="BN935" s="497"/>
      <c r="BO935" s="497"/>
      <c r="BP935" s="497"/>
      <c r="BQ935" s="497"/>
      <c r="BR935" s="497"/>
      <c r="BS935" s="497"/>
      <c r="BT935" s="497"/>
      <c r="BU935" s="497"/>
      <c r="BV935" s="497"/>
      <c r="BW935" s="497"/>
      <c r="BX935" s="497"/>
      <c r="BY935" s="497"/>
      <c r="BZ935" s="497"/>
      <c r="CA935" s="497"/>
      <c r="CB935" s="497"/>
      <c r="CC935" s="497"/>
      <c r="CD935" s="497"/>
      <c r="CE935" s="497"/>
      <c r="CF935" s="497"/>
      <c r="CG935" s="497"/>
      <c r="CH935" s="497"/>
    </row>
    <row r="936" spans="1:86" s="335" customFormat="1">
      <c r="A936" s="517"/>
      <c r="B936" s="517"/>
      <c r="C936" s="517"/>
      <c r="D936" s="517"/>
      <c r="E936" s="517"/>
      <c r="F936" s="517"/>
      <c r="G936" s="517"/>
      <c r="H936" s="639"/>
      <c r="I936" s="639"/>
      <c r="J936" s="336"/>
      <c r="K936" s="2056"/>
      <c r="L936" s="337"/>
      <c r="N936" s="2057"/>
      <c r="O936" s="337"/>
      <c r="P936" s="337"/>
      <c r="Q936" s="337"/>
      <c r="R936" s="337"/>
      <c r="S936" s="337"/>
      <c r="T936" s="337"/>
      <c r="U936" s="497"/>
      <c r="V936" s="497"/>
      <c r="W936" s="497"/>
      <c r="X936" s="497"/>
      <c r="Y936" s="497"/>
      <c r="Z936" s="497"/>
      <c r="AA936" s="497"/>
      <c r="AB936" s="497"/>
      <c r="AC936" s="497"/>
      <c r="AD936" s="497"/>
      <c r="AE936" s="497"/>
      <c r="AF936" s="497"/>
      <c r="AG936" s="497"/>
      <c r="AH936" s="497"/>
      <c r="AI936" s="497"/>
      <c r="AJ936" s="497"/>
      <c r="AK936" s="497"/>
      <c r="AL936" s="497"/>
      <c r="AM936" s="497"/>
      <c r="AN936" s="497"/>
      <c r="AO936" s="497"/>
      <c r="AP936" s="497"/>
      <c r="AQ936" s="497"/>
      <c r="AR936" s="497"/>
      <c r="AS936" s="497"/>
      <c r="AT936" s="497"/>
      <c r="AU936" s="497"/>
      <c r="AV936" s="497"/>
      <c r="AW936" s="497"/>
      <c r="AX936" s="497"/>
      <c r="AY936" s="497"/>
      <c r="AZ936" s="497"/>
      <c r="BA936" s="497"/>
      <c r="BB936" s="497"/>
      <c r="BC936" s="497"/>
      <c r="BD936" s="497"/>
      <c r="BE936" s="497"/>
      <c r="BF936" s="497"/>
      <c r="BG936" s="497"/>
      <c r="BH936" s="497"/>
      <c r="BI936" s="497"/>
      <c r="BJ936" s="497"/>
      <c r="BK936" s="497"/>
      <c r="BL936" s="497"/>
      <c r="BM936" s="497"/>
      <c r="BN936" s="497"/>
      <c r="BO936" s="497"/>
      <c r="BP936" s="497"/>
      <c r="BQ936" s="497"/>
      <c r="BR936" s="497"/>
      <c r="BS936" s="497"/>
      <c r="BT936" s="497"/>
      <c r="BU936" s="497"/>
      <c r="BV936" s="497"/>
      <c r="BW936" s="497"/>
      <c r="BX936" s="497"/>
      <c r="BY936" s="497"/>
      <c r="BZ936" s="497"/>
      <c r="CA936" s="497"/>
      <c r="CB936" s="497"/>
      <c r="CC936" s="497"/>
      <c r="CD936" s="497"/>
      <c r="CE936" s="497"/>
      <c r="CF936" s="497"/>
      <c r="CG936" s="497"/>
      <c r="CH936" s="497"/>
    </row>
    <row r="937" spans="1:86" s="335" customFormat="1">
      <c r="A937" s="517"/>
      <c r="B937" s="517"/>
      <c r="C937" s="517"/>
      <c r="D937" s="517"/>
      <c r="E937" s="517"/>
      <c r="F937" s="517"/>
      <c r="G937" s="517"/>
      <c r="H937" s="639"/>
      <c r="I937" s="639"/>
      <c r="J937" s="336"/>
      <c r="K937" s="2056"/>
      <c r="L937" s="337"/>
      <c r="N937" s="2057"/>
      <c r="O937" s="337"/>
      <c r="P937" s="337"/>
      <c r="Q937" s="337"/>
      <c r="R937" s="337"/>
      <c r="S937" s="337"/>
      <c r="T937" s="337"/>
      <c r="U937" s="497"/>
      <c r="V937" s="497"/>
      <c r="W937" s="497"/>
      <c r="X937" s="497"/>
      <c r="Y937" s="497"/>
      <c r="Z937" s="497"/>
      <c r="AA937" s="497"/>
      <c r="AB937" s="497"/>
      <c r="AC937" s="497"/>
      <c r="AD937" s="497"/>
      <c r="AE937" s="497"/>
      <c r="AF937" s="497"/>
      <c r="AG937" s="497"/>
      <c r="AH937" s="497"/>
      <c r="AI937" s="497"/>
      <c r="AJ937" s="497"/>
      <c r="AK937" s="497"/>
      <c r="AL937" s="497"/>
      <c r="AM937" s="497"/>
      <c r="AN937" s="497"/>
      <c r="AO937" s="497"/>
      <c r="AP937" s="497"/>
      <c r="AQ937" s="497"/>
      <c r="AR937" s="497"/>
      <c r="AS937" s="497"/>
      <c r="AT937" s="497"/>
      <c r="AU937" s="497"/>
      <c r="AV937" s="497"/>
      <c r="AW937" s="497"/>
      <c r="AX937" s="497"/>
      <c r="AY937" s="497"/>
      <c r="AZ937" s="497"/>
      <c r="BA937" s="497"/>
      <c r="BB937" s="497"/>
      <c r="BC937" s="497"/>
      <c r="BD937" s="497"/>
      <c r="BE937" s="497"/>
      <c r="BF937" s="497"/>
      <c r="BG937" s="497"/>
      <c r="BH937" s="497"/>
      <c r="BI937" s="497"/>
      <c r="BJ937" s="497"/>
      <c r="BK937" s="497"/>
      <c r="BL937" s="497"/>
      <c r="BM937" s="497"/>
      <c r="BN937" s="497"/>
      <c r="BO937" s="497"/>
      <c r="BP937" s="497"/>
      <c r="BQ937" s="497"/>
      <c r="BR937" s="497"/>
      <c r="BS937" s="497"/>
      <c r="BT937" s="497"/>
      <c r="BU937" s="497"/>
      <c r="BV937" s="497"/>
      <c r="BW937" s="497"/>
      <c r="BX937" s="497"/>
      <c r="BY937" s="497"/>
      <c r="BZ937" s="497"/>
      <c r="CA937" s="497"/>
      <c r="CB937" s="497"/>
      <c r="CC937" s="497"/>
      <c r="CD937" s="497"/>
      <c r="CE937" s="497"/>
      <c r="CF937" s="497"/>
      <c r="CG937" s="497"/>
      <c r="CH937" s="497"/>
    </row>
    <row r="938" spans="1:86" s="335" customFormat="1">
      <c r="A938" s="517"/>
      <c r="B938" s="517"/>
      <c r="C938" s="517"/>
      <c r="D938" s="517"/>
      <c r="E938" s="517"/>
      <c r="F938" s="517"/>
      <c r="G938" s="517"/>
      <c r="H938" s="639"/>
      <c r="I938" s="639"/>
      <c r="J938" s="336"/>
      <c r="K938" s="2056"/>
      <c r="L938" s="337"/>
      <c r="N938" s="2057"/>
      <c r="O938" s="337"/>
      <c r="P938" s="337"/>
      <c r="Q938" s="337"/>
      <c r="R938" s="337"/>
      <c r="S938" s="337"/>
      <c r="T938" s="337"/>
      <c r="U938" s="497"/>
      <c r="V938" s="497"/>
      <c r="W938" s="497"/>
      <c r="X938" s="497"/>
      <c r="Y938" s="497"/>
      <c r="Z938" s="497"/>
      <c r="AA938" s="497"/>
      <c r="AB938" s="497"/>
      <c r="AC938" s="497"/>
      <c r="AD938" s="497"/>
      <c r="AE938" s="497"/>
      <c r="AF938" s="497"/>
      <c r="AG938" s="497"/>
      <c r="AH938" s="497"/>
      <c r="AI938" s="497"/>
      <c r="AJ938" s="497"/>
      <c r="AK938" s="497"/>
      <c r="AL938" s="497"/>
      <c r="AM938" s="497"/>
      <c r="AN938" s="497"/>
      <c r="AO938" s="497"/>
      <c r="AP938" s="497"/>
      <c r="AQ938" s="497"/>
      <c r="AR938" s="497"/>
      <c r="AS938" s="497"/>
      <c r="AT938" s="497"/>
      <c r="AU938" s="497"/>
      <c r="AV938" s="497"/>
      <c r="AW938" s="497"/>
      <c r="AX938" s="497"/>
      <c r="AY938" s="497"/>
      <c r="AZ938" s="497"/>
      <c r="BA938" s="497"/>
      <c r="BB938" s="497"/>
      <c r="BC938" s="497"/>
      <c r="BD938" s="497"/>
      <c r="BE938" s="497"/>
      <c r="BF938" s="497"/>
      <c r="BG938" s="497"/>
      <c r="BH938" s="497"/>
      <c r="BI938" s="497"/>
      <c r="BJ938" s="497"/>
      <c r="BK938" s="497"/>
      <c r="BL938" s="497"/>
      <c r="BM938" s="497"/>
      <c r="BN938" s="497"/>
      <c r="BO938" s="497"/>
      <c r="BP938" s="497"/>
      <c r="BQ938" s="497"/>
      <c r="BR938" s="497"/>
      <c r="BS938" s="497"/>
      <c r="BT938" s="497"/>
      <c r="BU938" s="497"/>
      <c r="BV938" s="497"/>
      <c r="BW938" s="497"/>
      <c r="BX938" s="497"/>
      <c r="BY938" s="497"/>
      <c r="BZ938" s="497"/>
      <c r="CA938" s="497"/>
      <c r="CB938" s="497"/>
      <c r="CC938" s="497"/>
      <c r="CD938" s="497"/>
      <c r="CE938" s="497"/>
      <c r="CF938" s="497"/>
      <c r="CG938" s="497"/>
      <c r="CH938" s="497"/>
    </row>
    <row r="939" spans="1:86" s="335" customFormat="1">
      <c r="A939" s="517"/>
      <c r="B939" s="517"/>
      <c r="C939" s="517"/>
      <c r="D939" s="517"/>
      <c r="E939" s="517"/>
      <c r="F939" s="517"/>
      <c r="G939" s="517"/>
      <c r="H939" s="639"/>
      <c r="I939" s="639"/>
      <c r="J939" s="336"/>
      <c r="K939" s="2056"/>
      <c r="L939" s="337"/>
      <c r="N939" s="2057"/>
      <c r="O939" s="337"/>
      <c r="P939" s="337"/>
      <c r="Q939" s="337"/>
      <c r="R939" s="337"/>
      <c r="S939" s="337"/>
      <c r="T939" s="337"/>
      <c r="U939" s="497"/>
      <c r="V939" s="497"/>
      <c r="W939" s="497"/>
      <c r="X939" s="497"/>
      <c r="Y939" s="497"/>
      <c r="Z939" s="497"/>
      <c r="AA939" s="497"/>
      <c r="AB939" s="497"/>
      <c r="AC939" s="497"/>
      <c r="AD939" s="497"/>
      <c r="AE939" s="497"/>
      <c r="AF939" s="497"/>
      <c r="AG939" s="497"/>
      <c r="AH939" s="497"/>
      <c r="AI939" s="497"/>
      <c r="AJ939" s="497"/>
      <c r="AK939" s="497"/>
      <c r="AL939" s="497"/>
      <c r="AM939" s="497"/>
      <c r="AN939" s="497"/>
      <c r="AO939" s="497"/>
      <c r="AP939" s="497"/>
      <c r="AQ939" s="497"/>
      <c r="AR939" s="497"/>
      <c r="AS939" s="497"/>
      <c r="AT939" s="497"/>
      <c r="AU939" s="497"/>
      <c r="AV939" s="497"/>
      <c r="AW939" s="497"/>
      <c r="AX939" s="497"/>
      <c r="AY939" s="497"/>
      <c r="AZ939" s="497"/>
      <c r="BA939" s="497"/>
      <c r="BB939" s="497"/>
      <c r="BC939" s="497"/>
      <c r="BD939" s="497"/>
      <c r="BE939" s="497"/>
      <c r="BF939" s="497"/>
      <c r="BG939" s="497"/>
      <c r="BH939" s="497"/>
      <c r="BI939" s="497"/>
      <c r="BJ939" s="497"/>
      <c r="BK939" s="497"/>
      <c r="BL939" s="497"/>
      <c r="BM939" s="497"/>
      <c r="BN939" s="497"/>
      <c r="BO939" s="497"/>
      <c r="BP939" s="497"/>
      <c r="BQ939" s="497"/>
      <c r="BR939" s="497"/>
      <c r="BS939" s="497"/>
      <c r="BT939" s="497"/>
      <c r="BU939" s="497"/>
      <c r="BV939" s="497"/>
      <c r="BW939" s="497"/>
      <c r="BX939" s="497"/>
      <c r="BY939" s="497"/>
      <c r="BZ939" s="497"/>
      <c r="CA939" s="497"/>
      <c r="CB939" s="497"/>
      <c r="CC939" s="497"/>
      <c r="CD939" s="497"/>
      <c r="CE939" s="497"/>
      <c r="CF939" s="497"/>
      <c r="CG939" s="497"/>
      <c r="CH939" s="497"/>
    </row>
    <row r="940" spans="1:86" s="335" customFormat="1">
      <c r="A940" s="517"/>
      <c r="B940" s="517"/>
      <c r="C940" s="517"/>
      <c r="D940" s="517"/>
      <c r="E940" s="517"/>
      <c r="F940" s="517"/>
      <c r="G940" s="517"/>
      <c r="H940" s="639"/>
      <c r="I940" s="639"/>
      <c r="J940" s="336"/>
      <c r="K940" s="2056"/>
      <c r="L940" s="337"/>
      <c r="N940" s="2057"/>
      <c r="O940" s="337"/>
      <c r="P940" s="337"/>
      <c r="Q940" s="337"/>
      <c r="R940" s="337"/>
      <c r="S940" s="337"/>
      <c r="T940" s="337"/>
      <c r="U940" s="497"/>
      <c r="V940" s="497"/>
      <c r="W940" s="497"/>
      <c r="X940" s="497"/>
      <c r="Y940" s="497"/>
      <c r="Z940" s="497"/>
      <c r="AA940" s="497"/>
      <c r="AB940" s="497"/>
      <c r="AC940" s="497"/>
      <c r="AD940" s="497"/>
      <c r="AE940" s="497"/>
      <c r="AF940" s="497"/>
      <c r="AG940" s="497"/>
      <c r="AH940" s="497"/>
      <c r="AI940" s="497"/>
      <c r="AJ940" s="497"/>
      <c r="AK940" s="497"/>
      <c r="AL940" s="497"/>
      <c r="AM940" s="497"/>
      <c r="AN940" s="497"/>
      <c r="AO940" s="497"/>
      <c r="AP940" s="497"/>
      <c r="AQ940" s="497"/>
      <c r="AR940" s="497"/>
      <c r="AS940" s="497"/>
      <c r="AT940" s="497"/>
      <c r="AU940" s="497"/>
      <c r="AV940" s="497"/>
      <c r="AW940" s="497"/>
      <c r="AX940" s="497"/>
      <c r="AY940" s="497"/>
      <c r="AZ940" s="497"/>
      <c r="BA940" s="497"/>
      <c r="BB940" s="497"/>
      <c r="BC940" s="497"/>
      <c r="BD940" s="497"/>
      <c r="BE940" s="497"/>
      <c r="BF940" s="497"/>
      <c r="BG940" s="497"/>
      <c r="BH940" s="497"/>
      <c r="BI940" s="497"/>
      <c r="BJ940" s="497"/>
      <c r="BK940" s="497"/>
      <c r="BL940" s="497"/>
      <c r="BM940" s="497"/>
      <c r="BN940" s="497"/>
      <c r="BO940" s="497"/>
      <c r="BP940" s="497"/>
      <c r="BQ940" s="497"/>
      <c r="BR940" s="497"/>
      <c r="BS940" s="497"/>
      <c r="BT940" s="497"/>
      <c r="BU940" s="497"/>
      <c r="BV940" s="497"/>
      <c r="BW940" s="497"/>
      <c r="BX940" s="497"/>
      <c r="BY940" s="497"/>
      <c r="BZ940" s="497"/>
      <c r="CA940" s="497"/>
      <c r="CB940" s="497"/>
      <c r="CC940" s="497"/>
      <c r="CD940" s="497"/>
      <c r="CE940" s="497"/>
      <c r="CF940" s="497"/>
      <c r="CG940" s="497"/>
      <c r="CH940" s="497"/>
    </row>
    <row r="941" spans="1:86" s="335" customFormat="1">
      <c r="A941" s="517"/>
      <c r="B941" s="517"/>
      <c r="C941" s="517"/>
      <c r="D941" s="517"/>
      <c r="E941" s="517"/>
      <c r="F941" s="517"/>
      <c r="G941" s="517"/>
      <c r="H941" s="639"/>
      <c r="I941" s="639"/>
      <c r="J941" s="336"/>
      <c r="K941" s="2056"/>
      <c r="L941" s="337"/>
      <c r="N941" s="2057"/>
      <c r="O941" s="337"/>
      <c r="P941" s="337"/>
      <c r="Q941" s="337"/>
      <c r="R941" s="337"/>
      <c r="S941" s="337"/>
      <c r="T941" s="337"/>
      <c r="U941" s="497"/>
      <c r="V941" s="497"/>
      <c r="W941" s="497"/>
      <c r="X941" s="497"/>
      <c r="Y941" s="497"/>
      <c r="Z941" s="497"/>
      <c r="AA941" s="497"/>
      <c r="AB941" s="497"/>
      <c r="AC941" s="497"/>
      <c r="AD941" s="497"/>
      <c r="AE941" s="497"/>
      <c r="AF941" s="497"/>
      <c r="AG941" s="497"/>
      <c r="AH941" s="497"/>
      <c r="AI941" s="497"/>
      <c r="AJ941" s="497"/>
      <c r="AK941" s="497"/>
      <c r="AL941" s="497"/>
      <c r="AM941" s="497"/>
      <c r="AN941" s="497"/>
      <c r="AO941" s="497"/>
      <c r="AP941" s="497"/>
      <c r="AQ941" s="497"/>
      <c r="AR941" s="497"/>
      <c r="AS941" s="497"/>
      <c r="AT941" s="497"/>
      <c r="AU941" s="497"/>
      <c r="AV941" s="497"/>
      <c r="AW941" s="497"/>
      <c r="AX941" s="497"/>
      <c r="AY941" s="497"/>
      <c r="AZ941" s="497"/>
      <c r="BA941" s="497"/>
      <c r="BB941" s="497"/>
      <c r="BC941" s="497"/>
      <c r="BD941" s="497"/>
      <c r="BE941" s="497"/>
      <c r="BF941" s="497"/>
      <c r="BG941" s="497"/>
      <c r="BH941" s="497"/>
      <c r="BI941" s="497"/>
      <c r="BJ941" s="497"/>
      <c r="BK941" s="497"/>
      <c r="BL941" s="497"/>
      <c r="BM941" s="497"/>
      <c r="BN941" s="497"/>
      <c r="BO941" s="497"/>
      <c r="BP941" s="497"/>
      <c r="BQ941" s="497"/>
      <c r="BR941" s="497"/>
      <c r="BS941" s="497"/>
      <c r="BT941" s="497"/>
      <c r="BU941" s="497"/>
      <c r="BV941" s="497"/>
      <c r="BW941" s="497"/>
      <c r="BX941" s="497"/>
      <c r="BY941" s="497"/>
      <c r="BZ941" s="497"/>
      <c r="CA941" s="497"/>
      <c r="CB941" s="497"/>
      <c r="CC941" s="497"/>
      <c r="CD941" s="497"/>
      <c r="CE941" s="497"/>
      <c r="CF941" s="497"/>
      <c r="CG941" s="497"/>
      <c r="CH941" s="497"/>
    </row>
    <row r="942" spans="1:86" s="335" customFormat="1">
      <c r="A942" s="517"/>
      <c r="B942" s="517"/>
      <c r="C942" s="517"/>
      <c r="D942" s="517"/>
      <c r="E942" s="517"/>
      <c r="F942" s="517"/>
      <c r="G942" s="517"/>
      <c r="H942" s="639"/>
      <c r="I942" s="639"/>
      <c r="J942" s="336"/>
      <c r="K942" s="2056"/>
      <c r="L942" s="337"/>
      <c r="N942" s="2057"/>
      <c r="O942" s="337"/>
      <c r="P942" s="337"/>
      <c r="Q942" s="337"/>
      <c r="R942" s="337"/>
      <c r="S942" s="337"/>
      <c r="T942" s="337"/>
      <c r="U942" s="497"/>
      <c r="V942" s="497"/>
      <c r="W942" s="497"/>
      <c r="X942" s="497"/>
      <c r="Y942" s="497"/>
      <c r="Z942" s="497"/>
      <c r="AA942" s="497"/>
      <c r="AB942" s="497"/>
      <c r="AC942" s="497"/>
      <c r="AD942" s="497"/>
      <c r="AE942" s="497"/>
      <c r="AF942" s="497"/>
      <c r="AG942" s="497"/>
      <c r="AH942" s="497"/>
      <c r="AI942" s="497"/>
      <c r="AJ942" s="497"/>
      <c r="AK942" s="497"/>
      <c r="AL942" s="497"/>
      <c r="AM942" s="497"/>
      <c r="AN942" s="497"/>
      <c r="AO942" s="497"/>
      <c r="AP942" s="497"/>
      <c r="AQ942" s="497"/>
      <c r="AR942" s="497"/>
      <c r="AS942" s="497"/>
      <c r="AT942" s="497"/>
      <c r="AU942" s="497"/>
      <c r="AV942" s="497"/>
      <c r="AW942" s="497"/>
      <c r="AX942" s="497"/>
      <c r="AY942" s="497"/>
      <c r="AZ942" s="497"/>
      <c r="BA942" s="497"/>
      <c r="BB942" s="497"/>
      <c r="BC942" s="497"/>
      <c r="BD942" s="497"/>
      <c r="BE942" s="497"/>
      <c r="BF942" s="497"/>
      <c r="BG942" s="497"/>
      <c r="BH942" s="497"/>
      <c r="BI942" s="497"/>
      <c r="BJ942" s="497"/>
      <c r="BK942" s="497"/>
      <c r="BL942" s="497"/>
      <c r="BM942" s="497"/>
      <c r="BN942" s="497"/>
      <c r="BO942" s="497"/>
      <c r="BP942" s="497"/>
      <c r="BQ942" s="497"/>
      <c r="BR942" s="497"/>
      <c r="BS942" s="497"/>
      <c r="BT942" s="497"/>
      <c r="BU942" s="497"/>
      <c r="BV942" s="497"/>
      <c r="BW942" s="497"/>
      <c r="BX942" s="497"/>
      <c r="BY942" s="497"/>
      <c r="BZ942" s="497"/>
      <c r="CA942" s="497"/>
      <c r="CB942" s="497"/>
      <c r="CC942" s="497"/>
      <c r="CD942" s="497"/>
      <c r="CE942" s="497"/>
      <c r="CF942" s="497"/>
      <c r="CG942" s="497"/>
      <c r="CH942" s="497"/>
    </row>
    <row r="943" spans="1:86" s="335" customFormat="1">
      <c r="A943" s="517"/>
      <c r="B943" s="517"/>
      <c r="C943" s="517"/>
      <c r="D943" s="517"/>
      <c r="E943" s="517"/>
      <c r="F943" s="517"/>
      <c r="G943" s="517"/>
      <c r="H943" s="639"/>
      <c r="I943" s="639"/>
      <c r="J943" s="336"/>
      <c r="K943" s="2056"/>
      <c r="L943" s="337"/>
      <c r="N943" s="2057"/>
      <c r="O943" s="337"/>
      <c r="P943" s="337"/>
      <c r="Q943" s="337"/>
      <c r="R943" s="337"/>
      <c r="S943" s="337"/>
      <c r="T943" s="337"/>
      <c r="U943" s="497"/>
      <c r="V943" s="497"/>
      <c r="W943" s="497"/>
      <c r="X943" s="497"/>
      <c r="Y943" s="497"/>
      <c r="Z943" s="497"/>
      <c r="AA943" s="497"/>
      <c r="AB943" s="497"/>
      <c r="AC943" s="497"/>
      <c r="AD943" s="497"/>
      <c r="AE943" s="497"/>
      <c r="AF943" s="497"/>
      <c r="AG943" s="497"/>
      <c r="AH943" s="497"/>
      <c r="AI943" s="497"/>
      <c r="AJ943" s="497"/>
      <c r="AK943" s="497"/>
      <c r="AL943" s="497"/>
      <c r="AM943" s="497"/>
      <c r="AN943" s="497"/>
      <c r="AO943" s="497"/>
      <c r="AP943" s="497"/>
      <c r="AQ943" s="497"/>
      <c r="AR943" s="497"/>
      <c r="AS943" s="497"/>
      <c r="AT943" s="497"/>
      <c r="AU943" s="497"/>
      <c r="AV943" s="497"/>
      <c r="AW943" s="497"/>
      <c r="AX943" s="497"/>
      <c r="AY943" s="497"/>
      <c r="AZ943" s="497"/>
      <c r="BA943" s="497"/>
      <c r="BB943" s="497"/>
      <c r="BC943" s="497"/>
      <c r="BD943" s="497"/>
      <c r="BE943" s="497"/>
      <c r="BF943" s="497"/>
      <c r="BG943" s="497"/>
      <c r="BH943" s="497"/>
      <c r="BI943" s="497"/>
      <c r="BJ943" s="497"/>
      <c r="BK943" s="497"/>
      <c r="BL943" s="497"/>
      <c r="BM943" s="497"/>
      <c r="BN943" s="497"/>
      <c r="BO943" s="497"/>
      <c r="BP943" s="497"/>
      <c r="BQ943" s="497"/>
      <c r="BR943" s="497"/>
      <c r="BS943" s="497"/>
      <c r="BT943" s="497"/>
      <c r="BU943" s="497"/>
      <c r="BV943" s="497"/>
      <c r="BW943" s="497"/>
      <c r="BX943" s="497"/>
      <c r="BY943" s="497"/>
      <c r="BZ943" s="497"/>
      <c r="CA943" s="497"/>
      <c r="CB943" s="497"/>
      <c r="CC943" s="497"/>
      <c r="CD943" s="497"/>
      <c r="CE943" s="497"/>
      <c r="CF943" s="497"/>
      <c r="CG943" s="497"/>
      <c r="CH943" s="497"/>
    </row>
    <row r="944" spans="1:86" s="335" customFormat="1">
      <c r="A944" s="517"/>
      <c r="B944" s="517"/>
      <c r="C944" s="517"/>
      <c r="D944" s="517"/>
      <c r="E944" s="517"/>
      <c r="F944" s="517"/>
      <c r="G944" s="517"/>
      <c r="H944" s="639"/>
      <c r="I944" s="639"/>
      <c r="J944" s="336"/>
      <c r="K944" s="2056"/>
      <c r="L944" s="337"/>
      <c r="N944" s="2057"/>
      <c r="O944" s="337"/>
      <c r="P944" s="337"/>
      <c r="Q944" s="337"/>
      <c r="R944" s="337"/>
      <c r="S944" s="337"/>
      <c r="T944" s="337"/>
      <c r="U944" s="497"/>
      <c r="V944" s="497"/>
      <c r="W944" s="497"/>
      <c r="X944" s="497"/>
      <c r="Y944" s="497"/>
      <c r="Z944" s="497"/>
      <c r="AA944" s="497"/>
      <c r="AB944" s="497"/>
      <c r="AC944" s="497"/>
      <c r="AD944" s="497"/>
      <c r="AE944" s="497"/>
      <c r="AF944" s="497"/>
      <c r="AG944" s="497"/>
      <c r="AH944" s="497"/>
      <c r="AI944" s="497"/>
      <c r="AJ944" s="497"/>
      <c r="AK944" s="497"/>
      <c r="AL944" s="497"/>
      <c r="AM944" s="497"/>
      <c r="AN944" s="497"/>
      <c r="AO944" s="497"/>
      <c r="AP944" s="497"/>
      <c r="AQ944" s="497"/>
      <c r="AR944" s="497"/>
      <c r="AS944" s="497"/>
      <c r="AT944" s="497"/>
      <c r="AU944" s="497"/>
      <c r="AV944" s="497"/>
      <c r="AW944" s="497"/>
      <c r="AX944" s="497"/>
      <c r="AY944" s="497"/>
      <c r="AZ944" s="497"/>
      <c r="BA944" s="497"/>
      <c r="BB944" s="497"/>
      <c r="BC944" s="497"/>
      <c r="BD944" s="497"/>
      <c r="BE944" s="497"/>
      <c r="BF944" s="497"/>
      <c r="BG944" s="497"/>
      <c r="BH944" s="497"/>
      <c r="BI944" s="497"/>
      <c r="BJ944" s="497"/>
      <c r="BK944" s="497"/>
      <c r="BL944" s="497"/>
      <c r="BM944" s="497"/>
      <c r="BN944" s="497"/>
      <c r="BO944" s="497"/>
      <c r="BP944" s="497"/>
      <c r="BQ944" s="497"/>
      <c r="BR944" s="497"/>
      <c r="BS944" s="497"/>
      <c r="BT944" s="497"/>
      <c r="BU944" s="497"/>
      <c r="BV944" s="497"/>
      <c r="BW944" s="497"/>
      <c r="BX944" s="497"/>
      <c r="BY944" s="497"/>
      <c r="BZ944" s="497"/>
      <c r="CA944" s="497"/>
      <c r="CB944" s="497"/>
      <c r="CC944" s="497"/>
      <c r="CD944" s="497"/>
      <c r="CE944" s="497"/>
      <c r="CF944" s="497"/>
      <c r="CG944" s="497"/>
      <c r="CH944" s="497"/>
    </row>
    <row r="945" spans="1:86" s="335" customFormat="1">
      <c r="A945" s="517"/>
      <c r="B945" s="517"/>
      <c r="C945" s="517"/>
      <c r="D945" s="517"/>
      <c r="E945" s="517"/>
      <c r="F945" s="517"/>
      <c r="G945" s="517"/>
      <c r="H945" s="639"/>
      <c r="I945" s="639"/>
      <c r="J945" s="336"/>
      <c r="K945" s="2056"/>
      <c r="L945" s="337"/>
      <c r="N945" s="2057"/>
      <c r="O945" s="337"/>
      <c r="P945" s="337"/>
      <c r="Q945" s="337"/>
      <c r="R945" s="337"/>
      <c r="S945" s="337"/>
      <c r="T945" s="337"/>
      <c r="U945" s="497"/>
      <c r="V945" s="497"/>
      <c r="W945" s="497"/>
      <c r="X945" s="497"/>
      <c r="Y945" s="497"/>
      <c r="Z945" s="497"/>
      <c r="AA945" s="497"/>
      <c r="AB945" s="497"/>
      <c r="AC945" s="497"/>
      <c r="AD945" s="497"/>
      <c r="AE945" s="497"/>
      <c r="AF945" s="497"/>
      <c r="AG945" s="497"/>
      <c r="AH945" s="497"/>
      <c r="AI945" s="497"/>
      <c r="AJ945" s="497"/>
      <c r="AK945" s="497"/>
      <c r="AL945" s="497"/>
      <c r="AM945" s="497"/>
      <c r="AN945" s="497"/>
      <c r="AO945" s="497"/>
      <c r="AP945" s="497"/>
      <c r="AQ945" s="497"/>
      <c r="AR945" s="497"/>
      <c r="AS945" s="497"/>
      <c r="AT945" s="497"/>
      <c r="AU945" s="497"/>
      <c r="AV945" s="497"/>
      <c r="AW945" s="497"/>
      <c r="AX945" s="497"/>
      <c r="AY945" s="497"/>
      <c r="AZ945" s="497"/>
      <c r="BA945" s="497"/>
      <c r="BB945" s="497"/>
      <c r="BC945" s="497"/>
      <c r="BD945" s="497"/>
      <c r="BE945" s="497"/>
      <c r="BF945" s="497"/>
      <c r="BG945" s="497"/>
      <c r="BH945" s="497"/>
      <c r="BI945" s="497"/>
      <c r="BJ945" s="497"/>
      <c r="BK945" s="497"/>
      <c r="BL945" s="497"/>
      <c r="BM945" s="497"/>
      <c r="BN945" s="497"/>
      <c r="BO945" s="497"/>
      <c r="BP945" s="497"/>
      <c r="BQ945" s="497"/>
      <c r="BR945" s="497"/>
      <c r="BS945" s="497"/>
      <c r="BT945" s="497"/>
      <c r="BU945" s="497"/>
      <c r="BV945" s="497"/>
      <c r="BW945" s="497"/>
      <c r="BX945" s="497"/>
      <c r="BY945" s="497"/>
      <c r="BZ945" s="497"/>
      <c r="CA945" s="497"/>
      <c r="CB945" s="497"/>
      <c r="CC945" s="497"/>
      <c r="CD945" s="497"/>
      <c r="CE945" s="497"/>
      <c r="CF945" s="497"/>
      <c r="CG945" s="497"/>
      <c r="CH945" s="497"/>
    </row>
    <row r="946" spans="1:86" s="335" customFormat="1">
      <c r="A946" s="517"/>
      <c r="B946" s="517"/>
      <c r="C946" s="517"/>
      <c r="D946" s="517"/>
      <c r="E946" s="517"/>
      <c r="F946" s="517"/>
      <c r="G946" s="517"/>
      <c r="H946" s="639"/>
      <c r="I946" s="639"/>
      <c r="J946" s="336"/>
      <c r="K946" s="2056"/>
      <c r="L946" s="337"/>
      <c r="N946" s="2057"/>
      <c r="O946" s="337"/>
      <c r="P946" s="337"/>
      <c r="Q946" s="337"/>
      <c r="R946" s="337"/>
      <c r="S946" s="337"/>
      <c r="T946" s="337"/>
      <c r="U946" s="497"/>
      <c r="V946" s="497"/>
      <c r="W946" s="497"/>
      <c r="X946" s="497"/>
      <c r="Y946" s="497"/>
      <c r="Z946" s="497"/>
      <c r="AA946" s="497"/>
      <c r="AB946" s="497"/>
      <c r="AC946" s="497"/>
      <c r="AD946" s="497"/>
      <c r="AE946" s="497"/>
      <c r="AF946" s="497"/>
      <c r="AG946" s="497"/>
      <c r="AH946" s="497"/>
      <c r="AI946" s="497"/>
      <c r="AJ946" s="497"/>
      <c r="AK946" s="497"/>
      <c r="AL946" s="497"/>
      <c r="AM946" s="497"/>
      <c r="AN946" s="497"/>
      <c r="AO946" s="497"/>
      <c r="AP946" s="497"/>
      <c r="AQ946" s="497"/>
      <c r="AR946" s="497"/>
      <c r="AS946" s="497"/>
      <c r="AT946" s="497"/>
      <c r="AU946" s="497"/>
      <c r="AV946" s="497"/>
      <c r="AW946" s="497"/>
      <c r="AX946" s="497"/>
      <c r="AY946" s="497"/>
      <c r="AZ946" s="497"/>
      <c r="BA946" s="497"/>
      <c r="BB946" s="497"/>
      <c r="BC946" s="497"/>
      <c r="BD946" s="497"/>
      <c r="BE946" s="497"/>
      <c r="BF946" s="497"/>
      <c r="BG946" s="497"/>
      <c r="BH946" s="497"/>
      <c r="BI946" s="497"/>
      <c r="BJ946" s="497"/>
      <c r="BK946" s="497"/>
      <c r="BL946" s="497"/>
      <c r="BM946" s="497"/>
      <c r="BN946" s="497"/>
      <c r="BO946" s="497"/>
      <c r="BP946" s="497"/>
      <c r="BQ946" s="497"/>
      <c r="BR946" s="497"/>
      <c r="BS946" s="497"/>
      <c r="BT946" s="497"/>
      <c r="BU946" s="497"/>
      <c r="BV946" s="497"/>
      <c r="BW946" s="497"/>
      <c r="BX946" s="497"/>
      <c r="BY946" s="497"/>
      <c r="BZ946" s="497"/>
      <c r="CA946" s="497"/>
      <c r="CB946" s="497"/>
      <c r="CC946" s="497"/>
      <c r="CD946" s="497"/>
      <c r="CE946" s="497"/>
      <c r="CF946" s="497"/>
      <c r="CG946" s="497"/>
      <c r="CH946" s="497"/>
    </row>
    <row r="947" spans="1:86" s="335" customFormat="1">
      <c r="A947" s="517"/>
      <c r="B947" s="517"/>
      <c r="C947" s="517"/>
      <c r="D947" s="517"/>
      <c r="E947" s="517"/>
      <c r="F947" s="517"/>
      <c r="G947" s="517"/>
      <c r="H947" s="639"/>
      <c r="I947" s="639"/>
      <c r="J947" s="336"/>
      <c r="K947" s="2056"/>
      <c r="L947" s="337"/>
      <c r="N947" s="2057"/>
      <c r="O947" s="337"/>
      <c r="P947" s="337"/>
      <c r="Q947" s="337"/>
      <c r="R947" s="337"/>
      <c r="S947" s="337"/>
      <c r="T947" s="337"/>
      <c r="U947" s="497"/>
      <c r="V947" s="497"/>
      <c r="W947" s="497"/>
      <c r="X947" s="497"/>
      <c r="Y947" s="497"/>
      <c r="Z947" s="497"/>
      <c r="AA947" s="497"/>
      <c r="AB947" s="497"/>
      <c r="AC947" s="497"/>
      <c r="AD947" s="497"/>
      <c r="AE947" s="497"/>
      <c r="AF947" s="497"/>
      <c r="AG947" s="497"/>
      <c r="AH947" s="497"/>
      <c r="AI947" s="497"/>
      <c r="AJ947" s="497"/>
      <c r="AK947" s="497"/>
      <c r="AL947" s="497"/>
      <c r="AM947" s="497"/>
      <c r="AN947" s="497"/>
      <c r="AO947" s="497"/>
      <c r="AP947" s="497"/>
      <c r="AQ947" s="497"/>
      <c r="AR947" s="497"/>
      <c r="AS947" s="497"/>
      <c r="AT947" s="497"/>
      <c r="AU947" s="497"/>
      <c r="AV947" s="497"/>
      <c r="AW947" s="497"/>
      <c r="AX947" s="497"/>
      <c r="AY947" s="497"/>
      <c r="AZ947" s="497"/>
      <c r="BA947" s="497"/>
      <c r="BB947" s="497"/>
      <c r="BC947" s="497"/>
      <c r="BD947" s="497"/>
      <c r="BE947" s="497"/>
      <c r="BF947" s="497"/>
      <c r="BG947" s="497"/>
      <c r="BH947" s="497"/>
      <c r="BI947" s="497"/>
      <c r="BJ947" s="497"/>
      <c r="BK947" s="497"/>
      <c r="BL947" s="497"/>
      <c r="BM947" s="497"/>
      <c r="BN947" s="497"/>
      <c r="BO947" s="497"/>
      <c r="BP947" s="497"/>
      <c r="BQ947" s="497"/>
      <c r="BR947" s="497"/>
      <c r="BS947" s="497"/>
      <c r="BT947" s="497"/>
      <c r="BU947" s="497"/>
      <c r="BV947" s="497"/>
      <c r="BW947" s="497"/>
      <c r="BX947" s="497"/>
      <c r="BY947" s="497"/>
      <c r="BZ947" s="497"/>
      <c r="CA947" s="497"/>
      <c r="CB947" s="497"/>
      <c r="CC947" s="497"/>
      <c r="CD947" s="497"/>
      <c r="CE947" s="497"/>
      <c r="CF947" s="497"/>
      <c r="CG947" s="497"/>
      <c r="CH947" s="497"/>
    </row>
    <row r="948" spans="1:86" s="335" customFormat="1">
      <c r="A948" s="517"/>
      <c r="B948" s="517"/>
      <c r="C948" s="517"/>
      <c r="D948" s="517"/>
      <c r="E948" s="517"/>
      <c r="F948" s="517"/>
      <c r="G948" s="517"/>
      <c r="H948" s="639"/>
      <c r="I948" s="639"/>
      <c r="J948" s="336"/>
      <c r="K948" s="2056"/>
      <c r="L948" s="337"/>
      <c r="N948" s="2057"/>
      <c r="O948" s="337"/>
      <c r="P948" s="337"/>
      <c r="Q948" s="337"/>
      <c r="R948" s="337"/>
      <c r="S948" s="337"/>
      <c r="T948" s="337"/>
      <c r="U948" s="497"/>
      <c r="V948" s="497"/>
      <c r="W948" s="497"/>
      <c r="X948" s="497"/>
      <c r="Y948" s="497"/>
      <c r="Z948" s="497"/>
      <c r="AA948" s="497"/>
      <c r="AB948" s="497"/>
      <c r="AC948" s="497"/>
      <c r="AD948" s="497"/>
      <c r="AE948" s="497"/>
      <c r="AF948" s="497"/>
      <c r="AG948" s="497"/>
      <c r="AH948" s="497"/>
      <c r="AI948" s="497"/>
      <c r="AJ948" s="497"/>
      <c r="AK948" s="497"/>
      <c r="AL948" s="497"/>
      <c r="AM948" s="497"/>
      <c r="AN948" s="497"/>
      <c r="AO948" s="497"/>
      <c r="AP948" s="497"/>
      <c r="AQ948" s="497"/>
      <c r="AR948" s="497"/>
      <c r="AS948" s="497"/>
      <c r="AT948" s="497"/>
      <c r="AU948" s="497"/>
      <c r="AV948" s="497"/>
      <c r="AW948" s="497"/>
      <c r="AX948" s="497"/>
      <c r="AY948" s="497"/>
      <c r="AZ948" s="497"/>
      <c r="BA948" s="497"/>
      <c r="BB948" s="497"/>
      <c r="BC948" s="497"/>
      <c r="BD948" s="497"/>
      <c r="BE948" s="497"/>
      <c r="BF948" s="497"/>
      <c r="BG948" s="497"/>
      <c r="BH948" s="497"/>
      <c r="BI948" s="497"/>
      <c r="BJ948" s="497"/>
      <c r="BK948" s="497"/>
      <c r="BL948" s="497"/>
      <c r="BM948" s="497"/>
      <c r="BN948" s="497"/>
      <c r="BO948" s="497"/>
      <c r="BP948" s="497"/>
      <c r="BQ948" s="497"/>
      <c r="BR948" s="497"/>
      <c r="BS948" s="497"/>
      <c r="BT948" s="497"/>
      <c r="BU948" s="497"/>
      <c r="BV948" s="497"/>
      <c r="BW948" s="497"/>
      <c r="BX948" s="497"/>
      <c r="BY948" s="497"/>
      <c r="BZ948" s="497"/>
      <c r="CA948" s="497"/>
      <c r="CB948" s="497"/>
      <c r="CC948" s="497"/>
      <c r="CD948" s="497"/>
      <c r="CE948" s="497"/>
      <c r="CF948" s="497"/>
      <c r="CG948" s="497"/>
      <c r="CH948" s="497"/>
    </row>
    <row r="949" spans="1:86" s="335" customFormat="1">
      <c r="A949" s="517"/>
      <c r="B949" s="517"/>
      <c r="C949" s="517"/>
      <c r="D949" s="517"/>
      <c r="E949" s="517"/>
      <c r="F949" s="517"/>
      <c r="G949" s="517"/>
      <c r="H949" s="639"/>
      <c r="I949" s="639"/>
      <c r="J949" s="336"/>
      <c r="K949" s="2056"/>
      <c r="L949" s="337"/>
      <c r="N949" s="2057"/>
      <c r="O949" s="337"/>
      <c r="P949" s="337"/>
      <c r="Q949" s="337"/>
      <c r="R949" s="337"/>
      <c r="S949" s="337"/>
      <c r="T949" s="337"/>
      <c r="U949" s="497"/>
      <c r="V949" s="497"/>
      <c r="W949" s="497"/>
      <c r="X949" s="497"/>
      <c r="Y949" s="497"/>
      <c r="Z949" s="497"/>
      <c r="AA949" s="497"/>
      <c r="AB949" s="497"/>
      <c r="AC949" s="497"/>
      <c r="AD949" s="497"/>
      <c r="AE949" s="497"/>
      <c r="AF949" s="497"/>
      <c r="AG949" s="497"/>
      <c r="AH949" s="497"/>
      <c r="AI949" s="497"/>
      <c r="AJ949" s="497"/>
      <c r="AK949" s="497"/>
      <c r="AL949" s="497"/>
      <c r="AM949" s="497"/>
      <c r="AN949" s="497"/>
      <c r="AO949" s="497"/>
      <c r="AP949" s="497"/>
      <c r="AQ949" s="497"/>
      <c r="AR949" s="497"/>
      <c r="AS949" s="497"/>
      <c r="AT949" s="497"/>
      <c r="AU949" s="497"/>
      <c r="AV949" s="497"/>
      <c r="AW949" s="497"/>
      <c r="AX949" s="497"/>
      <c r="AY949" s="497"/>
      <c r="AZ949" s="497"/>
      <c r="BA949" s="497"/>
      <c r="BB949" s="497"/>
      <c r="BC949" s="497"/>
      <c r="BD949" s="497"/>
      <c r="BE949" s="497"/>
      <c r="BF949" s="497"/>
      <c r="BG949" s="497"/>
      <c r="BH949" s="497"/>
      <c r="BI949" s="497"/>
      <c r="BJ949" s="497"/>
      <c r="BK949" s="497"/>
      <c r="BL949" s="497"/>
      <c r="BM949" s="497"/>
      <c r="BN949" s="497"/>
      <c r="BO949" s="497"/>
      <c r="BP949" s="497"/>
      <c r="BQ949" s="497"/>
      <c r="BR949" s="497"/>
      <c r="BS949" s="497"/>
      <c r="BT949" s="497"/>
      <c r="BU949" s="497"/>
      <c r="BV949" s="497"/>
      <c r="BW949" s="497"/>
      <c r="BX949" s="497"/>
      <c r="BY949" s="497"/>
      <c r="BZ949" s="497"/>
      <c r="CA949" s="497"/>
      <c r="CB949" s="497"/>
      <c r="CC949" s="497"/>
      <c r="CD949" s="497"/>
      <c r="CE949" s="497"/>
      <c r="CF949" s="497"/>
      <c r="CG949" s="497"/>
      <c r="CH949" s="497"/>
    </row>
    <row r="950" spans="1:86" s="335" customFormat="1">
      <c r="A950" s="517"/>
      <c r="B950" s="517"/>
      <c r="C950" s="517"/>
      <c r="D950" s="517"/>
      <c r="E950" s="517"/>
      <c r="F950" s="517"/>
      <c r="G950" s="517"/>
      <c r="H950" s="639"/>
      <c r="I950" s="639"/>
      <c r="J950" s="336"/>
      <c r="K950" s="2056"/>
      <c r="L950" s="337"/>
      <c r="N950" s="2057"/>
      <c r="O950" s="337"/>
      <c r="P950" s="337"/>
      <c r="Q950" s="337"/>
      <c r="R950" s="337"/>
      <c r="S950" s="337"/>
      <c r="T950" s="337"/>
      <c r="U950" s="497"/>
      <c r="V950" s="497"/>
      <c r="W950" s="497"/>
      <c r="X950" s="497"/>
      <c r="Y950" s="497"/>
      <c r="Z950" s="497"/>
      <c r="AA950" s="497"/>
      <c r="AB950" s="497"/>
      <c r="AC950" s="497"/>
      <c r="AD950" s="497"/>
      <c r="AE950" s="497"/>
      <c r="AF950" s="497"/>
      <c r="AG950" s="497"/>
      <c r="AH950" s="497"/>
      <c r="AI950" s="497"/>
      <c r="AJ950" s="497"/>
      <c r="AK950" s="497"/>
      <c r="AL950" s="497"/>
      <c r="AM950" s="497"/>
      <c r="AN950" s="497"/>
      <c r="AO950" s="497"/>
      <c r="AP950" s="497"/>
      <c r="AQ950" s="497"/>
      <c r="AR950" s="497"/>
      <c r="AS950" s="497"/>
      <c r="AT950" s="497"/>
      <c r="AU950" s="497"/>
      <c r="AV950" s="497"/>
      <c r="AW950" s="497"/>
      <c r="AX950" s="497"/>
      <c r="AY950" s="497"/>
      <c r="AZ950" s="497"/>
      <c r="BA950" s="497"/>
      <c r="BB950" s="497"/>
      <c r="BC950" s="497"/>
      <c r="BD950" s="497"/>
      <c r="BE950" s="497"/>
      <c r="BF950" s="497"/>
      <c r="BG950" s="497"/>
      <c r="BH950" s="497"/>
      <c r="BI950" s="497"/>
      <c r="BJ950" s="497"/>
      <c r="BK950" s="497"/>
      <c r="BL950" s="497"/>
      <c r="BM950" s="497"/>
      <c r="BN950" s="497"/>
      <c r="BO950" s="497"/>
      <c r="BP950" s="497"/>
      <c r="BQ950" s="497"/>
      <c r="BR950" s="497"/>
      <c r="BS950" s="497"/>
      <c r="BT950" s="497"/>
      <c r="BU950" s="497"/>
      <c r="BV950" s="497"/>
      <c r="BW950" s="497"/>
      <c r="BX950" s="497"/>
      <c r="BY950" s="497"/>
      <c r="BZ950" s="497"/>
      <c r="CA950" s="497"/>
      <c r="CB950" s="497"/>
      <c r="CC950" s="497"/>
      <c r="CD950" s="497"/>
      <c r="CE950" s="497"/>
      <c r="CF950" s="497"/>
      <c r="CG950" s="497"/>
      <c r="CH950" s="497"/>
    </row>
    <row r="951" spans="1:86" s="335" customFormat="1">
      <c r="A951" s="517"/>
      <c r="B951" s="517"/>
      <c r="C951" s="517"/>
      <c r="D951" s="517"/>
      <c r="E951" s="517"/>
      <c r="F951" s="517"/>
      <c r="G951" s="517"/>
      <c r="H951" s="639"/>
      <c r="I951" s="639"/>
      <c r="J951" s="336"/>
      <c r="K951" s="2056"/>
      <c r="L951" s="337"/>
      <c r="N951" s="2057"/>
      <c r="O951" s="337"/>
      <c r="P951" s="337"/>
      <c r="Q951" s="337"/>
      <c r="R951" s="337"/>
      <c r="S951" s="337"/>
      <c r="T951" s="337"/>
      <c r="U951" s="497"/>
      <c r="V951" s="497"/>
      <c r="W951" s="497"/>
      <c r="X951" s="497"/>
      <c r="Y951" s="497"/>
      <c r="Z951" s="497"/>
      <c r="AA951" s="497"/>
      <c r="AB951" s="497"/>
      <c r="AC951" s="497"/>
      <c r="AD951" s="497"/>
      <c r="AE951" s="497"/>
      <c r="AF951" s="497"/>
      <c r="AG951" s="497"/>
      <c r="AH951" s="497"/>
      <c r="AI951" s="497"/>
      <c r="AJ951" s="497"/>
      <c r="AK951" s="497"/>
      <c r="AL951" s="497"/>
      <c r="AM951" s="497"/>
      <c r="AN951" s="497"/>
      <c r="AO951" s="497"/>
      <c r="AP951" s="497"/>
      <c r="AQ951" s="497"/>
      <c r="AR951" s="497"/>
      <c r="AS951" s="497"/>
      <c r="AT951" s="497"/>
      <c r="AU951" s="497"/>
      <c r="AV951" s="497"/>
      <c r="AW951" s="497"/>
      <c r="AX951" s="497"/>
      <c r="AY951" s="497"/>
      <c r="AZ951" s="497"/>
      <c r="BA951" s="497"/>
      <c r="BB951" s="497"/>
      <c r="BC951" s="497"/>
      <c r="BD951" s="497"/>
      <c r="BE951" s="497"/>
      <c r="BF951" s="497"/>
      <c r="BG951" s="497"/>
      <c r="BH951" s="497"/>
      <c r="BI951" s="497"/>
      <c r="BJ951" s="497"/>
      <c r="BK951" s="497"/>
      <c r="BL951" s="497"/>
      <c r="BM951" s="497"/>
      <c r="BN951" s="497"/>
      <c r="BO951" s="497"/>
      <c r="BP951" s="497"/>
      <c r="BQ951" s="497"/>
      <c r="BR951" s="497"/>
      <c r="BS951" s="497"/>
      <c r="BT951" s="497"/>
      <c r="BU951" s="497"/>
      <c r="BV951" s="497"/>
      <c r="BW951" s="497"/>
      <c r="BX951" s="497"/>
      <c r="BY951" s="497"/>
      <c r="BZ951" s="497"/>
      <c r="CA951" s="497"/>
      <c r="CB951" s="497"/>
      <c r="CC951" s="497"/>
      <c r="CD951" s="497"/>
      <c r="CE951" s="497"/>
      <c r="CF951" s="497"/>
      <c r="CG951" s="497"/>
      <c r="CH951" s="497"/>
    </row>
    <row r="952" spans="1:86" s="335" customFormat="1">
      <c r="A952" s="517"/>
      <c r="B952" s="517"/>
      <c r="C952" s="517"/>
      <c r="D952" s="517"/>
      <c r="E952" s="517"/>
      <c r="F952" s="517"/>
      <c r="G952" s="517"/>
      <c r="H952" s="639"/>
      <c r="I952" s="639"/>
      <c r="J952" s="336"/>
      <c r="K952" s="2056"/>
      <c r="L952" s="337"/>
      <c r="N952" s="2057"/>
      <c r="O952" s="337"/>
      <c r="P952" s="337"/>
      <c r="Q952" s="337"/>
      <c r="R952" s="337"/>
      <c r="S952" s="337"/>
      <c r="T952" s="337"/>
      <c r="U952" s="497"/>
      <c r="V952" s="497"/>
      <c r="W952" s="497"/>
      <c r="X952" s="497"/>
      <c r="Y952" s="497"/>
      <c r="Z952" s="497"/>
      <c r="AA952" s="497"/>
      <c r="AB952" s="497"/>
      <c r="AC952" s="497"/>
      <c r="AD952" s="497"/>
      <c r="AE952" s="497"/>
      <c r="AF952" s="497"/>
      <c r="AG952" s="497"/>
      <c r="AH952" s="497"/>
      <c r="AI952" s="497"/>
      <c r="AJ952" s="497"/>
      <c r="AK952" s="497"/>
      <c r="AL952" s="497"/>
      <c r="AM952" s="497"/>
      <c r="AN952" s="497"/>
      <c r="AO952" s="497"/>
      <c r="AP952" s="497"/>
      <c r="AQ952" s="497"/>
      <c r="AR952" s="497"/>
      <c r="AS952" s="497"/>
      <c r="AT952" s="497"/>
      <c r="AU952" s="497"/>
      <c r="AV952" s="497"/>
      <c r="AW952" s="497"/>
      <c r="AX952" s="497"/>
      <c r="AY952" s="497"/>
      <c r="AZ952" s="497"/>
      <c r="BA952" s="497"/>
      <c r="BB952" s="497"/>
      <c r="BC952" s="497"/>
      <c r="BD952" s="497"/>
      <c r="BE952" s="497"/>
      <c r="BF952" s="497"/>
      <c r="BG952" s="497"/>
      <c r="BH952" s="497"/>
      <c r="BI952" s="497"/>
      <c r="BJ952" s="497"/>
      <c r="BK952" s="497"/>
      <c r="BL952" s="497"/>
      <c r="BM952" s="497"/>
      <c r="BN952" s="497"/>
      <c r="BO952" s="497"/>
      <c r="BP952" s="497"/>
      <c r="BQ952" s="497"/>
      <c r="BR952" s="497"/>
      <c r="BS952" s="497"/>
      <c r="BT952" s="497"/>
      <c r="BU952" s="497"/>
      <c r="BV952" s="497"/>
      <c r="BW952" s="497"/>
      <c r="BX952" s="497"/>
      <c r="BY952" s="497"/>
      <c r="BZ952" s="497"/>
      <c r="CA952" s="497"/>
      <c r="CB952" s="497"/>
      <c r="CC952" s="497"/>
      <c r="CD952" s="497"/>
      <c r="CE952" s="497"/>
      <c r="CF952" s="497"/>
      <c r="CG952" s="497"/>
      <c r="CH952" s="497"/>
    </row>
    <row r="953" spans="1:86" s="335" customFormat="1">
      <c r="A953" s="517"/>
      <c r="B953" s="517"/>
      <c r="C953" s="517"/>
      <c r="D953" s="517"/>
      <c r="E953" s="517"/>
      <c r="F953" s="517"/>
      <c r="G953" s="517"/>
      <c r="H953" s="639"/>
      <c r="I953" s="639"/>
      <c r="J953" s="336"/>
      <c r="K953" s="2056"/>
      <c r="L953" s="337"/>
      <c r="N953" s="2057"/>
      <c r="O953" s="337"/>
      <c r="P953" s="337"/>
      <c r="Q953" s="337"/>
      <c r="R953" s="337"/>
      <c r="S953" s="337"/>
      <c r="T953" s="337"/>
      <c r="U953" s="497"/>
      <c r="V953" s="497"/>
      <c r="W953" s="497"/>
      <c r="X953" s="497"/>
      <c r="Y953" s="497"/>
      <c r="Z953" s="497"/>
      <c r="AA953" s="497"/>
      <c r="AB953" s="497"/>
      <c r="AC953" s="497"/>
      <c r="AD953" s="497"/>
      <c r="AE953" s="497"/>
      <c r="AF953" s="497"/>
      <c r="AG953" s="497"/>
      <c r="AH953" s="497"/>
      <c r="AI953" s="497"/>
      <c r="AJ953" s="497"/>
      <c r="AK953" s="497"/>
      <c r="AL953" s="497"/>
      <c r="AM953" s="497"/>
      <c r="AN953" s="497"/>
      <c r="AO953" s="497"/>
      <c r="AP953" s="497"/>
      <c r="AQ953" s="497"/>
      <c r="AR953" s="497"/>
      <c r="AS953" s="497"/>
      <c r="AT953" s="497"/>
      <c r="AU953" s="497"/>
      <c r="AV953" s="497"/>
      <c r="AW953" s="497"/>
      <c r="AX953" s="497"/>
      <c r="AY953" s="497"/>
      <c r="AZ953" s="497"/>
      <c r="BA953" s="497"/>
      <c r="BB953" s="497"/>
      <c r="BC953" s="497"/>
      <c r="BD953" s="497"/>
      <c r="BE953" s="497"/>
      <c r="BF953" s="497"/>
      <c r="BG953" s="497"/>
      <c r="BH953" s="497"/>
      <c r="BI953" s="497"/>
      <c r="BJ953" s="497"/>
      <c r="BK953" s="497"/>
      <c r="BL953" s="497"/>
      <c r="BM953" s="497"/>
      <c r="BN953" s="497"/>
      <c r="BO953" s="497"/>
      <c r="BP953" s="497"/>
      <c r="BQ953" s="497"/>
      <c r="BR953" s="497"/>
      <c r="BS953" s="497"/>
      <c r="BT953" s="497"/>
      <c r="BU953" s="497"/>
      <c r="BV953" s="497"/>
      <c r="BW953" s="497"/>
      <c r="BX953" s="497"/>
      <c r="BY953" s="497"/>
      <c r="BZ953" s="497"/>
      <c r="CA953" s="497"/>
      <c r="CB953" s="497"/>
      <c r="CC953" s="497"/>
      <c r="CD953" s="497"/>
      <c r="CE953" s="497"/>
      <c r="CF953" s="497"/>
      <c r="CG953" s="497"/>
      <c r="CH953" s="497"/>
    </row>
    <row r="954" spans="1:86" s="335" customFormat="1">
      <c r="A954" s="517"/>
      <c r="B954" s="517"/>
      <c r="C954" s="517"/>
      <c r="D954" s="517"/>
      <c r="E954" s="517"/>
      <c r="F954" s="517"/>
      <c r="G954" s="517"/>
      <c r="H954" s="639"/>
      <c r="I954" s="639"/>
      <c r="J954" s="336"/>
      <c r="K954" s="2056"/>
      <c r="L954" s="337"/>
      <c r="N954" s="2057"/>
      <c r="O954" s="337"/>
      <c r="P954" s="337"/>
      <c r="Q954" s="337"/>
      <c r="R954" s="337"/>
      <c r="S954" s="337"/>
      <c r="T954" s="337"/>
      <c r="U954" s="497"/>
      <c r="V954" s="497"/>
      <c r="W954" s="497"/>
      <c r="X954" s="497"/>
      <c r="Y954" s="497"/>
      <c r="Z954" s="497"/>
      <c r="AA954" s="497"/>
      <c r="AB954" s="497"/>
      <c r="AC954" s="497"/>
      <c r="AD954" s="497"/>
      <c r="AE954" s="497"/>
      <c r="AF954" s="497"/>
      <c r="AG954" s="497"/>
      <c r="AH954" s="497"/>
      <c r="AI954" s="497"/>
      <c r="AJ954" s="497"/>
      <c r="AK954" s="497"/>
      <c r="AL954" s="497"/>
      <c r="AM954" s="497"/>
      <c r="AN954" s="497"/>
      <c r="AO954" s="497"/>
      <c r="AP954" s="497"/>
      <c r="AQ954" s="497"/>
      <c r="AR954" s="497"/>
      <c r="AS954" s="497"/>
      <c r="AT954" s="497"/>
      <c r="AU954" s="497"/>
      <c r="AV954" s="497"/>
      <c r="AW954" s="497"/>
      <c r="AX954" s="497"/>
      <c r="AY954" s="497"/>
      <c r="AZ954" s="497"/>
      <c r="BA954" s="497"/>
      <c r="BB954" s="497"/>
      <c r="BC954" s="497"/>
      <c r="BD954" s="497"/>
      <c r="BE954" s="497"/>
      <c r="BF954" s="497"/>
      <c r="BG954" s="497"/>
      <c r="BH954" s="497"/>
      <c r="BI954" s="497"/>
      <c r="BJ954" s="497"/>
      <c r="BK954" s="497"/>
      <c r="BL954" s="497"/>
      <c r="BM954" s="497"/>
      <c r="BN954" s="497"/>
      <c r="BO954" s="497"/>
      <c r="BP954" s="497"/>
      <c r="BQ954" s="497"/>
      <c r="BR954" s="497"/>
      <c r="BS954" s="497"/>
      <c r="BT954" s="497"/>
      <c r="BU954" s="497"/>
      <c r="BV954" s="497"/>
      <c r="BW954" s="497"/>
      <c r="BX954" s="497"/>
      <c r="BY954" s="497"/>
      <c r="BZ954" s="497"/>
      <c r="CA954" s="497"/>
      <c r="CB954" s="497"/>
      <c r="CC954" s="497"/>
      <c r="CD954" s="497"/>
      <c r="CE954" s="497"/>
      <c r="CF954" s="497"/>
      <c r="CG954" s="497"/>
      <c r="CH954" s="497"/>
    </row>
    <row r="955" spans="1:86" s="335" customFormat="1">
      <c r="A955" s="517"/>
      <c r="B955" s="517"/>
      <c r="C955" s="517"/>
      <c r="D955" s="517"/>
      <c r="E955" s="517"/>
      <c r="F955" s="517"/>
      <c r="G955" s="517"/>
      <c r="H955" s="639"/>
      <c r="I955" s="639"/>
      <c r="J955" s="336"/>
      <c r="K955" s="2056"/>
      <c r="L955" s="337"/>
      <c r="N955" s="2057"/>
      <c r="O955" s="337"/>
      <c r="P955" s="337"/>
      <c r="Q955" s="337"/>
      <c r="R955" s="337"/>
      <c r="S955" s="337"/>
      <c r="T955" s="337"/>
      <c r="U955" s="497"/>
      <c r="V955" s="497"/>
      <c r="W955" s="497"/>
      <c r="X955" s="497"/>
      <c r="Y955" s="497"/>
      <c r="Z955" s="497"/>
      <c r="AA955" s="497"/>
      <c r="AB955" s="497"/>
      <c r="AC955" s="497"/>
      <c r="AD955" s="497"/>
      <c r="AE955" s="497"/>
      <c r="AF955" s="497"/>
      <c r="AG955" s="497"/>
      <c r="AH955" s="497"/>
      <c r="AI955" s="497"/>
      <c r="AJ955" s="497"/>
      <c r="AK955" s="497"/>
      <c r="AL955" s="497"/>
      <c r="AM955" s="497"/>
      <c r="AN955" s="497"/>
      <c r="AO955" s="497"/>
      <c r="AP955" s="497"/>
      <c r="AQ955" s="497"/>
      <c r="AR955" s="497"/>
      <c r="AS955" s="497"/>
      <c r="AT955" s="497"/>
      <c r="AU955" s="497"/>
      <c r="AV955" s="497"/>
      <c r="AW955" s="497"/>
      <c r="AX955" s="497"/>
      <c r="AY955" s="497"/>
      <c r="AZ955" s="497"/>
      <c r="BA955" s="497"/>
      <c r="BB955" s="497"/>
      <c r="BC955" s="497"/>
      <c r="BD955" s="497"/>
      <c r="BE955" s="497"/>
      <c r="BF955" s="497"/>
      <c r="BG955" s="497"/>
      <c r="BH955" s="497"/>
      <c r="BI955" s="497"/>
      <c r="BJ955" s="497"/>
      <c r="BK955" s="497"/>
      <c r="BL955" s="497"/>
      <c r="BM955" s="497"/>
      <c r="BN955" s="497"/>
      <c r="BO955" s="497"/>
      <c r="BP955" s="497"/>
      <c r="BQ955" s="497"/>
      <c r="BR955" s="497"/>
      <c r="BS955" s="497"/>
      <c r="BT955" s="497"/>
      <c r="BU955" s="497"/>
      <c r="BV955" s="497"/>
      <c r="BW955" s="497"/>
      <c r="BX955" s="497"/>
      <c r="BY955" s="497"/>
      <c r="BZ955" s="497"/>
      <c r="CA955" s="497"/>
      <c r="CB955" s="497"/>
      <c r="CC955" s="497"/>
      <c r="CD955" s="497"/>
      <c r="CE955" s="497"/>
      <c r="CF955" s="497"/>
      <c r="CG955" s="497"/>
      <c r="CH955" s="497"/>
    </row>
    <row r="956" spans="1:86" s="335" customFormat="1">
      <c r="A956" s="517"/>
      <c r="B956" s="517"/>
      <c r="C956" s="517"/>
      <c r="D956" s="517"/>
      <c r="E956" s="517"/>
      <c r="F956" s="517"/>
      <c r="G956" s="517"/>
      <c r="H956" s="639"/>
      <c r="I956" s="639"/>
      <c r="J956" s="336"/>
      <c r="K956" s="2056"/>
      <c r="L956" s="337"/>
      <c r="N956" s="2057"/>
      <c r="O956" s="337"/>
      <c r="P956" s="337"/>
      <c r="Q956" s="337"/>
      <c r="R956" s="337"/>
      <c r="S956" s="337"/>
      <c r="T956" s="337"/>
      <c r="U956" s="497"/>
      <c r="V956" s="497"/>
      <c r="W956" s="497"/>
      <c r="X956" s="497"/>
      <c r="Y956" s="497"/>
      <c r="Z956" s="497"/>
      <c r="AA956" s="497"/>
      <c r="AB956" s="497"/>
      <c r="AC956" s="497"/>
      <c r="AD956" s="497"/>
      <c r="AE956" s="497"/>
      <c r="AF956" s="497"/>
      <c r="AG956" s="497"/>
      <c r="AH956" s="497"/>
      <c r="AI956" s="497"/>
      <c r="AJ956" s="497"/>
      <c r="AK956" s="497"/>
      <c r="AL956" s="497"/>
      <c r="AM956" s="497"/>
      <c r="AN956" s="497"/>
      <c r="AO956" s="497"/>
      <c r="AP956" s="497"/>
      <c r="AQ956" s="497"/>
      <c r="AR956" s="497"/>
      <c r="AS956" s="497"/>
      <c r="AT956" s="497"/>
      <c r="AU956" s="497"/>
      <c r="AV956" s="497"/>
      <c r="AW956" s="497"/>
      <c r="AX956" s="497"/>
      <c r="AY956" s="497"/>
      <c r="AZ956" s="497"/>
      <c r="BA956" s="497"/>
      <c r="BB956" s="497"/>
      <c r="BC956" s="497"/>
      <c r="BD956" s="497"/>
      <c r="BE956" s="497"/>
      <c r="BF956" s="497"/>
      <c r="BG956" s="497"/>
      <c r="BH956" s="497"/>
      <c r="BI956" s="497"/>
      <c r="BJ956" s="497"/>
      <c r="BK956" s="497"/>
      <c r="BL956" s="497"/>
      <c r="BM956" s="497"/>
      <c r="BN956" s="497"/>
      <c r="BO956" s="497"/>
      <c r="BP956" s="497"/>
      <c r="BQ956" s="497"/>
      <c r="BR956" s="497"/>
      <c r="BS956" s="497"/>
      <c r="BT956" s="497"/>
      <c r="BU956" s="497"/>
      <c r="BV956" s="497"/>
      <c r="BW956" s="497"/>
      <c r="BX956" s="497"/>
      <c r="BY956" s="497"/>
      <c r="BZ956" s="497"/>
      <c r="CA956" s="497"/>
      <c r="CB956" s="497"/>
      <c r="CC956" s="497"/>
      <c r="CD956" s="497"/>
      <c r="CE956" s="497"/>
      <c r="CF956" s="497"/>
      <c r="CG956" s="497"/>
      <c r="CH956" s="497"/>
    </row>
    <row r="957" spans="1:86" s="335" customFormat="1">
      <c r="A957" s="517"/>
      <c r="B957" s="517"/>
      <c r="C957" s="517"/>
      <c r="D957" s="517"/>
      <c r="E957" s="517"/>
      <c r="F957" s="517"/>
      <c r="G957" s="517"/>
      <c r="H957" s="639"/>
      <c r="I957" s="639"/>
      <c r="J957" s="336"/>
      <c r="K957" s="2056"/>
      <c r="L957" s="337"/>
      <c r="N957" s="2057"/>
      <c r="O957" s="337"/>
      <c r="P957" s="337"/>
      <c r="Q957" s="337"/>
      <c r="R957" s="337"/>
      <c r="S957" s="337"/>
      <c r="T957" s="337"/>
      <c r="U957" s="497"/>
      <c r="V957" s="497"/>
      <c r="W957" s="497"/>
      <c r="X957" s="497"/>
      <c r="Y957" s="497"/>
      <c r="Z957" s="497"/>
      <c r="AA957" s="497"/>
      <c r="AB957" s="497"/>
      <c r="AC957" s="497"/>
      <c r="AD957" s="497"/>
      <c r="AE957" s="497"/>
      <c r="AF957" s="497"/>
      <c r="AG957" s="497"/>
      <c r="AH957" s="497"/>
      <c r="AI957" s="497"/>
      <c r="AJ957" s="497"/>
      <c r="AK957" s="497"/>
      <c r="AL957" s="497"/>
      <c r="AM957" s="497"/>
      <c r="AN957" s="497"/>
      <c r="AO957" s="497"/>
      <c r="AP957" s="497"/>
      <c r="AQ957" s="497"/>
      <c r="AR957" s="497"/>
      <c r="AS957" s="497"/>
      <c r="AT957" s="497"/>
      <c r="AU957" s="497"/>
      <c r="AV957" s="497"/>
      <c r="AW957" s="497"/>
      <c r="AX957" s="497"/>
      <c r="AY957" s="497"/>
      <c r="AZ957" s="497"/>
      <c r="BA957" s="497"/>
      <c r="BB957" s="497"/>
      <c r="BC957" s="497"/>
      <c r="BD957" s="497"/>
      <c r="BE957" s="497"/>
      <c r="BF957" s="497"/>
      <c r="BG957" s="497"/>
      <c r="BH957" s="497"/>
      <c r="BI957" s="497"/>
      <c r="BJ957" s="497"/>
      <c r="BK957" s="497"/>
      <c r="BL957" s="497"/>
      <c r="BM957" s="497"/>
      <c r="BN957" s="497"/>
      <c r="BO957" s="497"/>
      <c r="BP957" s="497"/>
      <c r="BQ957" s="497"/>
      <c r="BR957" s="497"/>
      <c r="BS957" s="497"/>
      <c r="BT957" s="497"/>
      <c r="BU957" s="497"/>
      <c r="BV957" s="497"/>
      <c r="BW957" s="497"/>
      <c r="BX957" s="497"/>
      <c r="BY957" s="497"/>
      <c r="BZ957" s="497"/>
      <c r="CA957" s="497"/>
      <c r="CB957" s="497"/>
      <c r="CC957" s="497"/>
      <c r="CD957" s="497"/>
      <c r="CE957" s="497"/>
      <c r="CF957" s="497"/>
      <c r="CG957" s="497"/>
      <c r="CH957" s="497"/>
    </row>
    <row r="958" spans="1:86" s="335" customFormat="1">
      <c r="A958" s="517"/>
      <c r="B958" s="517"/>
      <c r="C958" s="517"/>
      <c r="D958" s="517"/>
      <c r="E958" s="517"/>
      <c r="F958" s="517"/>
      <c r="G958" s="517"/>
      <c r="H958" s="639"/>
      <c r="I958" s="639"/>
      <c r="J958" s="336"/>
      <c r="K958" s="2056"/>
      <c r="L958" s="337"/>
      <c r="N958" s="2057"/>
      <c r="O958" s="337"/>
      <c r="P958" s="337"/>
      <c r="Q958" s="337"/>
      <c r="R958" s="337"/>
      <c r="S958" s="337"/>
      <c r="T958" s="337"/>
      <c r="U958" s="497"/>
      <c r="V958" s="497"/>
      <c r="W958" s="497"/>
      <c r="X958" s="497"/>
      <c r="Y958" s="497"/>
      <c r="Z958" s="497"/>
      <c r="AA958" s="497"/>
      <c r="AB958" s="497"/>
      <c r="AC958" s="497"/>
      <c r="AD958" s="497"/>
      <c r="AE958" s="497"/>
      <c r="AF958" s="497"/>
      <c r="AG958" s="497"/>
      <c r="AH958" s="497"/>
      <c r="AI958" s="497"/>
      <c r="AJ958" s="497"/>
      <c r="AK958" s="497"/>
      <c r="AL958" s="497"/>
      <c r="AM958" s="497"/>
      <c r="AN958" s="497"/>
      <c r="AO958" s="497"/>
      <c r="AP958" s="497"/>
      <c r="AQ958" s="497"/>
      <c r="AR958" s="497"/>
      <c r="AS958" s="497"/>
      <c r="AT958" s="497"/>
      <c r="AU958" s="497"/>
      <c r="AV958" s="497"/>
      <c r="AW958" s="497"/>
      <c r="AX958" s="497"/>
      <c r="AY958" s="497"/>
      <c r="AZ958" s="497"/>
      <c r="BA958" s="497"/>
      <c r="BB958" s="497"/>
      <c r="BC958" s="497"/>
      <c r="BD958" s="497"/>
      <c r="BE958" s="497"/>
      <c r="BF958" s="497"/>
      <c r="BG958" s="497"/>
      <c r="BH958" s="497"/>
      <c r="BI958" s="497"/>
      <c r="BJ958" s="497"/>
      <c r="BK958" s="497"/>
      <c r="BL958" s="497"/>
      <c r="BM958" s="497"/>
      <c r="BN958" s="497"/>
      <c r="BO958" s="497"/>
      <c r="BP958" s="497"/>
      <c r="BQ958" s="497"/>
      <c r="BR958" s="497"/>
      <c r="BS958" s="497"/>
      <c r="BT958" s="497"/>
      <c r="BU958" s="497"/>
      <c r="BV958" s="497"/>
      <c r="BW958" s="497"/>
      <c r="BX958" s="497"/>
      <c r="BY958" s="497"/>
      <c r="BZ958" s="497"/>
      <c r="CA958" s="497"/>
      <c r="CB958" s="497"/>
      <c r="CC958" s="497"/>
      <c r="CD958" s="497"/>
      <c r="CE958" s="497"/>
      <c r="CF958" s="497"/>
      <c r="CG958" s="497"/>
      <c r="CH958" s="497"/>
    </row>
    <row r="959" spans="1:86" s="335" customFormat="1">
      <c r="A959" s="517"/>
      <c r="B959" s="517"/>
      <c r="C959" s="517"/>
      <c r="D959" s="517"/>
      <c r="E959" s="517"/>
      <c r="F959" s="517"/>
      <c r="G959" s="517"/>
      <c r="H959" s="639"/>
      <c r="I959" s="639"/>
      <c r="J959" s="336"/>
      <c r="K959" s="2056"/>
      <c r="L959" s="337"/>
      <c r="N959" s="2057"/>
      <c r="O959" s="337"/>
      <c r="P959" s="337"/>
      <c r="Q959" s="337"/>
      <c r="R959" s="337"/>
      <c r="S959" s="337"/>
      <c r="T959" s="337"/>
      <c r="U959" s="497"/>
      <c r="V959" s="497"/>
      <c r="W959" s="497"/>
      <c r="X959" s="497"/>
      <c r="Y959" s="497"/>
      <c r="Z959" s="497"/>
      <c r="AA959" s="497"/>
      <c r="AB959" s="497"/>
      <c r="AC959" s="497"/>
      <c r="AD959" s="497"/>
      <c r="AE959" s="497"/>
      <c r="AF959" s="497"/>
      <c r="AG959" s="497"/>
      <c r="AH959" s="497"/>
      <c r="AI959" s="497"/>
      <c r="AJ959" s="497"/>
      <c r="AK959" s="497"/>
      <c r="AL959" s="497"/>
      <c r="AM959" s="497"/>
      <c r="AN959" s="497"/>
      <c r="AO959" s="497"/>
      <c r="AP959" s="497"/>
      <c r="AQ959" s="497"/>
      <c r="AR959" s="497"/>
      <c r="AS959" s="497"/>
      <c r="AT959" s="497"/>
      <c r="AU959" s="497"/>
      <c r="AV959" s="497"/>
      <c r="AW959" s="497"/>
      <c r="AX959" s="497"/>
      <c r="AY959" s="497"/>
      <c r="AZ959" s="497"/>
      <c r="BA959" s="497"/>
      <c r="BB959" s="497"/>
      <c r="BC959" s="497"/>
      <c r="BD959" s="497"/>
      <c r="BE959" s="497"/>
      <c r="BF959" s="497"/>
      <c r="BG959" s="497"/>
      <c r="BH959" s="497"/>
      <c r="BI959" s="497"/>
      <c r="BJ959" s="497"/>
      <c r="BK959" s="497"/>
      <c r="BL959" s="497"/>
      <c r="BM959" s="497"/>
      <c r="BN959" s="497"/>
      <c r="BO959" s="497"/>
      <c r="BP959" s="497"/>
      <c r="BQ959" s="497"/>
      <c r="BR959" s="497"/>
      <c r="BS959" s="497"/>
      <c r="BT959" s="497"/>
      <c r="BU959" s="497"/>
      <c r="BV959" s="497"/>
      <c r="BW959" s="497"/>
      <c r="BX959" s="497"/>
      <c r="BY959" s="497"/>
      <c r="BZ959" s="497"/>
      <c r="CA959" s="497"/>
      <c r="CB959" s="497"/>
      <c r="CC959" s="497"/>
      <c r="CD959" s="497"/>
      <c r="CE959" s="497"/>
      <c r="CF959" s="497"/>
      <c r="CG959" s="497"/>
      <c r="CH959" s="497"/>
    </row>
    <row r="960" spans="1:86" s="335" customFormat="1">
      <c r="A960" s="517"/>
      <c r="B960" s="517"/>
      <c r="C960" s="517"/>
      <c r="D960" s="517"/>
      <c r="E960" s="517"/>
      <c r="F960" s="517"/>
      <c r="G960" s="517"/>
      <c r="H960" s="639"/>
      <c r="I960" s="639"/>
      <c r="J960" s="336"/>
      <c r="K960" s="2056"/>
      <c r="L960" s="337"/>
      <c r="N960" s="2057"/>
      <c r="O960" s="337"/>
      <c r="P960" s="337"/>
      <c r="Q960" s="337"/>
      <c r="R960" s="337"/>
      <c r="S960" s="337"/>
      <c r="T960" s="337"/>
      <c r="U960" s="497"/>
      <c r="V960" s="497"/>
      <c r="W960" s="497"/>
      <c r="X960" s="497"/>
      <c r="Y960" s="497"/>
      <c r="Z960" s="497"/>
      <c r="AA960" s="497"/>
      <c r="AB960" s="497"/>
      <c r="AC960" s="497"/>
      <c r="AD960" s="497"/>
      <c r="AE960" s="497"/>
      <c r="AF960" s="497"/>
      <c r="AG960" s="497"/>
      <c r="AH960" s="497"/>
      <c r="AI960" s="497"/>
      <c r="AJ960" s="497"/>
      <c r="AK960" s="497"/>
      <c r="AL960" s="497"/>
      <c r="AM960" s="497"/>
      <c r="AN960" s="497"/>
      <c r="AO960" s="497"/>
      <c r="AP960" s="497"/>
      <c r="AQ960" s="497"/>
      <c r="AR960" s="497"/>
      <c r="AS960" s="497"/>
      <c r="AT960" s="497"/>
      <c r="AU960" s="497"/>
      <c r="AV960" s="497"/>
      <c r="AW960" s="497"/>
      <c r="AX960" s="497"/>
      <c r="AY960" s="497"/>
      <c r="AZ960" s="497"/>
      <c r="BA960" s="497"/>
      <c r="BB960" s="497"/>
      <c r="BC960" s="497"/>
      <c r="BD960" s="497"/>
      <c r="BE960" s="497"/>
      <c r="BF960" s="497"/>
      <c r="BG960" s="497"/>
      <c r="BH960" s="497"/>
      <c r="BI960" s="497"/>
      <c r="BJ960" s="497"/>
      <c r="BK960" s="497"/>
      <c r="BL960" s="497"/>
      <c r="BM960" s="497"/>
      <c r="BN960" s="497"/>
      <c r="BO960" s="497"/>
      <c r="BP960" s="497"/>
      <c r="BQ960" s="497"/>
      <c r="BR960" s="497"/>
      <c r="BS960" s="497"/>
      <c r="BT960" s="497"/>
      <c r="BU960" s="497"/>
      <c r="BV960" s="497"/>
      <c r="BW960" s="497"/>
      <c r="BX960" s="497"/>
      <c r="BY960" s="497"/>
      <c r="BZ960" s="497"/>
      <c r="CA960" s="497"/>
      <c r="CB960" s="497"/>
      <c r="CC960" s="497"/>
      <c r="CD960" s="497"/>
      <c r="CE960" s="497"/>
      <c r="CF960" s="497"/>
      <c r="CG960" s="497"/>
      <c r="CH960" s="497"/>
    </row>
    <row r="961" spans="1:86" s="335" customFormat="1">
      <c r="A961" s="517"/>
      <c r="B961" s="517"/>
      <c r="C961" s="517"/>
      <c r="D961" s="517"/>
      <c r="E961" s="517"/>
      <c r="F961" s="517"/>
      <c r="G961" s="517"/>
      <c r="H961" s="639"/>
      <c r="I961" s="639"/>
      <c r="J961" s="336"/>
      <c r="K961" s="2056"/>
      <c r="L961" s="337"/>
      <c r="N961" s="2057"/>
      <c r="O961" s="337"/>
      <c r="P961" s="337"/>
      <c r="Q961" s="337"/>
      <c r="R961" s="337"/>
      <c r="S961" s="337"/>
      <c r="T961" s="337"/>
      <c r="U961" s="497"/>
      <c r="V961" s="497"/>
      <c r="W961" s="497"/>
      <c r="X961" s="497"/>
      <c r="Y961" s="497"/>
      <c r="Z961" s="497"/>
      <c r="AA961" s="497"/>
      <c r="AB961" s="497"/>
      <c r="AC961" s="497"/>
      <c r="AD961" s="497"/>
      <c r="AE961" s="497"/>
      <c r="AF961" s="497"/>
      <c r="AG961" s="497"/>
      <c r="AH961" s="497"/>
      <c r="AI961" s="497"/>
      <c r="AJ961" s="497"/>
      <c r="AK961" s="497"/>
      <c r="AL961" s="497"/>
      <c r="AM961" s="497"/>
      <c r="AN961" s="497"/>
      <c r="AO961" s="497"/>
      <c r="AP961" s="497"/>
      <c r="AQ961" s="497"/>
      <c r="AR961" s="497"/>
      <c r="AS961" s="497"/>
      <c r="AT961" s="497"/>
      <c r="AU961" s="497"/>
      <c r="AV961" s="497"/>
      <c r="AW961" s="497"/>
      <c r="AX961" s="497"/>
      <c r="AY961" s="497"/>
      <c r="AZ961" s="497"/>
      <c r="BA961" s="497"/>
      <c r="BB961" s="497"/>
      <c r="BC961" s="497"/>
      <c r="BD961" s="497"/>
      <c r="BE961" s="497"/>
      <c r="BF961" s="497"/>
      <c r="BG961" s="497"/>
      <c r="BH961" s="497"/>
      <c r="BI961" s="497"/>
      <c r="BJ961" s="497"/>
      <c r="BK961" s="497"/>
      <c r="BL961" s="497"/>
      <c r="BM961" s="497"/>
      <c r="BN961" s="497"/>
      <c r="BO961" s="497"/>
      <c r="BP961" s="497"/>
      <c r="BQ961" s="497"/>
      <c r="BR961" s="497"/>
      <c r="BS961" s="497"/>
      <c r="BT961" s="497"/>
      <c r="BU961" s="497"/>
      <c r="BV961" s="497"/>
      <c r="BW961" s="497"/>
      <c r="BX961" s="497"/>
      <c r="BY961" s="497"/>
      <c r="BZ961" s="497"/>
      <c r="CA961" s="497"/>
      <c r="CB961" s="497"/>
      <c r="CC961" s="497"/>
      <c r="CD961" s="497"/>
      <c r="CE961" s="497"/>
      <c r="CF961" s="497"/>
      <c r="CG961" s="497"/>
      <c r="CH961" s="497"/>
    </row>
    <row r="962" spans="1:86" s="335" customFormat="1">
      <c r="A962" s="517"/>
      <c r="B962" s="517"/>
      <c r="C962" s="517"/>
      <c r="D962" s="517"/>
      <c r="E962" s="517"/>
      <c r="F962" s="517"/>
      <c r="G962" s="517"/>
      <c r="H962" s="639"/>
      <c r="I962" s="639"/>
      <c r="J962" s="336"/>
      <c r="K962" s="2056"/>
      <c r="L962" s="337"/>
      <c r="N962" s="2057"/>
      <c r="O962" s="337"/>
      <c r="P962" s="337"/>
      <c r="Q962" s="337"/>
      <c r="R962" s="337"/>
      <c r="S962" s="337"/>
      <c r="T962" s="337"/>
      <c r="U962" s="497"/>
      <c r="V962" s="497"/>
      <c r="W962" s="497"/>
      <c r="X962" s="497"/>
      <c r="Y962" s="497"/>
      <c r="Z962" s="497"/>
      <c r="AA962" s="497"/>
      <c r="AB962" s="497"/>
      <c r="AC962" s="497"/>
      <c r="AD962" s="497"/>
      <c r="AE962" s="497"/>
      <c r="AF962" s="497"/>
      <c r="AG962" s="497"/>
      <c r="AH962" s="497"/>
      <c r="AI962" s="497"/>
      <c r="AJ962" s="497"/>
      <c r="AK962" s="497"/>
      <c r="AL962" s="497"/>
      <c r="AM962" s="497"/>
      <c r="AN962" s="497"/>
      <c r="AO962" s="497"/>
      <c r="AP962" s="497"/>
      <c r="AQ962" s="497"/>
      <c r="AR962" s="497"/>
      <c r="AS962" s="497"/>
      <c r="AT962" s="497"/>
      <c r="AU962" s="497"/>
      <c r="AV962" s="497"/>
      <c r="AW962" s="497"/>
      <c r="AX962" s="497"/>
      <c r="AY962" s="497"/>
      <c r="AZ962" s="497"/>
      <c r="BA962" s="497"/>
      <c r="BB962" s="497"/>
      <c r="BC962" s="497"/>
      <c r="BD962" s="497"/>
      <c r="BE962" s="497"/>
      <c r="BF962" s="497"/>
      <c r="BG962" s="497"/>
      <c r="BH962" s="497"/>
      <c r="BI962" s="497"/>
      <c r="BJ962" s="497"/>
      <c r="BK962" s="497"/>
      <c r="BL962" s="497"/>
      <c r="BM962" s="497"/>
      <c r="BN962" s="497"/>
      <c r="BO962" s="497"/>
      <c r="BP962" s="497"/>
      <c r="BQ962" s="497"/>
      <c r="BR962" s="497"/>
      <c r="BS962" s="497"/>
      <c r="BT962" s="497"/>
      <c r="BU962" s="497"/>
      <c r="BV962" s="497"/>
      <c r="BW962" s="497"/>
      <c r="BX962" s="497"/>
      <c r="BY962" s="497"/>
      <c r="BZ962" s="497"/>
      <c r="CA962" s="497"/>
      <c r="CB962" s="497"/>
      <c r="CC962" s="497"/>
      <c r="CD962" s="497"/>
      <c r="CE962" s="497"/>
      <c r="CF962" s="497"/>
      <c r="CG962" s="497"/>
      <c r="CH962" s="497"/>
    </row>
    <row r="963" spans="1:86" s="335" customFormat="1">
      <c r="A963" s="517"/>
      <c r="B963" s="517"/>
      <c r="C963" s="517"/>
      <c r="D963" s="517"/>
      <c r="E963" s="517"/>
      <c r="F963" s="517"/>
      <c r="G963" s="517"/>
      <c r="H963" s="639"/>
      <c r="I963" s="639"/>
      <c r="J963" s="336"/>
      <c r="K963" s="2056"/>
      <c r="L963" s="337"/>
      <c r="N963" s="2057"/>
      <c r="O963" s="337"/>
      <c r="P963" s="337"/>
      <c r="Q963" s="337"/>
      <c r="R963" s="337"/>
      <c r="S963" s="337"/>
      <c r="T963" s="337"/>
      <c r="U963" s="497"/>
      <c r="V963" s="497"/>
      <c r="W963" s="497"/>
      <c r="X963" s="497"/>
      <c r="Y963" s="497"/>
      <c r="Z963" s="497"/>
      <c r="AA963" s="497"/>
      <c r="AB963" s="497"/>
      <c r="AC963" s="497"/>
      <c r="AD963" s="497"/>
      <c r="AE963" s="497"/>
      <c r="AF963" s="497"/>
      <c r="AG963" s="497"/>
      <c r="AH963" s="497"/>
      <c r="AI963" s="497"/>
      <c r="AJ963" s="497"/>
      <c r="AK963" s="497"/>
      <c r="AL963" s="497"/>
      <c r="AM963" s="497"/>
      <c r="AN963" s="497"/>
      <c r="AO963" s="497"/>
      <c r="AP963" s="497"/>
      <c r="AQ963" s="497"/>
      <c r="AR963" s="497"/>
      <c r="AS963" s="497"/>
      <c r="AT963" s="497"/>
      <c r="AU963" s="497"/>
      <c r="AV963" s="497"/>
      <c r="AW963" s="497"/>
      <c r="AX963" s="497"/>
      <c r="AY963" s="497"/>
      <c r="AZ963" s="497"/>
      <c r="BA963" s="497"/>
      <c r="BB963" s="497"/>
      <c r="BC963" s="497"/>
      <c r="BD963" s="497"/>
      <c r="BE963" s="497"/>
      <c r="BF963" s="497"/>
      <c r="BG963" s="497"/>
      <c r="BH963" s="497"/>
      <c r="BI963" s="497"/>
      <c r="BJ963" s="497"/>
      <c r="BK963" s="497"/>
      <c r="BL963" s="497"/>
      <c r="BM963" s="497"/>
      <c r="BN963" s="497"/>
      <c r="BO963" s="497"/>
      <c r="BP963" s="497"/>
      <c r="BQ963" s="497"/>
      <c r="BR963" s="497"/>
      <c r="BS963" s="497"/>
      <c r="BT963" s="497"/>
      <c r="BU963" s="497"/>
      <c r="BV963" s="497"/>
      <c r="BW963" s="497"/>
      <c r="BX963" s="497"/>
      <c r="BY963" s="497"/>
      <c r="BZ963" s="497"/>
      <c r="CA963" s="497"/>
      <c r="CB963" s="497"/>
      <c r="CC963" s="497"/>
      <c r="CD963" s="497"/>
      <c r="CE963" s="497"/>
      <c r="CF963" s="497"/>
      <c r="CG963" s="497"/>
      <c r="CH963" s="497"/>
    </row>
    <row r="964" spans="1:86" s="335" customFormat="1">
      <c r="A964" s="517"/>
      <c r="B964" s="517"/>
      <c r="C964" s="517"/>
      <c r="D964" s="517"/>
      <c r="E964" s="517"/>
      <c r="F964" s="517"/>
      <c r="G964" s="517"/>
      <c r="H964" s="639"/>
      <c r="I964" s="639"/>
      <c r="J964" s="336"/>
      <c r="K964" s="2056"/>
      <c r="L964" s="337"/>
      <c r="N964" s="2057"/>
      <c r="O964" s="337"/>
      <c r="P964" s="337"/>
      <c r="Q964" s="337"/>
      <c r="R964" s="337"/>
      <c r="S964" s="337"/>
      <c r="T964" s="337"/>
      <c r="U964" s="497"/>
      <c r="V964" s="497"/>
      <c r="W964" s="497"/>
      <c r="X964" s="497"/>
      <c r="Y964" s="497"/>
      <c r="Z964" s="497"/>
      <c r="AA964" s="497"/>
      <c r="AB964" s="497"/>
      <c r="AC964" s="497"/>
      <c r="AD964" s="497"/>
      <c r="AE964" s="497"/>
      <c r="AF964" s="497"/>
      <c r="AG964" s="497"/>
      <c r="AH964" s="497"/>
      <c r="AI964" s="497"/>
      <c r="AJ964" s="497"/>
      <c r="AK964" s="497"/>
      <c r="AL964" s="497"/>
      <c r="AM964" s="497"/>
      <c r="AN964" s="497"/>
      <c r="AO964" s="497"/>
      <c r="AP964" s="497"/>
      <c r="AQ964" s="497"/>
      <c r="AR964" s="497"/>
      <c r="AS964" s="497"/>
      <c r="AT964" s="497"/>
      <c r="AU964" s="497"/>
      <c r="AV964" s="497"/>
      <c r="AW964" s="497"/>
      <c r="AX964" s="497"/>
      <c r="AY964" s="497"/>
      <c r="AZ964" s="497"/>
      <c r="BA964" s="497"/>
      <c r="BB964" s="497"/>
      <c r="BC964" s="497"/>
      <c r="BD964" s="497"/>
      <c r="BE964" s="497"/>
      <c r="BF964" s="497"/>
      <c r="BG964" s="497"/>
      <c r="BH964" s="497"/>
      <c r="BI964" s="497"/>
      <c r="BJ964" s="497"/>
      <c r="BK964" s="497"/>
      <c r="BL964" s="497"/>
      <c r="BM964" s="497"/>
      <c r="BN964" s="497"/>
      <c r="BO964" s="497"/>
      <c r="BP964" s="497"/>
      <c r="BQ964" s="497"/>
      <c r="BR964" s="497"/>
      <c r="BS964" s="497"/>
      <c r="BT964" s="497"/>
      <c r="BU964" s="497"/>
      <c r="BV964" s="497"/>
      <c r="BW964" s="497"/>
      <c r="BX964" s="497"/>
      <c r="BY964" s="497"/>
      <c r="BZ964" s="497"/>
      <c r="CA964" s="497"/>
      <c r="CB964" s="497"/>
      <c r="CC964" s="497"/>
      <c r="CD964" s="497"/>
      <c r="CE964" s="497"/>
      <c r="CF964" s="497"/>
      <c r="CG964" s="497"/>
      <c r="CH964" s="497"/>
    </row>
    <row r="965" spans="1:86" s="335" customFormat="1">
      <c r="A965" s="517"/>
      <c r="B965" s="517"/>
      <c r="C965" s="517"/>
      <c r="D965" s="517"/>
      <c r="E965" s="517"/>
      <c r="F965" s="517"/>
      <c r="G965" s="517"/>
      <c r="H965" s="639"/>
      <c r="I965" s="639"/>
      <c r="J965" s="336"/>
      <c r="K965" s="2056"/>
      <c r="L965" s="337"/>
      <c r="N965" s="2057"/>
      <c r="O965" s="337"/>
      <c r="P965" s="337"/>
      <c r="Q965" s="337"/>
      <c r="R965" s="337"/>
      <c r="S965" s="337"/>
      <c r="T965" s="337"/>
      <c r="U965" s="497"/>
      <c r="V965" s="497"/>
      <c r="W965" s="497"/>
      <c r="X965" s="497"/>
      <c r="Y965" s="497"/>
      <c r="Z965" s="497"/>
      <c r="AA965" s="497"/>
      <c r="AB965" s="497"/>
      <c r="AC965" s="497"/>
      <c r="AD965" s="497"/>
      <c r="AE965" s="497"/>
      <c r="AF965" s="497"/>
      <c r="AG965" s="497"/>
      <c r="AH965" s="497"/>
      <c r="AI965" s="497"/>
      <c r="AJ965" s="497"/>
      <c r="AK965" s="497"/>
      <c r="AL965" s="497"/>
      <c r="AM965" s="497"/>
      <c r="AN965" s="497"/>
      <c r="AO965" s="497"/>
      <c r="AP965" s="497"/>
      <c r="AQ965" s="497"/>
      <c r="AR965" s="497"/>
      <c r="AS965" s="497"/>
      <c r="AT965" s="497"/>
      <c r="AU965" s="497"/>
      <c r="AV965" s="497"/>
      <c r="AW965" s="497"/>
      <c r="AX965" s="497"/>
      <c r="AY965" s="497"/>
      <c r="AZ965" s="497"/>
      <c r="BA965" s="497"/>
      <c r="BB965" s="497"/>
      <c r="BC965" s="497"/>
      <c r="BD965" s="497"/>
      <c r="BE965" s="497"/>
      <c r="BF965" s="497"/>
      <c r="BG965" s="497"/>
      <c r="BH965" s="497"/>
      <c r="BI965" s="497"/>
      <c r="BJ965" s="497"/>
      <c r="BK965" s="497"/>
      <c r="BL965" s="497"/>
      <c r="BM965" s="497"/>
      <c r="BN965" s="497"/>
      <c r="BO965" s="497"/>
      <c r="BP965" s="497"/>
      <c r="BQ965" s="497"/>
      <c r="BR965" s="497"/>
      <c r="BS965" s="497"/>
      <c r="BT965" s="497"/>
      <c r="BU965" s="497"/>
      <c r="BV965" s="497"/>
      <c r="BW965" s="497"/>
      <c r="BX965" s="497"/>
      <c r="BY965" s="497"/>
      <c r="BZ965" s="497"/>
      <c r="CA965" s="497"/>
      <c r="CB965" s="497"/>
      <c r="CC965" s="497"/>
      <c r="CD965" s="497"/>
      <c r="CE965" s="497"/>
      <c r="CF965" s="497"/>
      <c r="CG965" s="497"/>
      <c r="CH965" s="497"/>
    </row>
    <row r="966" spans="1:86" s="335" customFormat="1">
      <c r="A966" s="517"/>
      <c r="B966" s="517"/>
      <c r="C966" s="517"/>
      <c r="D966" s="517"/>
      <c r="E966" s="517"/>
      <c r="F966" s="517"/>
      <c r="G966" s="517"/>
      <c r="H966" s="639"/>
      <c r="I966" s="639"/>
      <c r="J966" s="336"/>
      <c r="K966" s="2056"/>
      <c r="L966" s="337"/>
      <c r="N966" s="2057"/>
      <c r="O966" s="337"/>
      <c r="P966" s="337"/>
      <c r="Q966" s="337"/>
      <c r="R966" s="337"/>
      <c r="S966" s="337"/>
      <c r="T966" s="337"/>
      <c r="U966" s="497"/>
      <c r="V966" s="497"/>
      <c r="W966" s="497"/>
      <c r="X966" s="497"/>
      <c r="Y966" s="497"/>
      <c r="Z966" s="497"/>
      <c r="AA966" s="497"/>
      <c r="AB966" s="497"/>
      <c r="AC966" s="497"/>
      <c r="AD966" s="497"/>
      <c r="AE966" s="497"/>
      <c r="AF966" s="497"/>
      <c r="AG966" s="497"/>
      <c r="AH966" s="497"/>
      <c r="AI966" s="497"/>
      <c r="AJ966" s="497"/>
      <c r="AK966" s="497"/>
      <c r="AL966" s="497"/>
      <c r="AM966" s="497"/>
      <c r="AN966" s="497"/>
      <c r="AO966" s="497"/>
      <c r="AP966" s="497"/>
      <c r="AQ966" s="497"/>
      <c r="AR966" s="497"/>
      <c r="AS966" s="497"/>
      <c r="AT966" s="497"/>
      <c r="AU966" s="497"/>
      <c r="AV966" s="497"/>
      <c r="AW966" s="497"/>
      <c r="AX966" s="497"/>
      <c r="AY966" s="497"/>
      <c r="AZ966" s="497"/>
      <c r="BA966" s="497"/>
      <c r="BB966" s="497"/>
      <c r="BC966" s="497"/>
      <c r="BD966" s="497"/>
      <c r="BE966" s="497"/>
      <c r="BF966" s="497"/>
      <c r="BG966" s="497"/>
      <c r="BH966" s="497"/>
      <c r="BI966" s="497"/>
      <c r="BJ966" s="497"/>
      <c r="BK966" s="497"/>
      <c r="BL966" s="497"/>
      <c r="BM966" s="497"/>
      <c r="BN966" s="497"/>
      <c r="BO966" s="497"/>
      <c r="BP966" s="497"/>
      <c r="BQ966" s="497"/>
      <c r="BR966" s="497"/>
      <c r="BS966" s="497"/>
      <c r="BT966" s="497"/>
      <c r="BU966" s="497"/>
      <c r="BV966" s="497"/>
      <c r="BW966" s="497"/>
      <c r="BX966" s="497"/>
      <c r="BY966" s="497"/>
      <c r="BZ966" s="497"/>
      <c r="CA966" s="497"/>
      <c r="CB966" s="497"/>
      <c r="CC966" s="497"/>
      <c r="CD966" s="497"/>
      <c r="CE966" s="497"/>
      <c r="CF966" s="497"/>
      <c r="CG966" s="497"/>
      <c r="CH966" s="497"/>
    </row>
    <row r="967" spans="1:86" s="335" customFormat="1">
      <c r="A967" s="517"/>
      <c r="B967" s="517"/>
      <c r="C967" s="517"/>
      <c r="D967" s="517"/>
      <c r="E967" s="517"/>
      <c r="F967" s="517"/>
      <c r="G967" s="517"/>
      <c r="H967" s="639"/>
      <c r="I967" s="639"/>
      <c r="J967" s="336"/>
      <c r="K967" s="2056"/>
      <c r="L967" s="337"/>
      <c r="N967" s="2057"/>
      <c r="O967" s="337"/>
      <c r="P967" s="337"/>
      <c r="Q967" s="337"/>
      <c r="R967" s="337"/>
      <c r="S967" s="337"/>
      <c r="T967" s="337"/>
      <c r="U967" s="497"/>
      <c r="V967" s="497"/>
      <c r="W967" s="497"/>
      <c r="X967" s="497"/>
      <c r="Y967" s="497"/>
      <c r="Z967" s="497"/>
      <c r="AA967" s="497"/>
      <c r="AB967" s="497"/>
      <c r="AC967" s="497"/>
      <c r="AD967" s="497"/>
      <c r="AE967" s="497"/>
      <c r="AF967" s="497"/>
      <c r="AG967" s="497"/>
      <c r="AH967" s="497"/>
      <c r="AI967" s="497"/>
      <c r="AJ967" s="497"/>
      <c r="AK967" s="497"/>
      <c r="AL967" s="497"/>
      <c r="AM967" s="497"/>
      <c r="AN967" s="497"/>
      <c r="AO967" s="497"/>
      <c r="AP967" s="497"/>
      <c r="AQ967" s="497"/>
      <c r="AR967" s="497"/>
      <c r="AS967" s="497"/>
      <c r="AT967" s="497"/>
      <c r="AU967" s="497"/>
      <c r="AV967" s="497"/>
      <c r="AW967" s="497"/>
      <c r="AX967" s="497"/>
      <c r="AY967" s="497"/>
      <c r="AZ967" s="497"/>
      <c r="BA967" s="497"/>
      <c r="BB967" s="497"/>
      <c r="BC967" s="497"/>
      <c r="BD967" s="497"/>
      <c r="BE967" s="497"/>
      <c r="BF967" s="497"/>
      <c r="BG967" s="497"/>
      <c r="BH967" s="497"/>
      <c r="BI967" s="497"/>
      <c r="BJ967" s="497"/>
      <c r="BK967" s="497"/>
      <c r="BL967" s="497"/>
      <c r="BM967" s="497"/>
      <c r="BN967" s="497"/>
      <c r="BO967" s="497"/>
      <c r="BP967" s="497"/>
      <c r="BQ967" s="497"/>
      <c r="BR967" s="497"/>
      <c r="BS967" s="497"/>
      <c r="BT967" s="497"/>
      <c r="BU967" s="497"/>
      <c r="BV967" s="497"/>
      <c r="BW967" s="497"/>
      <c r="BX967" s="497"/>
      <c r="BY967" s="497"/>
      <c r="BZ967" s="497"/>
      <c r="CA967" s="497"/>
      <c r="CB967" s="497"/>
      <c r="CC967" s="497"/>
      <c r="CD967" s="497"/>
      <c r="CE967" s="497"/>
      <c r="CF967" s="497"/>
      <c r="CG967" s="497"/>
      <c r="CH967" s="497"/>
    </row>
    <row r="968" spans="1:86" s="335" customFormat="1">
      <c r="A968" s="517"/>
      <c r="B968" s="517"/>
      <c r="C968" s="517"/>
      <c r="D968" s="517"/>
      <c r="E968" s="517"/>
      <c r="F968" s="517"/>
      <c r="G968" s="517"/>
      <c r="H968" s="639"/>
      <c r="I968" s="639"/>
      <c r="J968" s="336"/>
      <c r="K968" s="2056"/>
      <c r="L968" s="337"/>
      <c r="N968" s="2057"/>
      <c r="O968" s="337"/>
      <c r="P968" s="337"/>
      <c r="Q968" s="337"/>
      <c r="R968" s="337"/>
      <c r="S968" s="337"/>
      <c r="T968" s="337"/>
      <c r="U968" s="497"/>
      <c r="V968" s="497"/>
      <c r="W968" s="497"/>
      <c r="X968" s="497"/>
      <c r="Y968" s="497"/>
      <c r="Z968" s="497"/>
      <c r="AA968" s="497"/>
      <c r="AB968" s="497"/>
      <c r="AC968" s="497"/>
      <c r="AD968" s="497"/>
      <c r="AE968" s="497"/>
      <c r="AF968" s="497"/>
      <c r="AG968" s="497"/>
      <c r="AH968" s="497"/>
      <c r="AI968" s="497"/>
      <c r="AJ968" s="497"/>
      <c r="AK968" s="497"/>
      <c r="AL968" s="497"/>
      <c r="AM968" s="497"/>
      <c r="AN968" s="497"/>
      <c r="AO968" s="497"/>
      <c r="AP968" s="497"/>
      <c r="AQ968" s="497"/>
      <c r="AR968" s="497"/>
      <c r="AS968" s="497"/>
      <c r="AT968" s="497"/>
      <c r="AU968" s="497"/>
      <c r="AV968" s="497"/>
      <c r="AW968" s="497"/>
      <c r="AX968" s="497"/>
      <c r="AY968" s="497"/>
      <c r="AZ968" s="497"/>
      <c r="BA968" s="497"/>
      <c r="BB968" s="497"/>
      <c r="BC968" s="497"/>
      <c r="BD968" s="497"/>
      <c r="BE968" s="497"/>
      <c r="BF968" s="497"/>
      <c r="BG968" s="497"/>
      <c r="BH968" s="497"/>
      <c r="BI968" s="497"/>
      <c r="BJ968" s="497"/>
      <c r="BK968" s="497"/>
      <c r="BL968" s="497"/>
      <c r="BM968" s="497"/>
      <c r="BN968" s="497"/>
      <c r="BO968" s="497"/>
      <c r="BP968" s="497"/>
      <c r="BQ968" s="497"/>
      <c r="BR968" s="497"/>
      <c r="BS968" s="497"/>
      <c r="BT968" s="497"/>
      <c r="BU968" s="497"/>
      <c r="BV968" s="497"/>
      <c r="BW968" s="497"/>
      <c r="BX968" s="497"/>
      <c r="BY968" s="497"/>
      <c r="BZ968" s="497"/>
      <c r="CA968" s="497"/>
      <c r="CB968" s="497"/>
      <c r="CC968" s="497"/>
      <c r="CD968" s="497"/>
      <c r="CE968" s="497"/>
      <c r="CF968" s="497"/>
      <c r="CG968" s="497"/>
      <c r="CH968" s="497"/>
    </row>
    <row r="969" spans="1:86" s="335" customFormat="1">
      <c r="A969" s="517"/>
      <c r="B969" s="517"/>
      <c r="C969" s="517"/>
      <c r="D969" s="517"/>
      <c r="E969" s="517"/>
      <c r="F969" s="517"/>
      <c r="G969" s="517"/>
      <c r="H969" s="639"/>
      <c r="I969" s="639"/>
      <c r="J969" s="336"/>
      <c r="K969" s="2056"/>
      <c r="L969" s="337"/>
      <c r="N969" s="2057"/>
      <c r="O969" s="337"/>
      <c r="P969" s="337"/>
      <c r="Q969" s="337"/>
      <c r="R969" s="337"/>
      <c r="S969" s="337"/>
      <c r="T969" s="337"/>
      <c r="U969" s="497"/>
      <c r="V969" s="497"/>
      <c r="W969" s="497"/>
      <c r="X969" s="497"/>
      <c r="Y969" s="497"/>
      <c r="Z969" s="497"/>
      <c r="AA969" s="497"/>
      <c r="AB969" s="497"/>
      <c r="AC969" s="497"/>
      <c r="AD969" s="497"/>
      <c r="AE969" s="497"/>
      <c r="AF969" s="497"/>
      <c r="AG969" s="497"/>
      <c r="AH969" s="497"/>
      <c r="AI969" s="497"/>
      <c r="AJ969" s="497"/>
      <c r="AK969" s="497"/>
      <c r="AL969" s="497"/>
      <c r="AM969" s="497"/>
      <c r="AN969" s="497"/>
      <c r="AO969" s="497"/>
      <c r="AP969" s="497"/>
      <c r="AQ969" s="497"/>
      <c r="AR969" s="497"/>
      <c r="AS969" s="497"/>
      <c r="AT969" s="497"/>
      <c r="AU969" s="497"/>
      <c r="AV969" s="497"/>
      <c r="AW969" s="497"/>
      <c r="AX969" s="497"/>
      <c r="AY969" s="497"/>
      <c r="AZ969" s="497"/>
      <c r="BA969" s="497"/>
      <c r="BB969" s="497"/>
      <c r="BC969" s="497"/>
      <c r="BD969" s="497"/>
      <c r="BE969" s="497"/>
      <c r="BF969" s="497"/>
      <c r="BG969" s="497"/>
      <c r="BH969" s="497"/>
      <c r="BI969" s="497"/>
      <c r="BJ969" s="497"/>
      <c r="BK969" s="497"/>
      <c r="BL969" s="497"/>
      <c r="BM969" s="497"/>
      <c r="BN969" s="497"/>
      <c r="BO969" s="497"/>
      <c r="BP969" s="497"/>
      <c r="BQ969" s="497"/>
      <c r="BR969" s="497"/>
      <c r="BS969" s="497"/>
      <c r="BT969" s="497"/>
      <c r="BU969" s="497"/>
      <c r="BV969" s="497"/>
      <c r="BW969" s="497"/>
      <c r="BX969" s="497"/>
      <c r="BY969" s="497"/>
      <c r="BZ969" s="497"/>
      <c r="CA969" s="497"/>
      <c r="CB969" s="497"/>
      <c r="CC969" s="497"/>
      <c r="CD969" s="497"/>
      <c r="CE969" s="497"/>
      <c r="CF969" s="497"/>
      <c r="CG969" s="497"/>
      <c r="CH969" s="497"/>
    </row>
    <row r="970" spans="1:86" s="335" customFormat="1">
      <c r="A970" s="517"/>
      <c r="B970" s="517"/>
      <c r="C970" s="517"/>
      <c r="D970" s="517"/>
      <c r="E970" s="517"/>
      <c r="F970" s="517"/>
      <c r="G970" s="517"/>
      <c r="H970" s="639"/>
      <c r="I970" s="639"/>
      <c r="J970" s="336"/>
      <c r="K970" s="2056"/>
      <c r="L970" s="337"/>
      <c r="N970" s="2057"/>
      <c r="O970" s="337"/>
      <c r="P970" s="337"/>
      <c r="Q970" s="337"/>
      <c r="R970" s="337"/>
      <c r="S970" s="337"/>
      <c r="T970" s="337"/>
      <c r="U970" s="497"/>
      <c r="V970" s="497"/>
      <c r="W970" s="497"/>
      <c r="X970" s="497"/>
      <c r="Y970" s="497"/>
      <c r="Z970" s="497"/>
      <c r="AA970" s="497"/>
      <c r="AB970" s="497"/>
      <c r="AC970" s="497"/>
      <c r="AD970" s="497"/>
      <c r="AE970" s="497"/>
      <c r="AF970" s="497"/>
      <c r="AG970" s="497"/>
      <c r="AH970" s="497"/>
      <c r="AI970" s="497"/>
      <c r="AJ970" s="497"/>
      <c r="AK970" s="497"/>
      <c r="AL970" s="497"/>
      <c r="AM970" s="497"/>
      <c r="AN970" s="497"/>
      <c r="AO970" s="497"/>
      <c r="AP970" s="497"/>
      <c r="AQ970" s="497"/>
      <c r="AR970" s="497"/>
      <c r="AS970" s="497"/>
      <c r="AT970" s="497"/>
      <c r="AU970" s="497"/>
      <c r="AV970" s="497"/>
      <c r="AW970" s="497"/>
      <c r="AX970" s="497"/>
      <c r="AY970" s="497"/>
      <c r="AZ970" s="497"/>
      <c r="BA970" s="497"/>
      <c r="BB970" s="497"/>
      <c r="BC970" s="497"/>
      <c r="BD970" s="497"/>
      <c r="BE970" s="497"/>
      <c r="BF970" s="497"/>
      <c r="BG970" s="497"/>
      <c r="BH970" s="497"/>
      <c r="BI970" s="497"/>
      <c r="BJ970" s="497"/>
      <c r="BK970" s="497"/>
      <c r="BL970" s="497"/>
      <c r="BM970" s="497"/>
      <c r="BN970" s="497"/>
      <c r="BO970" s="497"/>
      <c r="BP970" s="497"/>
      <c r="BQ970" s="497"/>
      <c r="BR970" s="497"/>
      <c r="BS970" s="497"/>
      <c r="BT970" s="497"/>
      <c r="BU970" s="497"/>
      <c r="BV970" s="497"/>
      <c r="BW970" s="497"/>
      <c r="BX970" s="497"/>
      <c r="BY970" s="497"/>
      <c r="BZ970" s="497"/>
      <c r="CA970" s="497"/>
      <c r="CB970" s="497"/>
      <c r="CC970" s="497"/>
      <c r="CD970" s="497"/>
      <c r="CE970" s="497"/>
      <c r="CF970" s="497"/>
      <c r="CG970" s="497"/>
      <c r="CH970" s="497"/>
    </row>
    <row r="971" spans="1:86" s="335" customFormat="1">
      <c r="A971" s="517"/>
      <c r="B971" s="517"/>
      <c r="C971" s="517"/>
      <c r="D971" s="517"/>
      <c r="E971" s="517"/>
      <c r="F971" s="517"/>
      <c r="G971" s="517"/>
      <c r="H971" s="639"/>
      <c r="I971" s="639"/>
      <c r="J971" s="336"/>
      <c r="K971" s="2056"/>
      <c r="L971" s="337"/>
      <c r="N971" s="2057"/>
      <c r="O971" s="337"/>
      <c r="P971" s="337"/>
      <c r="Q971" s="337"/>
      <c r="R971" s="337"/>
      <c r="S971" s="337"/>
      <c r="T971" s="337"/>
      <c r="U971" s="497"/>
      <c r="V971" s="497"/>
      <c r="W971" s="497"/>
      <c r="X971" s="497"/>
      <c r="Y971" s="497"/>
      <c r="Z971" s="497"/>
      <c r="AA971" s="497"/>
      <c r="AB971" s="497"/>
      <c r="AC971" s="497"/>
      <c r="AD971" s="497"/>
      <c r="AE971" s="497"/>
      <c r="AF971" s="497"/>
      <c r="AG971" s="497"/>
      <c r="AH971" s="497"/>
      <c r="AI971" s="497"/>
      <c r="AJ971" s="497"/>
      <c r="AK971" s="497"/>
      <c r="AL971" s="497"/>
      <c r="AM971" s="497"/>
      <c r="AN971" s="497"/>
      <c r="AO971" s="497"/>
      <c r="AP971" s="497"/>
      <c r="AQ971" s="497"/>
      <c r="AR971" s="497"/>
      <c r="AS971" s="497"/>
      <c r="AT971" s="497"/>
      <c r="AU971" s="497"/>
      <c r="AV971" s="497"/>
      <c r="AW971" s="497"/>
      <c r="AX971" s="497"/>
      <c r="AY971" s="497"/>
      <c r="AZ971" s="497"/>
      <c r="BA971" s="497"/>
      <c r="BB971" s="497"/>
      <c r="BC971" s="497"/>
      <c r="BD971" s="497"/>
      <c r="BE971" s="497"/>
      <c r="BF971" s="497"/>
      <c r="BG971" s="497"/>
      <c r="BH971" s="497"/>
      <c r="BI971" s="497"/>
      <c r="BJ971" s="497"/>
      <c r="BK971" s="497"/>
      <c r="BL971" s="497"/>
      <c r="BM971" s="497"/>
      <c r="BN971" s="497"/>
      <c r="BO971" s="497"/>
      <c r="BP971" s="497"/>
      <c r="BQ971" s="497"/>
      <c r="BR971" s="497"/>
      <c r="BS971" s="497"/>
      <c r="BT971" s="497"/>
      <c r="BU971" s="497"/>
      <c r="BV971" s="497"/>
      <c r="BW971" s="497"/>
      <c r="BX971" s="497"/>
      <c r="BY971" s="497"/>
      <c r="BZ971" s="497"/>
      <c r="CA971" s="497"/>
      <c r="CB971" s="497"/>
      <c r="CC971" s="497"/>
      <c r="CD971" s="497"/>
      <c r="CE971" s="497"/>
      <c r="CF971" s="497"/>
      <c r="CG971" s="497"/>
      <c r="CH971" s="497"/>
    </row>
    <row r="972" spans="1:86" s="335" customFormat="1">
      <c r="A972" s="517"/>
      <c r="B972" s="517"/>
      <c r="C972" s="517"/>
      <c r="D972" s="517"/>
      <c r="E972" s="517"/>
      <c r="F972" s="517"/>
      <c r="G972" s="517"/>
      <c r="H972" s="639"/>
      <c r="I972" s="639"/>
      <c r="J972" s="336"/>
      <c r="K972" s="2056"/>
      <c r="L972" s="337"/>
      <c r="N972" s="2057"/>
      <c r="O972" s="337"/>
      <c r="P972" s="337"/>
      <c r="Q972" s="337"/>
      <c r="R972" s="337"/>
      <c r="S972" s="337"/>
      <c r="T972" s="337"/>
      <c r="U972" s="497"/>
      <c r="V972" s="497"/>
      <c r="W972" s="497"/>
      <c r="X972" s="497"/>
      <c r="Y972" s="497"/>
      <c r="Z972" s="497"/>
      <c r="AA972" s="497"/>
      <c r="AB972" s="497"/>
      <c r="AC972" s="497"/>
      <c r="AD972" s="497"/>
      <c r="AE972" s="497"/>
      <c r="AF972" s="497"/>
      <c r="AG972" s="497"/>
      <c r="AH972" s="497"/>
      <c r="AI972" s="497"/>
      <c r="AJ972" s="497"/>
      <c r="AK972" s="497"/>
      <c r="AL972" s="497"/>
      <c r="AM972" s="497"/>
      <c r="AN972" s="497"/>
      <c r="AO972" s="497"/>
      <c r="AP972" s="497"/>
      <c r="AQ972" s="497"/>
      <c r="AR972" s="497"/>
      <c r="AS972" s="497"/>
      <c r="AT972" s="497"/>
      <c r="AU972" s="497"/>
      <c r="AV972" s="497"/>
      <c r="AW972" s="497"/>
      <c r="AX972" s="497"/>
      <c r="AY972" s="497"/>
      <c r="AZ972" s="497"/>
      <c r="BA972" s="497"/>
      <c r="BB972" s="497"/>
      <c r="BC972" s="497"/>
      <c r="BD972" s="497"/>
      <c r="BE972" s="497"/>
      <c r="BF972" s="497"/>
      <c r="BG972" s="497"/>
      <c r="BH972" s="497"/>
      <c r="BI972" s="497"/>
      <c r="BJ972" s="497"/>
      <c r="BK972" s="497"/>
      <c r="BL972" s="497"/>
      <c r="BM972" s="497"/>
      <c r="BN972" s="497"/>
      <c r="BO972" s="497"/>
      <c r="BP972" s="497"/>
      <c r="BQ972" s="497"/>
      <c r="BR972" s="497"/>
      <c r="BS972" s="497"/>
      <c r="BT972" s="497"/>
      <c r="BU972" s="497"/>
      <c r="BV972" s="497"/>
      <c r="BW972" s="497"/>
      <c r="BX972" s="497"/>
      <c r="BY972" s="497"/>
      <c r="BZ972" s="497"/>
      <c r="CA972" s="497"/>
      <c r="CB972" s="497"/>
      <c r="CC972" s="497"/>
      <c r="CD972" s="497"/>
      <c r="CE972" s="497"/>
      <c r="CF972" s="497"/>
      <c r="CG972" s="497"/>
      <c r="CH972" s="497"/>
    </row>
    <row r="973" spans="1:86" s="335" customFormat="1">
      <c r="A973" s="517"/>
      <c r="B973" s="517"/>
      <c r="C973" s="517"/>
      <c r="D973" s="517"/>
      <c r="E973" s="517"/>
      <c r="F973" s="517"/>
      <c r="G973" s="517"/>
      <c r="H973" s="639"/>
      <c r="I973" s="639"/>
      <c r="J973" s="336"/>
      <c r="K973" s="2056"/>
      <c r="L973" s="337"/>
      <c r="N973" s="2057"/>
      <c r="O973" s="337"/>
      <c r="P973" s="337"/>
      <c r="Q973" s="337"/>
      <c r="R973" s="337"/>
      <c r="S973" s="337"/>
      <c r="T973" s="337"/>
      <c r="U973" s="497"/>
      <c r="V973" s="497"/>
      <c r="W973" s="497"/>
      <c r="X973" s="497"/>
      <c r="Y973" s="497"/>
      <c r="Z973" s="497"/>
      <c r="AA973" s="497"/>
      <c r="AB973" s="497"/>
      <c r="AC973" s="497"/>
      <c r="AD973" s="497"/>
      <c r="AE973" s="497"/>
      <c r="AF973" s="497"/>
      <c r="AG973" s="497"/>
      <c r="AH973" s="497"/>
      <c r="AI973" s="497"/>
      <c r="AJ973" s="497"/>
      <c r="AK973" s="497"/>
      <c r="AL973" s="497"/>
      <c r="AM973" s="497"/>
      <c r="AN973" s="497"/>
      <c r="AO973" s="497"/>
      <c r="AP973" s="497"/>
      <c r="AQ973" s="497"/>
      <c r="AR973" s="497"/>
      <c r="AS973" s="497"/>
      <c r="AT973" s="497"/>
      <c r="AU973" s="497"/>
      <c r="AV973" s="497"/>
      <c r="AW973" s="497"/>
      <c r="AX973" s="497"/>
      <c r="AY973" s="497"/>
      <c r="AZ973" s="497"/>
      <c r="BA973" s="497"/>
      <c r="BB973" s="497"/>
      <c r="BC973" s="497"/>
      <c r="BD973" s="497"/>
      <c r="BE973" s="497"/>
      <c r="BF973" s="497"/>
      <c r="BG973" s="497"/>
      <c r="BH973" s="497"/>
      <c r="BI973" s="497"/>
      <c r="BJ973" s="497"/>
      <c r="BK973" s="497"/>
      <c r="BL973" s="497"/>
      <c r="BM973" s="497"/>
      <c r="BN973" s="497"/>
      <c r="BO973" s="497"/>
      <c r="BP973" s="497"/>
      <c r="BQ973" s="497"/>
      <c r="BR973" s="497"/>
      <c r="BS973" s="497"/>
      <c r="BT973" s="497"/>
      <c r="BU973" s="497"/>
      <c r="BV973" s="497"/>
      <c r="BW973" s="497"/>
      <c r="BX973" s="497"/>
      <c r="BY973" s="497"/>
      <c r="BZ973" s="497"/>
      <c r="CA973" s="497"/>
      <c r="CB973" s="497"/>
      <c r="CC973" s="497"/>
      <c r="CD973" s="497"/>
      <c r="CE973" s="497"/>
      <c r="CF973" s="497"/>
      <c r="CG973" s="497"/>
      <c r="CH973" s="497"/>
    </row>
    <row r="974" spans="1:86" s="335" customFormat="1">
      <c r="A974" s="517"/>
      <c r="B974" s="517"/>
      <c r="C974" s="517"/>
      <c r="D974" s="517"/>
      <c r="E974" s="517"/>
      <c r="F974" s="517"/>
      <c r="G974" s="517"/>
      <c r="H974" s="639"/>
      <c r="I974" s="639"/>
      <c r="J974" s="336"/>
      <c r="K974" s="2056"/>
      <c r="L974" s="337"/>
      <c r="N974" s="2057"/>
      <c r="O974" s="337"/>
      <c r="P974" s="337"/>
      <c r="Q974" s="337"/>
      <c r="R974" s="337"/>
      <c r="S974" s="337"/>
      <c r="T974" s="337"/>
      <c r="U974" s="497"/>
      <c r="V974" s="497"/>
      <c r="W974" s="497"/>
      <c r="X974" s="497"/>
      <c r="Y974" s="497"/>
      <c r="Z974" s="497"/>
      <c r="AA974" s="497"/>
      <c r="AB974" s="497"/>
      <c r="AC974" s="497"/>
      <c r="AD974" s="497"/>
      <c r="AE974" s="497"/>
      <c r="AF974" s="497"/>
      <c r="AG974" s="497"/>
      <c r="AH974" s="497"/>
      <c r="AI974" s="497"/>
      <c r="AJ974" s="497"/>
      <c r="AK974" s="497"/>
      <c r="AL974" s="497"/>
      <c r="AM974" s="497"/>
      <c r="AN974" s="497"/>
      <c r="AO974" s="497"/>
      <c r="AP974" s="497"/>
      <c r="AQ974" s="497"/>
      <c r="AR974" s="497"/>
      <c r="AS974" s="497"/>
      <c r="AT974" s="497"/>
      <c r="AU974" s="497"/>
      <c r="AV974" s="497"/>
      <c r="AW974" s="497"/>
      <c r="AX974" s="497"/>
      <c r="AY974" s="497"/>
      <c r="AZ974" s="497"/>
      <c r="BA974" s="497"/>
      <c r="BB974" s="497"/>
      <c r="BC974" s="497"/>
      <c r="BD974" s="497"/>
      <c r="BE974" s="497"/>
      <c r="BF974" s="497"/>
      <c r="BG974" s="497"/>
      <c r="BH974" s="497"/>
      <c r="BI974" s="497"/>
      <c r="BJ974" s="497"/>
      <c r="BK974" s="497"/>
      <c r="BL974" s="497"/>
      <c r="BM974" s="497"/>
      <c r="BN974" s="497"/>
      <c r="BO974" s="497"/>
      <c r="BP974" s="497"/>
      <c r="BQ974" s="497"/>
      <c r="BR974" s="497"/>
      <c r="BS974" s="497"/>
      <c r="BT974" s="497"/>
      <c r="BU974" s="497"/>
      <c r="BV974" s="497"/>
      <c r="BW974" s="497"/>
      <c r="BX974" s="497"/>
      <c r="BY974" s="497"/>
      <c r="BZ974" s="497"/>
      <c r="CA974" s="497"/>
      <c r="CB974" s="497"/>
      <c r="CC974" s="497"/>
      <c r="CD974" s="497"/>
      <c r="CE974" s="497"/>
      <c r="CF974" s="497"/>
      <c r="CG974" s="497"/>
      <c r="CH974" s="497"/>
    </row>
    <row r="975" spans="1:86" s="335" customFormat="1">
      <c r="A975" s="517"/>
      <c r="B975" s="517"/>
      <c r="C975" s="517"/>
      <c r="D975" s="517"/>
      <c r="E975" s="517"/>
      <c r="F975" s="517"/>
      <c r="G975" s="517"/>
      <c r="H975" s="639"/>
      <c r="I975" s="639"/>
      <c r="J975" s="336"/>
      <c r="K975" s="2056"/>
      <c r="L975" s="337"/>
      <c r="N975" s="2057"/>
      <c r="O975" s="337"/>
      <c r="P975" s="337"/>
      <c r="Q975" s="337"/>
      <c r="R975" s="337"/>
      <c r="S975" s="337"/>
      <c r="T975" s="337"/>
      <c r="U975" s="497"/>
      <c r="V975" s="497"/>
      <c r="W975" s="497"/>
      <c r="X975" s="497"/>
      <c r="Y975" s="497"/>
      <c r="Z975" s="497"/>
      <c r="AA975" s="497"/>
      <c r="AB975" s="497"/>
      <c r="AC975" s="497"/>
      <c r="AD975" s="497"/>
      <c r="AE975" s="497"/>
      <c r="AF975" s="497"/>
      <c r="AG975" s="497"/>
      <c r="AH975" s="497"/>
      <c r="AI975" s="497"/>
      <c r="AJ975" s="497"/>
      <c r="AK975" s="497"/>
      <c r="AL975" s="497"/>
      <c r="AM975" s="497"/>
      <c r="AN975" s="497"/>
      <c r="AO975" s="497"/>
      <c r="AP975" s="497"/>
      <c r="AQ975" s="497"/>
      <c r="AR975" s="497"/>
      <c r="AS975" s="497"/>
      <c r="AT975" s="497"/>
      <c r="AU975" s="497"/>
      <c r="AV975" s="497"/>
      <c r="AW975" s="497"/>
      <c r="AX975" s="497"/>
      <c r="AY975" s="497"/>
      <c r="AZ975" s="497"/>
      <c r="BA975" s="497"/>
      <c r="BB975" s="497"/>
      <c r="BC975" s="497"/>
      <c r="BD975" s="497"/>
      <c r="BE975" s="497"/>
      <c r="BF975" s="497"/>
      <c r="BG975" s="497"/>
      <c r="BH975" s="497"/>
      <c r="BI975" s="497"/>
      <c r="BJ975" s="497"/>
      <c r="BK975" s="497"/>
      <c r="BL975" s="497"/>
      <c r="BM975" s="497"/>
      <c r="BN975" s="497"/>
      <c r="BO975" s="497"/>
      <c r="BP975" s="497"/>
      <c r="BQ975" s="497"/>
      <c r="BR975" s="497"/>
      <c r="BS975" s="497"/>
      <c r="BT975" s="497"/>
      <c r="BU975" s="497"/>
      <c r="BV975" s="497"/>
      <c r="BW975" s="497"/>
      <c r="BX975" s="497"/>
      <c r="BY975" s="497"/>
      <c r="BZ975" s="497"/>
      <c r="CA975" s="497"/>
      <c r="CB975" s="497"/>
      <c r="CC975" s="497"/>
      <c r="CD975" s="497"/>
      <c r="CE975" s="497"/>
      <c r="CF975" s="497"/>
      <c r="CG975" s="497"/>
      <c r="CH975" s="497"/>
    </row>
    <row r="976" spans="1:86" s="335" customFormat="1">
      <c r="A976" s="517"/>
      <c r="B976" s="517"/>
      <c r="C976" s="517"/>
      <c r="D976" s="517"/>
      <c r="E976" s="517"/>
      <c r="F976" s="517"/>
      <c r="G976" s="517"/>
      <c r="H976" s="639"/>
      <c r="I976" s="639"/>
      <c r="J976" s="336"/>
      <c r="K976" s="2056"/>
      <c r="L976" s="337"/>
      <c r="N976" s="2057"/>
      <c r="O976" s="337"/>
      <c r="P976" s="337"/>
      <c r="Q976" s="337"/>
      <c r="R976" s="337"/>
      <c r="S976" s="337"/>
      <c r="T976" s="337"/>
      <c r="U976" s="497"/>
      <c r="V976" s="497"/>
      <c r="W976" s="497"/>
      <c r="X976" s="497"/>
      <c r="Y976" s="497"/>
      <c r="Z976" s="497"/>
      <c r="AA976" s="497"/>
      <c r="AB976" s="497"/>
      <c r="AC976" s="497"/>
      <c r="AD976" s="497"/>
      <c r="AE976" s="497"/>
      <c r="AF976" s="497"/>
      <c r="AG976" s="497"/>
      <c r="AH976" s="497"/>
      <c r="AI976" s="497"/>
      <c r="AJ976" s="497"/>
      <c r="AK976" s="497"/>
      <c r="AL976" s="497"/>
      <c r="AM976" s="497"/>
      <c r="AN976" s="497"/>
      <c r="AO976" s="497"/>
      <c r="AP976" s="497"/>
      <c r="AQ976" s="497"/>
      <c r="AR976" s="497"/>
      <c r="AS976" s="497"/>
      <c r="AT976" s="497"/>
      <c r="AU976" s="497"/>
      <c r="AV976" s="497"/>
      <c r="AW976" s="497"/>
      <c r="AX976" s="497"/>
      <c r="AY976" s="497"/>
      <c r="AZ976" s="497"/>
      <c r="BA976" s="497"/>
      <c r="BB976" s="497"/>
      <c r="BC976" s="497"/>
      <c r="BD976" s="497"/>
      <c r="BE976" s="497"/>
      <c r="BF976" s="497"/>
      <c r="BG976" s="497"/>
      <c r="BH976" s="497"/>
      <c r="BI976" s="497"/>
      <c r="BJ976" s="497"/>
      <c r="BK976" s="497"/>
      <c r="BL976" s="497"/>
      <c r="BM976" s="497"/>
      <c r="BN976" s="497"/>
      <c r="BO976" s="497"/>
      <c r="BP976" s="497"/>
      <c r="BQ976" s="497"/>
      <c r="BR976" s="497"/>
      <c r="BS976" s="497"/>
      <c r="BT976" s="497"/>
      <c r="BU976" s="497"/>
      <c r="BV976" s="497"/>
      <c r="BW976" s="497"/>
      <c r="BX976" s="497"/>
      <c r="BY976" s="497"/>
      <c r="BZ976" s="497"/>
      <c r="CA976" s="497"/>
      <c r="CB976" s="497"/>
      <c r="CC976" s="497"/>
      <c r="CD976" s="497"/>
      <c r="CE976" s="497"/>
      <c r="CF976" s="497"/>
      <c r="CG976" s="497"/>
      <c r="CH976" s="497"/>
    </row>
    <row r="977" spans="1:86" s="335" customFormat="1">
      <c r="A977" s="517"/>
      <c r="B977" s="517"/>
      <c r="C977" s="517"/>
      <c r="D977" s="517"/>
      <c r="E977" s="517"/>
      <c r="F977" s="517"/>
      <c r="G977" s="517"/>
      <c r="H977" s="639"/>
      <c r="I977" s="639"/>
      <c r="J977" s="336"/>
      <c r="K977" s="2056"/>
      <c r="L977" s="337"/>
      <c r="N977" s="2057"/>
      <c r="O977" s="337"/>
      <c r="P977" s="337"/>
      <c r="Q977" s="337"/>
      <c r="R977" s="337"/>
      <c r="S977" s="337"/>
      <c r="T977" s="337"/>
      <c r="U977" s="497"/>
      <c r="V977" s="497"/>
      <c r="W977" s="497"/>
      <c r="X977" s="497"/>
      <c r="Y977" s="497"/>
      <c r="Z977" s="497"/>
      <c r="AA977" s="497"/>
      <c r="AB977" s="497"/>
      <c r="AC977" s="497"/>
      <c r="AD977" s="497"/>
      <c r="AE977" s="497"/>
      <c r="AF977" s="497"/>
      <c r="AG977" s="497"/>
      <c r="AH977" s="497"/>
      <c r="AI977" s="497"/>
      <c r="AJ977" s="497"/>
      <c r="AK977" s="497"/>
      <c r="AL977" s="497"/>
      <c r="AM977" s="497"/>
      <c r="AN977" s="497"/>
      <c r="AO977" s="497"/>
      <c r="AP977" s="497"/>
      <c r="AQ977" s="497"/>
      <c r="AR977" s="497"/>
      <c r="AS977" s="497"/>
      <c r="AT977" s="497"/>
      <c r="AU977" s="497"/>
      <c r="AV977" s="497"/>
      <c r="AW977" s="497"/>
      <c r="AX977" s="497"/>
      <c r="AY977" s="497"/>
      <c r="AZ977" s="497"/>
      <c r="BA977" s="497"/>
      <c r="BB977" s="497"/>
      <c r="BC977" s="497"/>
      <c r="BD977" s="497"/>
      <c r="BE977" s="497"/>
      <c r="BF977" s="497"/>
      <c r="BG977" s="497"/>
      <c r="BH977" s="497"/>
      <c r="BI977" s="497"/>
      <c r="BJ977" s="497"/>
      <c r="BK977" s="497"/>
      <c r="BL977" s="497"/>
      <c r="BM977" s="497"/>
      <c r="BN977" s="497"/>
      <c r="BO977" s="497"/>
      <c r="BP977" s="497"/>
      <c r="BQ977" s="497"/>
      <c r="BR977" s="497"/>
      <c r="BS977" s="497"/>
      <c r="BT977" s="497"/>
      <c r="BU977" s="497"/>
      <c r="BV977" s="497"/>
      <c r="BW977" s="497"/>
      <c r="BX977" s="497"/>
      <c r="BY977" s="497"/>
      <c r="BZ977" s="497"/>
      <c r="CA977" s="497"/>
      <c r="CB977" s="497"/>
      <c r="CC977" s="497"/>
      <c r="CD977" s="497"/>
      <c r="CE977" s="497"/>
      <c r="CF977" s="497"/>
      <c r="CG977" s="497"/>
      <c r="CH977" s="497"/>
    </row>
    <row r="978" spans="1:86" s="335" customFormat="1">
      <c r="A978" s="517"/>
      <c r="B978" s="517"/>
      <c r="C978" s="517"/>
      <c r="D978" s="517"/>
      <c r="E978" s="517"/>
      <c r="F978" s="517"/>
      <c r="G978" s="517"/>
      <c r="H978" s="639"/>
      <c r="I978" s="639"/>
      <c r="J978" s="336"/>
      <c r="K978" s="2056"/>
      <c r="L978" s="337"/>
      <c r="N978" s="2057"/>
      <c r="O978" s="337"/>
      <c r="P978" s="337"/>
      <c r="Q978" s="337"/>
      <c r="R978" s="337"/>
      <c r="S978" s="337"/>
      <c r="T978" s="337"/>
      <c r="U978" s="497"/>
      <c r="V978" s="497"/>
      <c r="W978" s="497"/>
      <c r="X978" s="497"/>
      <c r="Y978" s="497"/>
      <c r="Z978" s="497"/>
      <c r="AA978" s="497"/>
      <c r="AB978" s="497"/>
      <c r="AC978" s="497"/>
      <c r="AD978" s="497"/>
      <c r="AE978" s="497"/>
      <c r="AF978" s="497"/>
      <c r="AG978" s="497"/>
      <c r="AH978" s="497"/>
      <c r="AI978" s="497"/>
      <c r="AJ978" s="497"/>
      <c r="AK978" s="497"/>
      <c r="AL978" s="497"/>
      <c r="AM978" s="497"/>
      <c r="AN978" s="497"/>
      <c r="AO978" s="497"/>
      <c r="AP978" s="497"/>
      <c r="AQ978" s="497"/>
      <c r="AR978" s="497"/>
      <c r="AS978" s="497"/>
      <c r="AT978" s="497"/>
      <c r="AU978" s="497"/>
      <c r="AV978" s="497"/>
      <c r="AW978" s="497"/>
      <c r="AX978" s="497"/>
      <c r="AY978" s="497"/>
      <c r="AZ978" s="497"/>
      <c r="BA978" s="497"/>
      <c r="BB978" s="497"/>
      <c r="BC978" s="497"/>
      <c r="BD978" s="497"/>
      <c r="BE978" s="497"/>
      <c r="BF978" s="497"/>
      <c r="BG978" s="497"/>
      <c r="BH978" s="497"/>
      <c r="BI978" s="497"/>
      <c r="BJ978" s="497"/>
      <c r="BK978" s="497"/>
      <c r="BL978" s="497"/>
      <c r="BM978" s="497"/>
      <c r="BN978" s="497"/>
      <c r="BO978" s="497"/>
      <c r="BP978" s="497"/>
      <c r="BQ978" s="497"/>
      <c r="BR978" s="497"/>
      <c r="BS978" s="497"/>
      <c r="BT978" s="497"/>
      <c r="BU978" s="497"/>
      <c r="BV978" s="497"/>
      <c r="BW978" s="497"/>
      <c r="BX978" s="497"/>
      <c r="BY978" s="497"/>
      <c r="BZ978" s="497"/>
      <c r="CA978" s="497"/>
      <c r="CB978" s="497"/>
      <c r="CC978" s="497"/>
      <c r="CD978" s="497"/>
      <c r="CE978" s="497"/>
      <c r="CF978" s="497"/>
      <c r="CG978" s="497"/>
      <c r="CH978" s="497"/>
    </row>
    <row r="979" spans="1:86" s="335" customFormat="1">
      <c r="A979" s="517"/>
      <c r="B979" s="517"/>
      <c r="C979" s="517"/>
      <c r="D979" s="517"/>
      <c r="E979" s="517"/>
      <c r="F979" s="517"/>
      <c r="G979" s="517"/>
      <c r="H979" s="639"/>
      <c r="I979" s="639"/>
      <c r="J979" s="336"/>
      <c r="K979" s="2056"/>
      <c r="L979" s="337"/>
      <c r="N979" s="2057"/>
      <c r="O979" s="337"/>
      <c r="P979" s="337"/>
      <c r="Q979" s="337"/>
      <c r="R979" s="337"/>
      <c r="S979" s="337"/>
      <c r="T979" s="337"/>
      <c r="U979" s="497"/>
      <c r="V979" s="497"/>
      <c r="W979" s="497"/>
      <c r="X979" s="497"/>
      <c r="Y979" s="497"/>
      <c r="Z979" s="497"/>
      <c r="AA979" s="497"/>
      <c r="AB979" s="497"/>
      <c r="AC979" s="497"/>
      <c r="AD979" s="497"/>
      <c r="AE979" s="497"/>
      <c r="AF979" s="497"/>
      <c r="AG979" s="497"/>
      <c r="AH979" s="497"/>
      <c r="AI979" s="497"/>
      <c r="AJ979" s="497"/>
      <c r="AK979" s="497"/>
      <c r="AL979" s="497"/>
      <c r="AM979" s="497"/>
      <c r="AN979" s="497"/>
      <c r="AO979" s="497"/>
      <c r="AP979" s="497"/>
      <c r="AQ979" s="497"/>
      <c r="AR979" s="497"/>
      <c r="AS979" s="497"/>
      <c r="AT979" s="497"/>
      <c r="AU979" s="497"/>
      <c r="AV979" s="497"/>
      <c r="AW979" s="497"/>
      <c r="AX979" s="497"/>
      <c r="AY979" s="497"/>
      <c r="AZ979" s="497"/>
      <c r="BA979" s="497"/>
      <c r="BB979" s="497"/>
      <c r="BC979" s="497"/>
      <c r="BD979" s="497"/>
      <c r="BE979" s="497"/>
      <c r="BF979" s="497"/>
      <c r="BG979" s="497"/>
      <c r="BH979" s="497"/>
      <c r="BI979" s="497"/>
      <c r="BJ979" s="497"/>
      <c r="BK979" s="497"/>
      <c r="BL979" s="497"/>
      <c r="BM979" s="497"/>
      <c r="BN979" s="497"/>
      <c r="BO979" s="497"/>
      <c r="BP979" s="497"/>
      <c r="BQ979" s="497"/>
      <c r="BR979" s="497"/>
      <c r="BS979" s="497"/>
      <c r="BT979" s="497"/>
      <c r="BU979" s="497"/>
      <c r="BV979" s="497"/>
      <c r="BW979" s="497"/>
      <c r="BX979" s="497"/>
      <c r="BY979" s="497"/>
      <c r="BZ979" s="497"/>
      <c r="CA979" s="497"/>
      <c r="CB979" s="497"/>
      <c r="CC979" s="497"/>
      <c r="CD979" s="497"/>
      <c r="CE979" s="497"/>
      <c r="CF979" s="497"/>
      <c r="CG979" s="497"/>
      <c r="CH979" s="497"/>
    </row>
    <row r="980" spans="1:86" s="335" customFormat="1">
      <c r="A980" s="517"/>
      <c r="B980" s="517"/>
      <c r="C980" s="517"/>
      <c r="D980" s="517"/>
      <c r="E980" s="517"/>
      <c r="F980" s="517"/>
      <c r="G980" s="517"/>
      <c r="H980" s="639"/>
      <c r="I980" s="639"/>
      <c r="J980" s="336"/>
      <c r="K980" s="2056"/>
      <c r="L980" s="337"/>
      <c r="N980" s="2057"/>
      <c r="O980" s="337"/>
      <c r="P980" s="337"/>
      <c r="Q980" s="337"/>
      <c r="R980" s="337"/>
      <c r="S980" s="337"/>
      <c r="T980" s="337"/>
      <c r="U980" s="497"/>
      <c r="V980" s="497"/>
      <c r="W980" s="497"/>
      <c r="X980" s="497"/>
      <c r="Y980" s="497"/>
      <c r="Z980" s="497"/>
      <c r="AA980" s="497"/>
      <c r="AB980" s="497"/>
      <c r="AC980" s="497"/>
      <c r="AD980" s="497"/>
      <c r="AE980" s="497"/>
      <c r="AF980" s="497"/>
      <c r="AG980" s="497"/>
      <c r="AH980" s="497"/>
      <c r="AI980" s="497"/>
      <c r="AJ980" s="497"/>
      <c r="AK980" s="497"/>
      <c r="AL980" s="497"/>
      <c r="AM980" s="497"/>
      <c r="AN980" s="497"/>
      <c r="AO980" s="497"/>
      <c r="AP980" s="497"/>
      <c r="AQ980" s="497"/>
      <c r="AR980" s="497"/>
      <c r="AS980" s="497"/>
      <c r="AT980" s="497"/>
      <c r="AU980" s="497"/>
      <c r="AV980" s="497"/>
      <c r="AW980" s="497"/>
      <c r="AX980" s="497"/>
      <c r="AY980" s="497"/>
      <c r="AZ980" s="497"/>
      <c r="BA980" s="497"/>
      <c r="BB980" s="497"/>
      <c r="BC980" s="497"/>
      <c r="BD980" s="497"/>
      <c r="BE980" s="497"/>
      <c r="BF980" s="497"/>
      <c r="BG980" s="497"/>
      <c r="BH980" s="497"/>
      <c r="BI980" s="497"/>
      <c r="BJ980" s="497"/>
      <c r="BK980" s="497"/>
      <c r="BL980" s="497"/>
      <c r="BM980" s="497"/>
      <c r="BN980" s="497"/>
      <c r="BO980" s="497"/>
      <c r="BP980" s="497"/>
      <c r="BQ980" s="497"/>
      <c r="BR980" s="497"/>
      <c r="BS980" s="497"/>
      <c r="BT980" s="497"/>
      <c r="BU980" s="497"/>
      <c r="BV980" s="497"/>
      <c r="BW980" s="497"/>
      <c r="BX980" s="497"/>
      <c r="BY980" s="497"/>
      <c r="BZ980" s="497"/>
      <c r="CA980" s="497"/>
      <c r="CB980" s="497"/>
      <c r="CC980" s="497"/>
      <c r="CD980" s="497"/>
      <c r="CE980" s="497"/>
      <c r="CF980" s="497"/>
      <c r="CG980" s="497"/>
      <c r="CH980" s="497"/>
    </row>
    <row r="981" spans="1:86" s="335" customFormat="1">
      <c r="A981" s="517"/>
      <c r="B981" s="517"/>
      <c r="C981" s="517"/>
      <c r="D981" s="517"/>
      <c r="E981" s="517"/>
      <c r="F981" s="517"/>
      <c r="G981" s="517"/>
      <c r="H981" s="639"/>
      <c r="I981" s="639"/>
      <c r="J981" s="336"/>
      <c r="K981" s="2056"/>
      <c r="L981" s="337"/>
      <c r="N981" s="2057"/>
      <c r="O981" s="337"/>
      <c r="P981" s="337"/>
      <c r="Q981" s="337"/>
      <c r="R981" s="337"/>
      <c r="S981" s="337"/>
      <c r="T981" s="337"/>
      <c r="U981" s="497"/>
      <c r="V981" s="497"/>
      <c r="W981" s="497"/>
      <c r="X981" s="497"/>
      <c r="Y981" s="497"/>
      <c r="Z981" s="497"/>
      <c r="AA981" s="497"/>
      <c r="AB981" s="497"/>
      <c r="AC981" s="497"/>
      <c r="AD981" s="497"/>
      <c r="AE981" s="497"/>
      <c r="AF981" s="497"/>
      <c r="AG981" s="497"/>
      <c r="AH981" s="497"/>
      <c r="AI981" s="497"/>
      <c r="AJ981" s="497"/>
      <c r="AK981" s="497"/>
      <c r="AL981" s="497"/>
      <c r="AM981" s="497"/>
      <c r="AN981" s="497"/>
      <c r="AO981" s="497"/>
      <c r="AP981" s="497"/>
      <c r="AQ981" s="497"/>
      <c r="AR981" s="497"/>
      <c r="AS981" s="497"/>
      <c r="AT981" s="497"/>
      <c r="AU981" s="497"/>
      <c r="AV981" s="497"/>
      <c r="AW981" s="497"/>
      <c r="AX981" s="497"/>
      <c r="AY981" s="497"/>
      <c r="AZ981" s="497"/>
      <c r="BA981" s="497"/>
      <c r="BB981" s="497"/>
      <c r="BC981" s="497"/>
      <c r="BD981" s="497"/>
      <c r="BE981" s="497"/>
      <c r="BF981" s="497"/>
      <c r="BG981" s="497"/>
      <c r="BH981" s="497"/>
      <c r="BI981" s="497"/>
      <c r="BJ981" s="497"/>
      <c r="BK981" s="497"/>
      <c r="BL981" s="497"/>
      <c r="BM981" s="497"/>
      <c r="BN981" s="497"/>
      <c r="BO981" s="497"/>
      <c r="BP981" s="497"/>
      <c r="BQ981" s="497"/>
      <c r="BR981" s="497"/>
      <c r="BS981" s="497"/>
      <c r="BT981" s="497"/>
      <c r="BU981" s="497"/>
      <c r="BV981" s="497"/>
      <c r="BW981" s="497"/>
      <c r="BX981" s="497"/>
      <c r="BY981" s="497"/>
      <c r="BZ981" s="497"/>
      <c r="CA981" s="497"/>
      <c r="CB981" s="497"/>
      <c r="CC981" s="497"/>
      <c r="CD981" s="497"/>
      <c r="CE981" s="497"/>
      <c r="CF981" s="497"/>
      <c r="CG981" s="497"/>
      <c r="CH981" s="497"/>
    </row>
    <row r="982" spans="1:86" s="335" customFormat="1">
      <c r="A982" s="517"/>
      <c r="B982" s="517"/>
      <c r="C982" s="517"/>
      <c r="D982" s="517"/>
      <c r="E982" s="517"/>
      <c r="F982" s="517"/>
      <c r="G982" s="517"/>
      <c r="H982" s="639"/>
      <c r="I982" s="639"/>
      <c r="J982" s="336"/>
      <c r="K982" s="2056"/>
      <c r="L982" s="337"/>
      <c r="N982" s="2057"/>
      <c r="O982" s="337"/>
      <c r="P982" s="337"/>
      <c r="Q982" s="337"/>
      <c r="R982" s="337"/>
      <c r="S982" s="337"/>
      <c r="T982" s="337"/>
      <c r="U982" s="497"/>
      <c r="V982" s="497"/>
      <c r="W982" s="497"/>
      <c r="X982" s="497"/>
      <c r="Y982" s="497"/>
      <c r="Z982" s="497"/>
      <c r="AA982" s="497"/>
      <c r="AB982" s="497"/>
      <c r="AC982" s="497"/>
      <c r="AD982" s="497"/>
      <c r="AE982" s="497"/>
      <c r="AF982" s="497"/>
      <c r="AG982" s="497"/>
      <c r="AH982" s="497"/>
      <c r="AI982" s="497"/>
      <c r="AJ982" s="497"/>
      <c r="AK982" s="497"/>
      <c r="AL982" s="497"/>
      <c r="AM982" s="497"/>
      <c r="AN982" s="497"/>
      <c r="AO982" s="497"/>
      <c r="AP982" s="497"/>
      <c r="AQ982" s="497"/>
      <c r="AR982" s="497"/>
      <c r="AS982" s="497"/>
      <c r="AT982" s="497"/>
      <c r="AU982" s="497"/>
      <c r="AV982" s="497"/>
      <c r="AW982" s="497"/>
      <c r="AX982" s="497"/>
      <c r="AY982" s="497"/>
      <c r="AZ982" s="497"/>
      <c r="BA982" s="497"/>
      <c r="BB982" s="497"/>
      <c r="BC982" s="497"/>
      <c r="BD982" s="497"/>
      <c r="BE982" s="497"/>
      <c r="BF982" s="497"/>
      <c r="BG982" s="497"/>
      <c r="BH982" s="497"/>
      <c r="BI982" s="497"/>
      <c r="BJ982" s="497"/>
      <c r="BK982" s="497"/>
      <c r="BL982" s="497"/>
      <c r="BM982" s="497"/>
      <c r="BN982" s="497"/>
      <c r="BO982" s="497"/>
      <c r="BP982" s="497"/>
      <c r="BQ982" s="497"/>
      <c r="BR982" s="497"/>
      <c r="BS982" s="497"/>
      <c r="BT982" s="497"/>
      <c r="BU982" s="497"/>
      <c r="BV982" s="497"/>
      <c r="BW982" s="497"/>
      <c r="BX982" s="497"/>
      <c r="BY982" s="497"/>
      <c r="BZ982" s="497"/>
      <c r="CA982" s="497"/>
      <c r="CB982" s="497"/>
      <c r="CC982" s="497"/>
      <c r="CD982" s="497"/>
      <c r="CE982" s="497"/>
      <c r="CF982" s="497"/>
      <c r="CG982" s="497"/>
      <c r="CH982" s="497"/>
    </row>
    <row r="983" spans="1:86" s="335" customFormat="1">
      <c r="A983" s="517"/>
      <c r="B983" s="517"/>
      <c r="C983" s="517"/>
      <c r="D983" s="517"/>
      <c r="E983" s="517"/>
      <c r="F983" s="517"/>
      <c r="G983" s="517"/>
      <c r="H983" s="639"/>
      <c r="I983" s="639"/>
      <c r="J983" s="336"/>
      <c r="K983" s="2056"/>
      <c r="L983" s="337"/>
      <c r="N983" s="2057"/>
      <c r="O983" s="337"/>
      <c r="P983" s="337"/>
      <c r="Q983" s="337"/>
      <c r="R983" s="337"/>
      <c r="S983" s="337"/>
      <c r="T983" s="337"/>
      <c r="U983" s="497"/>
      <c r="V983" s="497"/>
      <c r="W983" s="497"/>
      <c r="X983" s="497"/>
      <c r="Y983" s="497"/>
      <c r="Z983" s="497"/>
      <c r="AA983" s="497"/>
      <c r="AB983" s="497"/>
      <c r="AC983" s="497"/>
      <c r="AD983" s="497"/>
      <c r="AE983" s="497"/>
      <c r="AF983" s="497"/>
      <c r="AG983" s="497"/>
      <c r="AH983" s="497"/>
      <c r="AI983" s="497"/>
      <c r="AJ983" s="497"/>
      <c r="AK983" s="497"/>
      <c r="AL983" s="497"/>
      <c r="AM983" s="497"/>
      <c r="AN983" s="497"/>
      <c r="AO983" s="497"/>
      <c r="AP983" s="497"/>
      <c r="AQ983" s="497"/>
      <c r="AR983" s="497"/>
      <c r="AS983" s="497"/>
      <c r="AT983" s="497"/>
      <c r="AU983" s="497"/>
      <c r="AV983" s="497"/>
      <c r="AW983" s="497"/>
      <c r="AX983" s="497"/>
      <c r="AY983" s="497"/>
      <c r="AZ983" s="497"/>
      <c r="BA983" s="497"/>
      <c r="BB983" s="497"/>
      <c r="BC983" s="497"/>
      <c r="BD983" s="497"/>
      <c r="BE983" s="497"/>
      <c r="BF983" s="497"/>
      <c r="BG983" s="497"/>
      <c r="BH983" s="497"/>
      <c r="BI983" s="497"/>
      <c r="BJ983" s="497"/>
      <c r="BK983" s="497"/>
      <c r="BL983" s="497"/>
      <c r="BM983" s="497"/>
      <c r="BN983" s="497"/>
      <c r="BO983" s="497"/>
      <c r="BP983" s="497"/>
      <c r="BQ983" s="497"/>
      <c r="BR983" s="497"/>
      <c r="BS983" s="497"/>
      <c r="BT983" s="497"/>
      <c r="BU983" s="497"/>
      <c r="BV983" s="497"/>
      <c r="BW983" s="497"/>
      <c r="BX983" s="497"/>
      <c r="BY983" s="497"/>
      <c r="BZ983" s="497"/>
      <c r="CA983" s="497"/>
      <c r="CB983" s="497"/>
      <c r="CC983" s="497"/>
      <c r="CD983" s="497"/>
      <c r="CE983" s="497"/>
      <c r="CF983" s="497"/>
      <c r="CG983" s="497"/>
      <c r="CH983" s="497"/>
    </row>
    <row r="984" spans="1:86" s="335" customFormat="1">
      <c r="A984" s="517"/>
      <c r="B984" s="517"/>
      <c r="C984" s="517"/>
      <c r="D984" s="517"/>
      <c r="E984" s="517"/>
      <c r="F984" s="517"/>
      <c r="G984" s="517"/>
      <c r="H984" s="639"/>
      <c r="I984" s="639"/>
      <c r="J984" s="336"/>
      <c r="K984" s="2056"/>
      <c r="L984" s="337"/>
      <c r="N984" s="2057"/>
      <c r="O984" s="337"/>
      <c r="P984" s="337"/>
      <c r="Q984" s="337"/>
      <c r="R984" s="337"/>
      <c r="S984" s="337"/>
      <c r="T984" s="337"/>
      <c r="U984" s="497"/>
      <c r="V984" s="497"/>
      <c r="W984" s="497"/>
      <c r="X984" s="497"/>
      <c r="Y984" s="497"/>
      <c r="Z984" s="497"/>
      <c r="AA984" s="497"/>
      <c r="AB984" s="497"/>
      <c r="AC984" s="497"/>
      <c r="AD984" s="497"/>
      <c r="AE984" s="497"/>
      <c r="AF984" s="497"/>
      <c r="AG984" s="497"/>
      <c r="AH984" s="497"/>
      <c r="AI984" s="497"/>
      <c r="AJ984" s="497"/>
      <c r="AK984" s="497"/>
      <c r="AL984" s="497"/>
      <c r="AM984" s="497"/>
      <c r="AN984" s="497"/>
      <c r="AO984" s="497"/>
      <c r="AP984" s="497"/>
      <c r="AQ984" s="497"/>
      <c r="AR984" s="497"/>
      <c r="AS984" s="497"/>
      <c r="AT984" s="497"/>
      <c r="AU984" s="497"/>
      <c r="AV984" s="497"/>
      <c r="AW984" s="497"/>
      <c r="AX984" s="497"/>
      <c r="AY984" s="497"/>
      <c r="AZ984" s="497"/>
      <c r="BA984" s="497"/>
      <c r="BB984" s="497"/>
      <c r="BC984" s="497"/>
      <c r="BD984" s="497"/>
      <c r="BE984" s="497"/>
      <c r="BF984" s="497"/>
      <c r="BG984" s="497"/>
      <c r="BH984" s="497"/>
      <c r="BI984" s="497"/>
      <c r="BJ984" s="497"/>
      <c r="BK984" s="497"/>
      <c r="BL984" s="497"/>
      <c r="BM984" s="497"/>
      <c r="BN984" s="497"/>
      <c r="BO984" s="497"/>
      <c r="BP984" s="497"/>
      <c r="BQ984" s="497"/>
      <c r="BR984" s="497"/>
      <c r="BS984" s="497"/>
      <c r="BT984" s="497"/>
      <c r="BU984" s="497"/>
      <c r="BV984" s="497"/>
      <c r="BW984" s="497"/>
      <c r="BX984" s="497"/>
      <c r="BY984" s="497"/>
      <c r="BZ984" s="497"/>
      <c r="CA984" s="497"/>
      <c r="CB984" s="497"/>
      <c r="CC984" s="497"/>
      <c r="CD984" s="497"/>
      <c r="CE984" s="497"/>
      <c r="CF984" s="497"/>
      <c r="CG984" s="497"/>
      <c r="CH984" s="497"/>
    </row>
    <row r="985" spans="1:86" s="335" customFormat="1">
      <c r="A985" s="517"/>
      <c r="B985" s="517"/>
      <c r="C985" s="517"/>
      <c r="D985" s="517"/>
      <c r="E985" s="517"/>
      <c r="F985" s="517"/>
      <c r="G985" s="517"/>
      <c r="H985" s="639"/>
      <c r="I985" s="639"/>
      <c r="J985" s="336"/>
      <c r="K985" s="2056"/>
      <c r="L985" s="337"/>
      <c r="N985" s="2057"/>
      <c r="O985" s="337"/>
      <c r="P985" s="337"/>
      <c r="Q985" s="337"/>
      <c r="R985" s="337"/>
      <c r="S985" s="337"/>
      <c r="T985" s="337"/>
      <c r="U985" s="497"/>
      <c r="V985" s="497"/>
      <c r="W985" s="497"/>
      <c r="X985" s="497"/>
      <c r="Y985" s="497"/>
      <c r="Z985" s="497"/>
      <c r="AA985" s="497"/>
      <c r="AB985" s="497"/>
      <c r="AC985" s="497"/>
      <c r="AD985" s="497"/>
      <c r="AE985" s="497"/>
      <c r="AF985" s="497"/>
      <c r="AG985" s="497"/>
      <c r="AH985" s="497"/>
      <c r="AI985" s="497"/>
      <c r="AJ985" s="497"/>
      <c r="AK985" s="497"/>
      <c r="AL985" s="497"/>
      <c r="AM985" s="497"/>
      <c r="AN985" s="497"/>
      <c r="AO985" s="497"/>
      <c r="AP985" s="497"/>
      <c r="AQ985" s="497"/>
      <c r="AR985" s="497"/>
      <c r="AS985" s="497"/>
      <c r="AT985" s="497"/>
      <c r="AU985" s="497"/>
      <c r="AV985" s="497"/>
      <c r="AW985" s="497"/>
      <c r="AX985" s="497"/>
      <c r="AY985" s="497"/>
      <c r="AZ985" s="497"/>
      <c r="BA985" s="497"/>
      <c r="BB985" s="497"/>
      <c r="BC985" s="497"/>
      <c r="BD985" s="497"/>
      <c r="BE985" s="497"/>
      <c r="BF985" s="497"/>
      <c r="BG985" s="497"/>
      <c r="BH985" s="497"/>
      <c r="BI985" s="497"/>
      <c r="BJ985" s="497"/>
      <c r="BK985" s="497"/>
      <c r="BL985" s="497"/>
      <c r="BM985" s="497"/>
      <c r="BN985" s="497"/>
      <c r="BO985" s="497"/>
      <c r="BP985" s="497"/>
      <c r="BQ985" s="497"/>
      <c r="BR985" s="497"/>
      <c r="BS985" s="497"/>
      <c r="BT985" s="497"/>
      <c r="BU985" s="497"/>
      <c r="BV985" s="497"/>
      <c r="BW985" s="497"/>
      <c r="BX985" s="497"/>
      <c r="BY985" s="497"/>
      <c r="BZ985" s="497"/>
      <c r="CA985" s="497"/>
      <c r="CB985" s="497"/>
      <c r="CC985" s="497"/>
      <c r="CD985" s="497"/>
      <c r="CE985" s="497"/>
      <c r="CF985" s="497"/>
      <c r="CG985" s="497"/>
      <c r="CH985" s="497"/>
    </row>
    <row r="986" spans="1:86" s="335" customFormat="1">
      <c r="A986" s="517"/>
      <c r="B986" s="517"/>
      <c r="C986" s="517"/>
      <c r="D986" s="517"/>
      <c r="E986" s="517"/>
      <c r="F986" s="517"/>
      <c r="G986" s="517"/>
      <c r="H986" s="639"/>
      <c r="I986" s="639"/>
      <c r="J986" s="336"/>
      <c r="K986" s="2056"/>
      <c r="L986" s="337"/>
      <c r="N986" s="2057"/>
      <c r="O986" s="337"/>
      <c r="P986" s="337"/>
      <c r="Q986" s="337"/>
      <c r="R986" s="337"/>
      <c r="S986" s="337"/>
      <c r="T986" s="337"/>
      <c r="U986" s="497"/>
      <c r="V986" s="497"/>
      <c r="W986" s="497"/>
      <c r="X986" s="497"/>
      <c r="Y986" s="497"/>
      <c r="Z986" s="497"/>
      <c r="AA986" s="497"/>
      <c r="AB986" s="497"/>
      <c r="AC986" s="497"/>
      <c r="AD986" s="497"/>
      <c r="AE986" s="497"/>
      <c r="AF986" s="497"/>
      <c r="AG986" s="497"/>
      <c r="AH986" s="497"/>
      <c r="AI986" s="497"/>
      <c r="AJ986" s="497"/>
      <c r="AK986" s="497"/>
      <c r="AL986" s="497"/>
      <c r="AM986" s="497"/>
      <c r="AN986" s="497"/>
      <c r="AO986" s="497"/>
      <c r="AP986" s="497"/>
      <c r="AQ986" s="497"/>
      <c r="AR986" s="497"/>
      <c r="AS986" s="497"/>
      <c r="AT986" s="497"/>
      <c r="AU986" s="497"/>
      <c r="AV986" s="497"/>
      <c r="AW986" s="497"/>
      <c r="AX986" s="497"/>
      <c r="AY986" s="497"/>
      <c r="AZ986" s="497"/>
      <c r="BA986" s="497"/>
      <c r="BB986" s="497"/>
      <c r="BC986" s="497"/>
      <c r="BD986" s="497"/>
      <c r="BE986" s="497"/>
      <c r="BF986" s="497"/>
      <c r="BG986" s="497"/>
      <c r="BH986" s="497"/>
      <c r="BI986" s="497"/>
      <c r="BJ986" s="497"/>
      <c r="BK986" s="497"/>
      <c r="BL986" s="497"/>
      <c r="BM986" s="497"/>
      <c r="BN986" s="497"/>
      <c r="BO986" s="497"/>
      <c r="BP986" s="497"/>
      <c r="BQ986" s="497"/>
      <c r="BR986" s="497"/>
      <c r="BS986" s="497"/>
      <c r="BT986" s="497"/>
      <c r="BU986" s="497"/>
      <c r="BV986" s="497"/>
      <c r="BW986" s="497"/>
      <c r="BX986" s="497"/>
      <c r="BY986" s="497"/>
      <c r="BZ986" s="497"/>
      <c r="CA986" s="497"/>
      <c r="CB986" s="497"/>
      <c r="CC986" s="497"/>
      <c r="CD986" s="497"/>
      <c r="CE986" s="497"/>
      <c r="CF986" s="497"/>
      <c r="CG986" s="497"/>
      <c r="CH986" s="497"/>
    </row>
    <row r="987" spans="1:86" s="335" customFormat="1">
      <c r="A987" s="517"/>
      <c r="B987" s="517"/>
      <c r="C987" s="517"/>
      <c r="D987" s="517"/>
      <c r="E987" s="517"/>
      <c r="F987" s="517"/>
      <c r="G987" s="517"/>
      <c r="H987" s="639"/>
      <c r="I987" s="639"/>
      <c r="J987" s="336"/>
      <c r="K987" s="2056"/>
      <c r="L987" s="337"/>
      <c r="N987" s="2057"/>
      <c r="O987" s="337"/>
      <c r="P987" s="337"/>
      <c r="Q987" s="337"/>
      <c r="R987" s="337"/>
      <c r="S987" s="337"/>
      <c r="T987" s="337"/>
      <c r="U987" s="497"/>
      <c r="V987" s="497"/>
      <c r="W987" s="497"/>
      <c r="X987" s="497"/>
      <c r="Y987" s="497"/>
      <c r="Z987" s="497"/>
      <c r="AA987" s="497"/>
      <c r="AB987" s="497"/>
      <c r="AC987" s="497"/>
      <c r="AD987" s="497"/>
      <c r="AE987" s="497"/>
      <c r="AF987" s="497"/>
      <c r="AG987" s="497"/>
      <c r="AH987" s="497"/>
      <c r="AI987" s="497"/>
      <c r="AJ987" s="497"/>
      <c r="AK987" s="497"/>
      <c r="AL987" s="497"/>
      <c r="AM987" s="497"/>
      <c r="AN987" s="497"/>
      <c r="AO987" s="497"/>
      <c r="AP987" s="497"/>
      <c r="AQ987" s="497"/>
      <c r="AR987" s="497"/>
      <c r="AS987" s="497"/>
      <c r="AT987" s="497"/>
      <c r="AU987" s="497"/>
      <c r="AV987" s="497"/>
      <c r="AW987" s="497"/>
      <c r="AX987" s="497"/>
      <c r="AY987" s="497"/>
      <c r="AZ987" s="497"/>
      <c r="BA987" s="497"/>
      <c r="BB987" s="497"/>
      <c r="BC987" s="497"/>
      <c r="BD987" s="497"/>
      <c r="BE987" s="497"/>
      <c r="BF987" s="497"/>
      <c r="BG987" s="497"/>
      <c r="BH987" s="497"/>
      <c r="BI987" s="497"/>
      <c r="BJ987" s="497"/>
      <c r="BK987" s="497"/>
      <c r="BL987" s="497"/>
      <c r="BM987" s="497"/>
      <c r="BN987" s="497"/>
      <c r="BO987" s="497"/>
      <c r="BP987" s="497"/>
      <c r="BQ987" s="497"/>
      <c r="BR987" s="497"/>
      <c r="BS987" s="497"/>
      <c r="BT987" s="497"/>
      <c r="BU987" s="497"/>
      <c r="BV987" s="497"/>
      <c r="BW987" s="497"/>
      <c r="BX987" s="497"/>
      <c r="BY987" s="497"/>
      <c r="BZ987" s="497"/>
      <c r="CA987" s="497"/>
      <c r="CB987" s="497"/>
      <c r="CC987" s="497"/>
      <c r="CD987" s="497"/>
      <c r="CE987" s="497"/>
      <c r="CF987" s="497"/>
      <c r="CG987" s="497"/>
      <c r="CH987" s="497"/>
    </row>
    <row r="988" spans="1:86" s="335" customFormat="1">
      <c r="A988" s="517"/>
      <c r="B988" s="517"/>
      <c r="C988" s="517"/>
      <c r="D988" s="517"/>
      <c r="E988" s="517"/>
      <c r="F988" s="517"/>
      <c r="G988" s="517"/>
      <c r="H988" s="639"/>
      <c r="I988" s="639"/>
      <c r="J988" s="336"/>
      <c r="K988" s="2056"/>
      <c r="L988" s="337"/>
      <c r="N988" s="2057"/>
      <c r="O988" s="337"/>
      <c r="P988" s="337"/>
      <c r="Q988" s="337"/>
      <c r="R988" s="337"/>
      <c r="S988" s="337"/>
      <c r="T988" s="337"/>
      <c r="U988" s="497"/>
      <c r="V988" s="497"/>
      <c r="W988" s="497"/>
      <c r="X988" s="497"/>
      <c r="Y988" s="497"/>
      <c r="Z988" s="497"/>
      <c r="AA988" s="497"/>
      <c r="AB988" s="497"/>
      <c r="AC988" s="497"/>
      <c r="AD988" s="497"/>
      <c r="AE988" s="497"/>
      <c r="AF988" s="497"/>
      <c r="AG988" s="497"/>
      <c r="AH988" s="497"/>
      <c r="AI988" s="497"/>
      <c r="AJ988" s="497"/>
      <c r="AK988" s="497"/>
      <c r="AL988" s="497"/>
      <c r="AM988" s="497"/>
      <c r="AN988" s="497"/>
      <c r="AO988" s="497"/>
      <c r="AP988" s="497"/>
      <c r="AQ988" s="497"/>
      <c r="AR988" s="497"/>
      <c r="AS988" s="497"/>
      <c r="AT988" s="497"/>
      <c r="AU988" s="497"/>
      <c r="AV988" s="497"/>
      <c r="AW988" s="497"/>
      <c r="AX988" s="497"/>
      <c r="AY988" s="497"/>
      <c r="AZ988" s="497"/>
      <c r="BA988" s="497"/>
      <c r="BB988" s="497"/>
      <c r="BC988" s="497"/>
      <c r="BD988" s="497"/>
      <c r="BE988" s="497"/>
      <c r="BF988" s="497"/>
      <c r="BG988" s="497"/>
      <c r="BH988" s="497"/>
      <c r="BI988" s="497"/>
      <c r="BJ988" s="497"/>
      <c r="BK988" s="497"/>
      <c r="BL988" s="497"/>
      <c r="BM988" s="497"/>
      <c r="BN988" s="497"/>
      <c r="BO988" s="497"/>
      <c r="BP988" s="497"/>
      <c r="BQ988" s="497"/>
      <c r="BR988" s="497"/>
      <c r="BS988" s="497"/>
      <c r="BT988" s="497"/>
      <c r="BU988" s="497"/>
      <c r="BV988" s="497"/>
      <c r="BW988" s="497"/>
      <c r="BX988" s="497"/>
      <c r="BY988" s="497"/>
      <c r="BZ988" s="497"/>
      <c r="CA988" s="497"/>
      <c r="CB988" s="497"/>
      <c r="CC988" s="497"/>
      <c r="CD988" s="497"/>
      <c r="CE988" s="497"/>
      <c r="CF988" s="497"/>
      <c r="CG988" s="497"/>
      <c r="CH988" s="497"/>
    </row>
    <row r="989" spans="1:86" s="335" customFormat="1">
      <c r="A989" s="517"/>
      <c r="B989" s="517"/>
      <c r="C989" s="517"/>
      <c r="D989" s="517"/>
      <c r="E989" s="517"/>
      <c r="F989" s="517"/>
      <c r="G989" s="517"/>
      <c r="H989" s="639"/>
      <c r="I989" s="639"/>
      <c r="J989" s="336"/>
      <c r="K989" s="2056"/>
      <c r="L989" s="337"/>
      <c r="N989" s="2057"/>
      <c r="O989" s="337"/>
      <c r="P989" s="337"/>
      <c r="Q989" s="337"/>
      <c r="R989" s="337"/>
      <c r="S989" s="337"/>
      <c r="T989" s="337"/>
      <c r="U989" s="497"/>
      <c r="V989" s="497"/>
      <c r="W989" s="497"/>
      <c r="X989" s="497"/>
      <c r="Y989" s="497"/>
      <c r="Z989" s="497"/>
      <c r="AA989" s="497"/>
      <c r="AB989" s="497"/>
      <c r="AC989" s="497"/>
      <c r="AD989" s="497"/>
      <c r="AE989" s="497"/>
      <c r="AF989" s="497"/>
      <c r="AG989" s="497"/>
      <c r="AH989" s="497"/>
      <c r="AI989" s="497"/>
      <c r="AJ989" s="497"/>
      <c r="AK989" s="497"/>
      <c r="AL989" s="497"/>
      <c r="AM989" s="497"/>
      <c r="AN989" s="497"/>
      <c r="AO989" s="497"/>
      <c r="AP989" s="497"/>
      <c r="AQ989" s="497"/>
      <c r="AR989" s="497"/>
      <c r="AS989" s="497"/>
      <c r="AT989" s="497"/>
      <c r="AU989" s="497"/>
      <c r="AV989" s="497"/>
      <c r="AW989" s="497"/>
      <c r="AX989" s="497"/>
      <c r="AY989" s="497"/>
      <c r="AZ989" s="497"/>
      <c r="BA989" s="497"/>
      <c r="BB989" s="497"/>
      <c r="BC989" s="497"/>
      <c r="BD989" s="497"/>
      <c r="BE989" s="497"/>
      <c r="BF989" s="497"/>
      <c r="BG989" s="497"/>
      <c r="BH989" s="497"/>
      <c r="BI989" s="497"/>
      <c r="BJ989" s="497"/>
      <c r="BK989" s="497"/>
      <c r="BL989" s="497"/>
      <c r="BM989" s="497"/>
      <c r="BN989" s="497"/>
      <c r="BO989" s="497"/>
      <c r="BP989" s="497"/>
      <c r="BQ989" s="497"/>
      <c r="BR989" s="497"/>
      <c r="BS989" s="497"/>
      <c r="BT989" s="497"/>
      <c r="BU989" s="497"/>
      <c r="BV989" s="497"/>
      <c r="BW989" s="497"/>
      <c r="BX989" s="497"/>
      <c r="BY989" s="497"/>
      <c r="BZ989" s="497"/>
      <c r="CA989" s="497"/>
      <c r="CB989" s="497"/>
      <c r="CC989" s="497"/>
      <c r="CD989" s="497"/>
      <c r="CE989" s="497"/>
      <c r="CF989" s="497"/>
      <c r="CG989" s="497"/>
      <c r="CH989" s="497"/>
    </row>
    <row r="990" spans="1:86" s="335" customFormat="1">
      <c r="A990" s="517"/>
      <c r="B990" s="517"/>
      <c r="C990" s="517"/>
      <c r="D990" s="517"/>
      <c r="E990" s="517"/>
      <c r="F990" s="517"/>
      <c r="G990" s="517"/>
      <c r="H990" s="639"/>
      <c r="I990" s="639"/>
      <c r="J990" s="336"/>
      <c r="K990" s="2056"/>
      <c r="L990" s="337"/>
      <c r="N990" s="2057"/>
      <c r="O990" s="337"/>
      <c r="P990" s="337"/>
      <c r="Q990" s="337"/>
      <c r="R990" s="337"/>
      <c r="S990" s="337"/>
      <c r="T990" s="337"/>
      <c r="U990" s="497"/>
      <c r="V990" s="497"/>
      <c r="W990" s="497"/>
      <c r="X990" s="497"/>
      <c r="Y990" s="497"/>
      <c r="Z990" s="497"/>
      <c r="AA990" s="497"/>
      <c r="AB990" s="497"/>
      <c r="AC990" s="497"/>
      <c r="AD990" s="497"/>
      <c r="AE990" s="497"/>
      <c r="AF990" s="497"/>
      <c r="AG990" s="497"/>
      <c r="AH990" s="497"/>
      <c r="AI990" s="497"/>
      <c r="AJ990" s="497"/>
      <c r="AK990" s="497"/>
      <c r="AL990" s="497"/>
      <c r="AM990" s="497"/>
      <c r="AN990" s="497"/>
      <c r="AO990" s="497"/>
      <c r="AP990" s="497"/>
      <c r="AQ990" s="497"/>
      <c r="AR990" s="497"/>
      <c r="AS990" s="497"/>
      <c r="AT990" s="497"/>
      <c r="AU990" s="497"/>
      <c r="AV990" s="497"/>
      <c r="AW990" s="497"/>
      <c r="AX990" s="497"/>
      <c r="AY990" s="497"/>
      <c r="AZ990" s="497"/>
      <c r="BA990" s="497"/>
      <c r="BB990" s="497"/>
      <c r="BC990" s="497"/>
      <c r="BD990" s="497"/>
      <c r="BE990" s="497"/>
      <c r="BF990" s="497"/>
      <c r="BG990" s="497"/>
      <c r="BH990" s="497"/>
      <c r="BI990" s="497"/>
      <c r="BJ990" s="497"/>
      <c r="BK990" s="497"/>
      <c r="BL990" s="497"/>
      <c r="BM990" s="497"/>
      <c r="BN990" s="497"/>
      <c r="BO990" s="497"/>
      <c r="BP990" s="497"/>
      <c r="BQ990" s="497"/>
      <c r="BR990" s="497"/>
      <c r="BS990" s="497"/>
      <c r="BT990" s="497"/>
      <c r="BU990" s="497"/>
      <c r="BV990" s="497"/>
      <c r="BW990" s="497"/>
      <c r="BX990" s="497"/>
      <c r="BY990" s="497"/>
      <c r="BZ990" s="497"/>
      <c r="CA990" s="497"/>
      <c r="CB990" s="497"/>
      <c r="CC990" s="497"/>
      <c r="CD990" s="497"/>
      <c r="CE990" s="497"/>
      <c r="CF990" s="497"/>
      <c r="CG990" s="497"/>
      <c r="CH990" s="497"/>
    </row>
    <row r="991" spans="1:86" s="335" customFormat="1">
      <c r="A991" s="517"/>
      <c r="B991" s="517"/>
      <c r="C991" s="517"/>
      <c r="D991" s="517"/>
      <c r="E991" s="517"/>
      <c r="F991" s="517"/>
      <c r="G991" s="517"/>
      <c r="H991" s="639"/>
      <c r="I991" s="639"/>
      <c r="J991" s="336"/>
      <c r="K991" s="2056"/>
      <c r="L991" s="337"/>
      <c r="N991" s="2057"/>
      <c r="O991" s="337"/>
      <c r="P991" s="337"/>
      <c r="Q991" s="337"/>
      <c r="R991" s="337"/>
      <c r="S991" s="337"/>
      <c r="T991" s="337"/>
      <c r="U991" s="497"/>
      <c r="V991" s="497"/>
      <c r="W991" s="497"/>
      <c r="X991" s="497"/>
      <c r="Y991" s="497"/>
      <c r="Z991" s="497"/>
      <c r="AA991" s="497"/>
      <c r="AB991" s="497"/>
      <c r="AC991" s="497"/>
      <c r="AD991" s="497"/>
      <c r="AE991" s="497"/>
      <c r="AF991" s="497"/>
      <c r="AG991" s="497"/>
      <c r="AH991" s="497"/>
      <c r="AI991" s="497"/>
      <c r="AJ991" s="497"/>
      <c r="AK991" s="497"/>
      <c r="AL991" s="497"/>
      <c r="AM991" s="497"/>
      <c r="AN991" s="497"/>
      <c r="AO991" s="497"/>
      <c r="AP991" s="497"/>
      <c r="AQ991" s="497"/>
      <c r="AR991" s="497"/>
      <c r="AS991" s="497"/>
      <c r="AT991" s="497"/>
      <c r="AU991" s="497"/>
      <c r="AV991" s="497"/>
      <c r="AW991" s="497"/>
      <c r="AX991" s="497"/>
      <c r="AY991" s="497"/>
      <c r="AZ991" s="497"/>
      <c r="BA991" s="497"/>
      <c r="BB991" s="497"/>
      <c r="BC991" s="497"/>
      <c r="BD991" s="497"/>
      <c r="BE991" s="497"/>
      <c r="BF991" s="497"/>
      <c r="BG991" s="497"/>
      <c r="BH991" s="497"/>
      <c r="BI991" s="497"/>
      <c r="BJ991" s="497"/>
      <c r="BK991" s="497"/>
      <c r="BL991" s="497"/>
      <c r="BM991" s="497"/>
      <c r="BN991" s="497"/>
      <c r="BO991" s="497"/>
      <c r="BP991" s="497"/>
      <c r="BQ991" s="497"/>
      <c r="BR991" s="497"/>
      <c r="BS991" s="497"/>
      <c r="BT991" s="497"/>
      <c r="BU991" s="497"/>
      <c r="BV991" s="497"/>
      <c r="BW991" s="497"/>
      <c r="BX991" s="497"/>
      <c r="BY991" s="497"/>
      <c r="BZ991" s="497"/>
      <c r="CA991" s="497"/>
      <c r="CB991" s="497"/>
      <c r="CC991" s="497"/>
      <c r="CD991" s="497"/>
      <c r="CE991" s="497"/>
      <c r="CF991" s="497"/>
      <c r="CG991" s="497"/>
      <c r="CH991" s="497"/>
    </row>
    <row r="992" spans="1:86" s="335" customFormat="1">
      <c r="A992" s="517"/>
      <c r="B992" s="517"/>
      <c r="C992" s="517"/>
      <c r="D992" s="517"/>
      <c r="E992" s="517"/>
      <c r="F992" s="517"/>
      <c r="G992" s="517"/>
      <c r="H992" s="639"/>
      <c r="I992" s="639"/>
      <c r="J992" s="336"/>
      <c r="K992" s="2056"/>
      <c r="L992" s="337"/>
      <c r="N992" s="2057"/>
      <c r="O992" s="337"/>
      <c r="P992" s="337"/>
      <c r="Q992" s="337"/>
      <c r="R992" s="337"/>
      <c r="S992" s="337"/>
      <c r="T992" s="337"/>
      <c r="U992" s="497"/>
      <c r="V992" s="497"/>
      <c r="W992" s="497"/>
      <c r="X992" s="497"/>
      <c r="Y992" s="497"/>
      <c r="Z992" s="497"/>
      <c r="AA992" s="497"/>
      <c r="AB992" s="497"/>
      <c r="AC992" s="497"/>
      <c r="AD992" s="497"/>
      <c r="AE992" s="497"/>
      <c r="AF992" s="497"/>
      <c r="AG992" s="497"/>
      <c r="AH992" s="497"/>
      <c r="AI992" s="497"/>
      <c r="AJ992" s="497"/>
      <c r="AK992" s="497"/>
      <c r="AL992" s="497"/>
      <c r="AM992" s="497"/>
      <c r="AN992" s="497"/>
      <c r="AO992" s="497"/>
      <c r="AP992" s="497"/>
      <c r="AQ992" s="497"/>
      <c r="AR992" s="497"/>
      <c r="AS992" s="497"/>
      <c r="AT992" s="497"/>
      <c r="AU992" s="497"/>
      <c r="AV992" s="497"/>
      <c r="AW992" s="497"/>
      <c r="AX992" s="497"/>
      <c r="AY992" s="497"/>
      <c r="AZ992" s="497"/>
      <c r="BA992" s="497"/>
      <c r="BB992" s="497"/>
      <c r="BC992" s="497"/>
      <c r="BD992" s="497"/>
      <c r="BE992" s="497"/>
      <c r="BF992" s="497"/>
      <c r="BG992" s="497"/>
      <c r="BH992" s="497"/>
      <c r="BI992" s="497"/>
      <c r="BJ992" s="497"/>
      <c r="BK992" s="497"/>
      <c r="BL992" s="497"/>
      <c r="BM992" s="497"/>
      <c r="BN992" s="497"/>
      <c r="BO992" s="497"/>
      <c r="BP992" s="497"/>
      <c r="BQ992" s="497"/>
      <c r="BR992" s="497"/>
      <c r="BS992" s="497"/>
      <c r="BT992" s="497"/>
      <c r="BU992" s="497"/>
      <c r="BV992" s="497"/>
      <c r="BW992" s="497"/>
      <c r="BX992" s="497"/>
      <c r="BY992" s="497"/>
      <c r="BZ992" s="497"/>
      <c r="CA992" s="497"/>
      <c r="CB992" s="497"/>
      <c r="CC992" s="497"/>
      <c r="CD992" s="497"/>
      <c r="CE992" s="497"/>
      <c r="CF992" s="497"/>
      <c r="CG992" s="497"/>
      <c r="CH992" s="497"/>
    </row>
    <row r="993" spans="1:86" s="335" customFormat="1">
      <c r="A993" s="517"/>
      <c r="B993" s="517"/>
      <c r="C993" s="517"/>
      <c r="D993" s="517"/>
      <c r="E993" s="517"/>
      <c r="F993" s="517"/>
      <c r="G993" s="517"/>
      <c r="H993" s="639"/>
      <c r="I993" s="639"/>
      <c r="J993" s="336"/>
      <c r="K993" s="2056"/>
      <c r="L993" s="337"/>
      <c r="N993" s="2057"/>
      <c r="O993" s="337"/>
      <c r="P993" s="337"/>
      <c r="Q993" s="337"/>
      <c r="R993" s="337"/>
      <c r="S993" s="337"/>
      <c r="T993" s="337"/>
      <c r="U993" s="497"/>
      <c r="V993" s="497"/>
      <c r="W993" s="497"/>
      <c r="X993" s="497"/>
      <c r="Y993" s="497"/>
      <c r="Z993" s="497"/>
      <c r="AA993" s="497"/>
      <c r="AB993" s="497"/>
      <c r="AC993" s="497"/>
      <c r="AD993" s="497"/>
      <c r="AE993" s="497"/>
      <c r="AF993" s="497"/>
      <c r="AG993" s="497"/>
      <c r="AH993" s="497"/>
      <c r="AI993" s="497"/>
      <c r="AJ993" s="497"/>
      <c r="AK993" s="497"/>
      <c r="AL993" s="497"/>
      <c r="AM993" s="497"/>
      <c r="AN993" s="497"/>
      <c r="AO993" s="497"/>
      <c r="AP993" s="497"/>
      <c r="AQ993" s="497"/>
      <c r="AR993" s="497"/>
      <c r="AS993" s="497"/>
      <c r="AT993" s="497"/>
      <c r="AU993" s="497"/>
      <c r="AV993" s="497"/>
      <c r="AW993" s="497"/>
      <c r="AX993" s="497"/>
      <c r="AY993" s="497"/>
      <c r="AZ993" s="497"/>
      <c r="BA993" s="497"/>
      <c r="BB993" s="497"/>
      <c r="BC993" s="497"/>
      <c r="BD993" s="497"/>
      <c r="BE993" s="497"/>
      <c r="BF993" s="497"/>
      <c r="BG993" s="497"/>
      <c r="BH993" s="497"/>
      <c r="BI993" s="497"/>
      <c r="BJ993" s="497"/>
      <c r="BK993" s="497"/>
      <c r="BL993" s="497"/>
      <c r="BM993" s="497"/>
      <c r="BN993" s="497"/>
      <c r="BO993" s="497"/>
      <c r="BP993" s="497"/>
      <c r="BQ993" s="497"/>
      <c r="BR993" s="497"/>
      <c r="BS993" s="497"/>
      <c r="BT993" s="497"/>
      <c r="BU993" s="497"/>
      <c r="BV993" s="497"/>
      <c r="BW993" s="497"/>
      <c r="BX993" s="497"/>
      <c r="BY993" s="497"/>
      <c r="BZ993" s="497"/>
      <c r="CA993" s="497"/>
      <c r="CB993" s="497"/>
      <c r="CC993" s="497"/>
      <c r="CD993" s="497"/>
      <c r="CE993" s="497"/>
      <c r="CF993" s="497"/>
      <c r="CG993" s="497"/>
      <c r="CH993" s="497"/>
    </row>
    <row r="994" spans="1:86" s="335" customFormat="1">
      <c r="A994" s="517"/>
      <c r="B994" s="517"/>
      <c r="C994" s="517"/>
      <c r="D994" s="517"/>
      <c r="E994" s="517"/>
      <c r="F994" s="517"/>
      <c r="G994" s="517"/>
      <c r="H994" s="639"/>
      <c r="I994" s="639"/>
      <c r="J994" s="336"/>
      <c r="K994" s="2056"/>
      <c r="L994" s="337"/>
      <c r="N994" s="2057"/>
      <c r="O994" s="337"/>
      <c r="P994" s="337"/>
      <c r="Q994" s="337"/>
      <c r="R994" s="337"/>
      <c r="S994" s="337"/>
      <c r="T994" s="337"/>
      <c r="U994" s="497"/>
      <c r="V994" s="497"/>
      <c r="W994" s="497"/>
      <c r="X994" s="497"/>
      <c r="Y994" s="497"/>
      <c r="Z994" s="497"/>
      <c r="AA994" s="497"/>
      <c r="AB994" s="497"/>
      <c r="AC994" s="497"/>
      <c r="AD994" s="497"/>
      <c r="AE994" s="497"/>
      <c r="AF994" s="497"/>
      <c r="AG994" s="497"/>
      <c r="AH994" s="497"/>
      <c r="AI994" s="497"/>
      <c r="AJ994" s="497"/>
      <c r="AK994" s="497"/>
      <c r="AL994" s="497"/>
      <c r="AM994" s="497"/>
      <c r="AN994" s="497"/>
      <c r="AO994" s="497"/>
      <c r="AP994" s="497"/>
      <c r="AQ994" s="497"/>
      <c r="AR994" s="497"/>
      <c r="AS994" s="497"/>
      <c r="AT994" s="497"/>
      <c r="AU994" s="497"/>
      <c r="AV994" s="497"/>
      <c r="AW994" s="497"/>
      <c r="AX994" s="497"/>
      <c r="AY994" s="497"/>
      <c r="AZ994" s="497"/>
      <c r="BA994" s="497"/>
      <c r="BB994" s="497"/>
      <c r="BC994" s="497"/>
      <c r="BD994" s="497"/>
      <c r="BE994" s="497"/>
      <c r="BF994" s="497"/>
      <c r="BG994" s="497"/>
      <c r="BH994" s="497"/>
      <c r="BI994" s="497"/>
      <c r="BJ994" s="497"/>
      <c r="BK994" s="497"/>
      <c r="BL994" s="497"/>
      <c r="BM994" s="497"/>
      <c r="BN994" s="497"/>
      <c r="BO994" s="497"/>
      <c r="BP994" s="497"/>
      <c r="BQ994" s="497"/>
      <c r="BR994" s="497"/>
      <c r="BS994" s="497"/>
      <c r="BT994" s="497"/>
      <c r="BU994" s="497"/>
      <c r="BV994" s="497"/>
      <c r="BW994" s="497"/>
      <c r="BX994" s="497"/>
      <c r="BY994" s="497"/>
      <c r="BZ994" s="497"/>
      <c r="CA994" s="497"/>
      <c r="CB994" s="497"/>
      <c r="CC994" s="497"/>
      <c r="CD994" s="497"/>
      <c r="CE994" s="497"/>
      <c r="CF994" s="497"/>
      <c r="CG994" s="497"/>
      <c r="CH994" s="497"/>
    </row>
    <row r="995" spans="1:86" s="335" customFormat="1">
      <c r="A995" s="517"/>
      <c r="B995" s="517"/>
      <c r="C995" s="517"/>
      <c r="D995" s="517"/>
      <c r="E995" s="517"/>
      <c r="F995" s="517"/>
      <c r="G995" s="517"/>
      <c r="H995" s="639"/>
      <c r="I995" s="639"/>
      <c r="J995" s="336"/>
      <c r="K995" s="2056"/>
      <c r="L995" s="337"/>
      <c r="N995" s="2057"/>
      <c r="O995" s="337"/>
      <c r="P995" s="337"/>
      <c r="Q995" s="337"/>
      <c r="R995" s="337"/>
      <c r="S995" s="337"/>
      <c r="T995" s="337"/>
      <c r="U995" s="497"/>
      <c r="V995" s="497"/>
      <c r="W995" s="497"/>
      <c r="X995" s="497"/>
      <c r="Y995" s="497"/>
      <c r="Z995" s="497"/>
      <c r="AA995" s="497"/>
      <c r="AB995" s="497"/>
      <c r="AC995" s="497"/>
      <c r="AD995" s="497"/>
      <c r="AE995" s="497"/>
      <c r="AF995" s="497"/>
      <c r="AG995" s="497"/>
      <c r="AH995" s="497"/>
      <c r="AI995" s="497"/>
      <c r="AJ995" s="497"/>
      <c r="AK995" s="497"/>
      <c r="AL995" s="497"/>
      <c r="AM995" s="497"/>
      <c r="AN995" s="497"/>
      <c r="AO995" s="497"/>
      <c r="AP995" s="497"/>
      <c r="AQ995" s="497"/>
      <c r="AR995" s="497"/>
      <c r="AS995" s="497"/>
      <c r="AT995" s="497"/>
      <c r="AU995" s="497"/>
      <c r="AV995" s="497"/>
      <c r="AW995" s="497"/>
      <c r="AX995" s="497"/>
      <c r="AY995" s="497"/>
      <c r="AZ995" s="497"/>
      <c r="BA995" s="497"/>
      <c r="BB995" s="497"/>
      <c r="BC995" s="497"/>
      <c r="BD995" s="497"/>
      <c r="BE995" s="497"/>
      <c r="BF995" s="497"/>
      <c r="BG995" s="497"/>
      <c r="BH995" s="497"/>
      <c r="BI995" s="497"/>
      <c r="BJ995" s="497"/>
      <c r="BK995" s="497"/>
      <c r="BL995" s="497"/>
      <c r="BM995" s="497"/>
      <c r="BN995" s="497"/>
      <c r="BO995" s="497"/>
      <c r="BP995" s="497"/>
      <c r="BQ995" s="497"/>
      <c r="BR995" s="497"/>
      <c r="BS995" s="497"/>
      <c r="BT995" s="497"/>
      <c r="BU995" s="497"/>
      <c r="BV995" s="497"/>
      <c r="BW995" s="497"/>
      <c r="BX995" s="497"/>
      <c r="BY995" s="497"/>
      <c r="BZ995" s="497"/>
      <c r="CA995" s="497"/>
      <c r="CB995" s="497"/>
      <c r="CC995" s="497"/>
      <c r="CD995" s="497"/>
      <c r="CE995" s="497"/>
      <c r="CF995" s="497"/>
      <c r="CG995" s="497"/>
      <c r="CH995" s="497"/>
    </row>
    <row r="996" spans="1:86" s="335" customFormat="1">
      <c r="A996" s="517"/>
      <c r="B996" s="517"/>
      <c r="C996" s="517"/>
      <c r="D996" s="517"/>
      <c r="E996" s="517"/>
      <c r="F996" s="517"/>
      <c r="G996" s="517"/>
      <c r="H996" s="639"/>
      <c r="I996" s="639"/>
      <c r="J996" s="336"/>
      <c r="K996" s="2056"/>
      <c r="L996" s="337"/>
      <c r="N996" s="2057"/>
      <c r="O996" s="337"/>
      <c r="P996" s="337"/>
      <c r="Q996" s="337"/>
      <c r="R996" s="337"/>
      <c r="S996" s="337"/>
      <c r="T996" s="337"/>
      <c r="U996" s="497"/>
      <c r="V996" s="497"/>
      <c r="W996" s="497"/>
      <c r="X996" s="497"/>
      <c r="Y996" s="497"/>
      <c r="Z996" s="497"/>
      <c r="AA996" s="497"/>
      <c r="AB996" s="497"/>
      <c r="AC996" s="497"/>
      <c r="AD996" s="497"/>
      <c r="AE996" s="497"/>
      <c r="AF996" s="497"/>
      <c r="AG996" s="497"/>
      <c r="AH996" s="497"/>
      <c r="AI996" s="497"/>
      <c r="AJ996" s="497"/>
      <c r="AK996" s="497"/>
      <c r="AL996" s="497"/>
      <c r="AM996" s="497"/>
      <c r="AN996" s="497"/>
      <c r="AO996" s="497"/>
      <c r="AP996" s="497"/>
      <c r="AQ996" s="497"/>
      <c r="AR996" s="497"/>
      <c r="AS996" s="497"/>
      <c r="AT996" s="497"/>
      <c r="AU996" s="497"/>
      <c r="AV996" s="497"/>
      <c r="AW996" s="497"/>
      <c r="AX996" s="497"/>
      <c r="AY996" s="497"/>
      <c r="AZ996" s="497"/>
      <c r="BA996" s="497"/>
      <c r="BB996" s="497"/>
      <c r="BC996" s="497"/>
      <c r="BD996" s="497"/>
      <c r="BE996" s="497"/>
      <c r="BF996" s="497"/>
      <c r="BG996" s="497"/>
      <c r="BH996" s="497"/>
      <c r="BI996" s="497"/>
      <c r="BJ996" s="497"/>
      <c r="BK996" s="497"/>
      <c r="BL996" s="497"/>
      <c r="BM996" s="497"/>
      <c r="BN996" s="497"/>
      <c r="BO996" s="497"/>
      <c r="BP996" s="497"/>
      <c r="BQ996" s="497"/>
      <c r="BR996" s="497"/>
      <c r="BS996" s="497"/>
      <c r="BT996" s="497"/>
      <c r="BU996" s="497"/>
      <c r="BV996" s="497"/>
      <c r="BW996" s="497"/>
      <c r="BX996" s="497"/>
      <c r="BY996" s="497"/>
      <c r="BZ996" s="497"/>
      <c r="CA996" s="497"/>
      <c r="CB996" s="497"/>
      <c r="CC996" s="497"/>
      <c r="CD996" s="497"/>
      <c r="CE996" s="497"/>
      <c r="CF996" s="497"/>
      <c r="CG996" s="497"/>
      <c r="CH996" s="497"/>
    </row>
    <row r="997" spans="1:86" s="335" customFormat="1">
      <c r="A997" s="517"/>
      <c r="B997" s="517"/>
      <c r="C997" s="517"/>
      <c r="D997" s="517"/>
      <c r="E997" s="517"/>
      <c r="F997" s="517"/>
      <c r="G997" s="517"/>
      <c r="H997" s="639"/>
      <c r="I997" s="639"/>
      <c r="J997" s="336"/>
      <c r="K997" s="2056"/>
      <c r="L997" s="337"/>
      <c r="N997" s="2057"/>
      <c r="O997" s="337"/>
      <c r="P997" s="337"/>
      <c r="Q997" s="337"/>
      <c r="R997" s="337"/>
      <c r="S997" s="337"/>
      <c r="T997" s="337"/>
      <c r="U997" s="497"/>
      <c r="V997" s="497"/>
      <c r="W997" s="497"/>
      <c r="X997" s="497"/>
      <c r="Y997" s="497"/>
      <c r="Z997" s="497"/>
      <c r="AA997" s="497"/>
      <c r="AB997" s="497"/>
      <c r="AC997" s="497"/>
      <c r="AD997" s="497"/>
      <c r="AE997" s="497"/>
      <c r="AF997" s="497"/>
      <c r="AG997" s="497"/>
      <c r="AH997" s="497"/>
      <c r="AI997" s="497"/>
      <c r="AJ997" s="497"/>
      <c r="AK997" s="497"/>
      <c r="AL997" s="497"/>
      <c r="AM997" s="497"/>
      <c r="AN997" s="497"/>
      <c r="AO997" s="497"/>
      <c r="AP997" s="497"/>
      <c r="AQ997" s="497"/>
      <c r="AR997" s="497"/>
      <c r="AS997" s="497"/>
      <c r="AT997" s="497"/>
      <c r="AU997" s="497"/>
      <c r="AV997" s="497"/>
      <c r="AW997" s="497"/>
      <c r="AX997" s="497"/>
      <c r="AY997" s="497"/>
      <c r="AZ997" s="497"/>
      <c r="BA997" s="497"/>
      <c r="BB997" s="497"/>
      <c r="BC997" s="497"/>
      <c r="BD997" s="497"/>
      <c r="BE997" s="497"/>
      <c r="BF997" s="497"/>
      <c r="BG997" s="497"/>
      <c r="BH997" s="497"/>
      <c r="BI997" s="497"/>
      <c r="BJ997" s="497"/>
      <c r="BK997" s="497"/>
      <c r="BL997" s="497"/>
      <c r="BM997" s="497"/>
      <c r="BN997" s="497"/>
      <c r="BO997" s="497"/>
      <c r="BP997" s="497"/>
      <c r="BQ997" s="497"/>
      <c r="BR997" s="497"/>
      <c r="BS997" s="497"/>
      <c r="BT997" s="497"/>
      <c r="BU997" s="497"/>
      <c r="BV997" s="497"/>
      <c r="BW997" s="497"/>
      <c r="BX997" s="497"/>
      <c r="BY997" s="497"/>
      <c r="BZ997" s="497"/>
      <c r="CA997" s="497"/>
      <c r="CB997" s="497"/>
      <c r="CC997" s="497"/>
      <c r="CD997" s="497"/>
      <c r="CE997" s="497"/>
      <c r="CF997" s="497"/>
      <c r="CG997" s="497"/>
      <c r="CH997" s="497"/>
    </row>
    <row r="998" spans="1:86" s="335" customFormat="1">
      <c r="A998" s="517"/>
      <c r="B998" s="517"/>
      <c r="C998" s="517"/>
      <c r="D998" s="517"/>
      <c r="E998" s="517"/>
      <c r="F998" s="517"/>
      <c r="G998" s="517"/>
      <c r="H998" s="639"/>
      <c r="I998" s="639"/>
      <c r="J998" s="336"/>
      <c r="K998" s="2056"/>
      <c r="L998" s="337"/>
      <c r="N998" s="2057"/>
      <c r="O998" s="337"/>
      <c r="P998" s="337"/>
      <c r="Q998" s="337"/>
      <c r="R998" s="337"/>
      <c r="S998" s="337"/>
      <c r="T998" s="337"/>
      <c r="U998" s="497"/>
      <c r="V998" s="497"/>
      <c r="W998" s="497"/>
      <c r="X998" s="497"/>
      <c r="Y998" s="497"/>
      <c r="Z998" s="497"/>
      <c r="AA998" s="497"/>
      <c r="AB998" s="497"/>
      <c r="AC998" s="497"/>
      <c r="AD998" s="497"/>
      <c r="AE998" s="497"/>
      <c r="AF998" s="497"/>
      <c r="AG998" s="497"/>
      <c r="AH998" s="497"/>
      <c r="AI998" s="497"/>
      <c r="AJ998" s="497"/>
      <c r="AK998" s="497"/>
      <c r="AL998" s="497"/>
      <c r="AM998" s="497"/>
      <c r="AN998" s="497"/>
      <c r="AO998" s="497"/>
      <c r="AP998" s="497"/>
      <c r="AQ998" s="497"/>
      <c r="AR998" s="497"/>
      <c r="AS998" s="497"/>
      <c r="AT998" s="497"/>
      <c r="AU998" s="497"/>
      <c r="AV998" s="497"/>
      <c r="AW998" s="497"/>
      <c r="AX998" s="497"/>
      <c r="AY998" s="497"/>
      <c r="AZ998" s="497"/>
      <c r="BA998" s="497"/>
      <c r="BB998" s="497"/>
      <c r="BC998" s="497"/>
      <c r="BD998" s="497"/>
      <c r="BE998" s="497"/>
      <c r="BF998" s="497"/>
      <c r="BG998" s="497"/>
      <c r="BH998" s="497"/>
      <c r="BI998" s="497"/>
      <c r="BJ998" s="497"/>
      <c r="BK998" s="497"/>
      <c r="BL998" s="497"/>
      <c r="BM998" s="497"/>
      <c r="BN998" s="497"/>
      <c r="BO998" s="497"/>
      <c r="BP998" s="497"/>
      <c r="BQ998" s="497"/>
      <c r="BR998" s="497"/>
      <c r="BS998" s="497"/>
      <c r="BT998" s="497"/>
      <c r="BU998" s="497"/>
      <c r="BV998" s="497"/>
      <c r="BW998" s="497"/>
      <c r="BX998" s="497"/>
      <c r="BY998" s="497"/>
      <c r="BZ998" s="497"/>
      <c r="CA998" s="497"/>
      <c r="CB998" s="497"/>
      <c r="CC998" s="497"/>
      <c r="CD998" s="497"/>
      <c r="CE998" s="497"/>
      <c r="CF998" s="497"/>
      <c r="CG998" s="497"/>
      <c r="CH998" s="497"/>
    </row>
    <row r="999" spans="1:86" s="335" customFormat="1">
      <c r="A999" s="517"/>
      <c r="B999" s="517"/>
      <c r="C999" s="517"/>
      <c r="D999" s="517"/>
      <c r="E999" s="517"/>
      <c r="F999" s="517"/>
      <c r="G999" s="517"/>
      <c r="H999" s="639"/>
      <c r="I999" s="639"/>
      <c r="J999" s="336"/>
      <c r="K999" s="2056"/>
      <c r="L999" s="337"/>
      <c r="N999" s="2057"/>
      <c r="O999" s="337"/>
      <c r="P999" s="337"/>
      <c r="Q999" s="337"/>
      <c r="R999" s="337"/>
      <c r="S999" s="337"/>
      <c r="T999" s="337"/>
      <c r="U999" s="497"/>
      <c r="V999" s="497"/>
      <c r="W999" s="497"/>
      <c r="X999" s="497"/>
      <c r="Y999" s="497"/>
      <c r="Z999" s="497"/>
      <c r="AA999" s="497"/>
      <c r="AB999" s="497"/>
      <c r="AC999" s="497"/>
      <c r="AD999" s="497"/>
      <c r="AE999" s="497"/>
      <c r="AF999" s="497"/>
      <c r="AG999" s="497"/>
      <c r="AH999" s="497"/>
      <c r="AI999" s="497"/>
      <c r="AJ999" s="497"/>
      <c r="AK999" s="497"/>
      <c r="AL999" s="497"/>
      <c r="AM999" s="497"/>
      <c r="AN999" s="497"/>
      <c r="AO999" s="497"/>
      <c r="AP999" s="497"/>
      <c r="AQ999" s="497"/>
      <c r="AR999" s="497"/>
      <c r="AS999" s="497"/>
      <c r="AT999" s="497"/>
      <c r="AU999" s="497"/>
      <c r="AV999" s="497"/>
      <c r="AW999" s="497"/>
      <c r="AX999" s="497"/>
      <c r="AY999" s="497"/>
      <c r="AZ999" s="497"/>
      <c r="BA999" s="497"/>
      <c r="BB999" s="497"/>
      <c r="BC999" s="497"/>
      <c r="BD999" s="497"/>
      <c r="BE999" s="497"/>
      <c r="BF999" s="497"/>
      <c r="BG999" s="497"/>
      <c r="BH999" s="497"/>
      <c r="BI999" s="497"/>
      <c r="BJ999" s="497"/>
      <c r="BK999" s="497"/>
      <c r="BL999" s="497"/>
      <c r="BM999" s="497"/>
      <c r="BN999" s="497"/>
      <c r="BO999" s="497"/>
      <c r="BP999" s="497"/>
      <c r="BQ999" s="497"/>
      <c r="BR999" s="497"/>
      <c r="BS999" s="497"/>
      <c r="BT999" s="497"/>
      <c r="BU999" s="497"/>
      <c r="BV999" s="497"/>
      <c r="BW999" s="497"/>
      <c r="BX999" s="497"/>
      <c r="BY999" s="497"/>
      <c r="BZ999" s="497"/>
      <c r="CA999" s="497"/>
      <c r="CB999" s="497"/>
      <c r="CC999" s="497"/>
      <c r="CD999" s="497"/>
      <c r="CE999" s="497"/>
      <c r="CF999" s="497"/>
      <c r="CG999" s="497"/>
      <c r="CH999" s="497"/>
    </row>
    <row r="1000" spans="1:86" s="335" customFormat="1">
      <c r="A1000" s="517"/>
      <c r="B1000" s="517"/>
      <c r="C1000" s="517"/>
      <c r="D1000" s="517"/>
      <c r="E1000" s="517"/>
      <c r="F1000" s="517"/>
      <c r="G1000" s="517"/>
      <c r="H1000" s="639"/>
      <c r="I1000" s="639"/>
      <c r="J1000" s="336"/>
      <c r="K1000" s="2056"/>
      <c r="L1000" s="337"/>
      <c r="N1000" s="2057"/>
      <c r="O1000" s="337"/>
      <c r="P1000" s="337"/>
      <c r="Q1000" s="337"/>
      <c r="R1000" s="337"/>
      <c r="S1000" s="337"/>
      <c r="T1000" s="337"/>
      <c r="U1000" s="497"/>
      <c r="V1000" s="497"/>
      <c r="W1000" s="497"/>
      <c r="X1000" s="497"/>
      <c r="Y1000" s="497"/>
      <c r="Z1000" s="497"/>
      <c r="AA1000" s="497"/>
      <c r="AB1000" s="497"/>
      <c r="AC1000" s="497"/>
      <c r="AD1000" s="497"/>
      <c r="AE1000" s="497"/>
      <c r="AF1000" s="497"/>
      <c r="AG1000" s="497"/>
      <c r="AH1000" s="497"/>
      <c r="AI1000" s="497"/>
      <c r="AJ1000" s="497"/>
      <c r="AK1000" s="497"/>
      <c r="AL1000" s="497"/>
      <c r="AM1000" s="497"/>
      <c r="AN1000" s="497"/>
      <c r="AO1000" s="497"/>
      <c r="AP1000" s="497"/>
      <c r="AQ1000" s="497"/>
      <c r="AR1000" s="497"/>
      <c r="AS1000" s="497"/>
      <c r="AT1000" s="497"/>
      <c r="AU1000" s="497"/>
      <c r="AV1000" s="497"/>
      <c r="AW1000" s="497"/>
      <c r="AX1000" s="497"/>
      <c r="AY1000" s="497"/>
      <c r="AZ1000" s="497"/>
      <c r="BA1000" s="497"/>
      <c r="BB1000" s="497"/>
      <c r="BC1000" s="497"/>
      <c r="BD1000" s="497"/>
      <c r="BE1000" s="497"/>
      <c r="BF1000" s="497"/>
      <c r="BG1000" s="497"/>
      <c r="BH1000" s="497"/>
      <c r="BI1000" s="497"/>
      <c r="BJ1000" s="497"/>
      <c r="BK1000" s="497"/>
      <c r="BL1000" s="497"/>
      <c r="BM1000" s="497"/>
      <c r="BN1000" s="497"/>
      <c r="BO1000" s="497"/>
      <c r="BP1000" s="497"/>
      <c r="BQ1000" s="497"/>
      <c r="BR1000" s="497"/>
      <c r="BS1000" s="497"/>
      <c r="BT1000" s="497"/>
      <c r="BU1000" s="497"/>
      <c r="BV1000" s="497"/>
      <c r="BW1000" s="497"/>
      <c r="BX1000" s="497"/>
      <c r="BY1000" s="497"/>
      <c r="BZ1000" s="497"/>
      <c r="CA1000" s="497"/>
      <c r="CB1000" s="497"/>
      <c r="CC1000" s="497"/>
      <c r="CD1000" s="497"/>
      <c r="CE1000" s="497"/>
      <c r="CF1000" s="497"/>
      <c r="CG1000" s="497"/>
      <c r="CH1000" s="497"/>
    </row>
    <row r="1001" spans="1:86" s="335" customFormat="1">
      <c r="A1001" s="517"/>
      <c r="B1001" s="517"/>
      <c r="C1001" s="517"/>
      <c r="D1001" s="517"/>
      <c r="E1001" s="517"/>
      <c r="F1001" s="517"/>
      <c r="G1001" s="517"/>
      <c r="H1001" s="639"/>
      <c r="I1001" s="639"/>
      <c r="J1001" s="336"/>
      <c r="K1001" s="2056"/>
      <c r="L1001" s="337"/>
      <c r="N1001" s="2057"/>
      <c r="O1001" s="337"/>
      <c r="P1001" s="337"/>
      <c r="Q1001" s="337"/>
      <c r="R1001" s="337"/>
      <c r="S1001" s="337"/>
      <c r="T1001" s="337"/>
      <c r="U1001" s="497"/>
      <c r="V1001" s="497"/>
      <c r="W1001" s="497"/>
      <c r="X1001" s="497"/>
      <c r="Y1001" s="497"/>
      <c r="Z1001" s="497"/>
      <c r="AA1001" s="497"/>
      <c r="AB1001" s="497"/>
      <c r="AC1001" s="497"/>
      <c r="AD1001" s="497"/>
      <c r="AE1001" s="497"/>
      <c r="AF1001" s="497"/>
      <c r="AG1001" s="497"/>
      <c r="AH1001" s="497"/>
      <c r="AI1001" s="497"/>
      <c r="AJ1001" s="497"/>
      <c r="AK1001" s="497"/>
      <c r="AL1001" s="497"/>
      <c r="AM1001" s="497"/>
      <c r="AN1001" s="497"/>
      <c r="AO1001" s="497"/>
      <c r="AP1001" s="497"/>
      <c r="AQ1001" s="497"/>
      <c r="AR1001" s="497"/>
      <c r="AS1001" s="497"/>
      <c r="AT1001" s="497"/>
      <c r="AU1001" s="497"/>
      <c r="AV1001" s="497"/>
      <c r="AW1001" s="497"/>
      <c r="AX1001" s="497"/>
      <c r="AY1001" s="497"/>
      <c r="AZ1001" s="497"/>
      <c r="BA1001" s="497"/>
      <c r="BB1001" s="497"/>
      <c r="BC1001" s="497"/>
      <c r="BD1001" s="497"/>
      <c r="BE1001" s="497"/>
      <c r="BF1001" s="497"/>
      <c r="BG1001" s="497"/>
      <c r="BH1001" s="497"/>
      <c r="BI1001" s="497"/>
      <c r="BJ1001" s="497"/>
      <c r="BK1001" s="497"/>
      <c r="BL1001" s="497"/>
      <c r="BM1001" s="497"/>
      <c r="BN1001" s="497"/>
      <c r="BO1001" s="497"/>
      <c r="BP1001" s="497"/>
      <c r="BQ1001" s="497"/>
      <c r="BR1001" s="497"/>
      <c r="BS1001" s="497"/>
      <c r="BT1001" s="497"/>
      <c r="BU1001" s="497"/>
      <c r="BV1001" s="497"/>
      <c r="BW1001" s="497"/>
      <c r="BX1001" s="497"/>
      <c r="BY1001" s="497"/>
      <c r="BZ1001" s="497"/>
      <c r="CA1001" s="497"/>
      <c r="CB1001" s="497"/>
      <c r="CC1001" s="497"/>
      <c r="CD1001" s="497"/>
      <c r="CE1001" s="497"/>
      <c r="CF1001" s="497"/>
      <c r="CG1001" s="497"/>
      <c r="CH1001" s="497"/>
    </row>
    <row r="1002" spans="1:86" s="335" customFormat="1">
      <c r="A1002" s="517"/>
      <c r="B1002" s="517"/>
      <c r="C1002" s="517"/>
      <c r="D1002" s="517"/>
      <c r="E1002" s="517"/>
      <c r="F1002" s="517"/>
      <c r="G1002" s="517"/>
      <c r="H1002" s="639"/>
      <c r="I1002" s="639"/>
      <c r="J1002" s="336"/>
      <c r="K1002" s="2056"/>
      <c r="L1002" s="337"/>
      <c r="N1002" s="2057"/>
      <c r="O1002" s="337"/>
      <c r="P1002" s="337"/>
      <c r="Q1002" s="337"/>
      <c r="R1002" s="337"/>
      <c r="S1002" s="337"/>
      <c r="T1002" s="337"/>
      <c r="U1002" s="497"/>
      <c r="V1002" s="497"/>
      <c r="W1002" s="497"/>
      <c r="X1002" s="497"/>
      <c r="Y1002" s="497"/>
      <c r="Z1002" s="497"/>
      <c r="AA1002" s="497"/>
      <c r="AB1002" s="497"/>
      <c r="AC1002" s="497"/>
      <c r="AD1002" s="497"/>
      <c r="AE1002" s="497"/>
      <c r="AF1002" s="497"/>
      <c r="AG1002" s="497"/>
      <c r="AH1002" s="497"/>
      <c r="AI1002" s="497"/>
      <c r="AJ1002" s="497"/>
      <c r="AK1002" s="497"/>
      <c r="AL1002" s="497"/>
      <c r="AM1002" s="497"/>
      <c r="AN1002" s="497"/>
      <c r="AO1002" s="497"/>
      <c r="AP1002" s="497"/>
      <c r="AQ1002" s="497"/>
      <c r="AR1002" s="497"/>
      <c r="AS1002" s="497"/>
      <c r="AT1002" s="497"/>
      <c r="AU1002" s="497"/>
      <c r="AV1002" s="497"/>
      <c r="AW1002" s="497"/>
      <c r="AX1002" s="497"/>
      <c r="AY1002" s="497"/>
      <c r="AZ1002" s="497"/>
      <c r="BA1002" s="497"/>
      <c r="BB1002" s="497"/>
      <c r="BC1002" s="497"/>
      <c r="BD1002" s="497"/>
      <c r="BE1002" s="497"/>
      <c r="BF1002" s="497"/>
      <c r="BG1002" s="497"/>
      <c r="BH1002" s="497"/>
      <c r="BI1002" s="497"/>
      <c r="BJ1002" s="497"/>
      <c r="BK1002" s="497"/>
      <c r="BL1002" s="497"/>
      <c r="BM1002" s="497"/>
      <c r="BN1002" s="497"/>
      <c r="BO1002" s="497"/>
      <c r="BP1002" s="497"/>
      <c r="BQ1002" s="497"/>
      <c r="BR1002" s="497"/>
      <c r="BS1002" s="497"/>
      <c r="BT1002" s="497"/>
      <c r="BU1002" s="497"/>
      <c r="BV1002" s="497"/>
      <c r="BW1002" s="497"/>
      <c r="BX1002" s="497"/>
      <c r="BY1002" s="497"/>
      <c r="BZ1002" s="497"/>
      <c r="CA1002" s="497"/>
      <c r="CB1002" s="497"/>
      <c r="CC1002" s="497"/>
      <c r="CD1002" s="497"/>
      <c r="CE1002" s="497"/>
      <c r="CF1002" s="497"/>
      <c r="CG1002" s="497"/>
      <c r="CH1002" s="497"/>
    </row>
    <row r="1003" spans="1:86" s="335" customFormat="1">
      <c r="A1003" s="517"/>
      <c r="B1003" s="517"/>
      <c r="C1003" s="517"/>
      <c r="D1003" s="517"/>
      <c r="E1003" s="517"/>
      <c r="F1003" s="517"/>
      <c r="G1003" s="517"/>
      <c r="H1003" s="639"/>
      <c r="I1003" s="639"/>
      <c r="J1003" s="336"/>
      <c r="K1003" s="2056"/>
      <c r="L1003" s="337"/>
      <c r="N1003" s="2057"/>
      <c r="O1003" s="337"/>
      <c r="P1003" s="337"/>
      <c r="Q1003" s="337"/>
      <c r="R1003" s="337"/>
      <c r="S1003" s="337"/>
      <c r="T1003" s="337"/>
      <c r="U1003" s="497"/>
      <c r="V1003" s="497"/>
      <c r="W1003" s="497"/>
      <c r="X1003" s="497"/>
      <c r="Y1003" s="497"/>
      <c r="Z1003" s="497"/>
      <c r="AA1003" s="497"/>
      <c r="AB1003" s="497"/>
      <c r="AC1003" s="497"/>
      <c r="AD1003" s="497"/>
      <c r="AE1003" s="497"/>
      <c r="AF1003" s="497"/>
      <c r="AG1003" s="497"/>
      <c r="AH1003" s="497"/>
      <c r="AI1003" s="497"/>
      <c r="AJ1003" s="497"/>
      <c r="AK1003" s="497"/>
      <c r="AL1003" s="497"/>
      <c r="AM1003" s="497"/>
      <c r="AN1003" s="497"/>
      <c r="AO1003" s="497"/>
      <c r="AP1003" s="497"/>
      <c r="AQ1003" s="497"/>
      <c r="AR1003" s="497"/>
      <c r="AS1003" s="497"/>
      <c r="AT1003" s="497"/>
      <c r="AU1003" s="497"/>
      <c r="AV1003" s="497"/>
      <c r="AW1003" s="497"/>
      <c r="AX1003" s="497"/>
      <c r="AY1003" s="497"/>
      <c r="AZ1003" s="497"/>
      <c r="BA1003" s="497"/>
      <c r="BB1003" s="497"/>
      <c r="BC1003" s="497"/>
      <c r="BD1003" s="497"/>
      <c r="BE1003" s="497"/>
      <c r="BF1003" s="497"/>
      <c r="BG1003" s="497"/>
      <c r="BH1003" s="497"/>
      <c r="BI1003" s="497"/>
      <c r="BJ1003" s="497"/>
      <c r="BK1003" s="497"/>
      <c r="BL1003" s="497"/>
      <c r="BM1003" s="497"/>
      <c r="BN1003" s="497"/>
      <c r="BO1003" s="497"/>
      <c r="BP1003" s="497"/>
      <c r="BQ1003" s="497"/>
      <c r="BR1003" s="497"/>
      <c r="BS1003" s="497"/>
      <c r="BT1003" s="497"/>
      <c r="BU1003" s="497"/>
      <c r="BV1003" s="497"/>
      <c r="BW1003" s="497"/>
      <c r="BX1003" s="497"/>
      <c r="BY1003" s="497"/>
      <c r="BZ1003" s="497"/>
      <c r="CA1003" s="497"/>
      <c r="CB1003" s="497"/>
      <c r="CC1003" s="497"/>
      <c r="CD1003" s="497"/>
      <c r="CE1003" s="497"/>
      <c r="CF1003" s="497"/>
      <c r="CG1003" s="497"/>
      <c r="CH1003" s="497"/>
    </row>
    <row r="1004" spans="1:86" s="335" customFormat="1">
      <c r="A1004" s="517"/>
      <c r="B1004" s="517"/>
      <c r="C1004" s="517"/>
      <c r="D1004" s="517"/>
      <c r="E1004" s="517"/>
      <c r="F1004" s="517"/>
      <c r="G1004" s="517"/>
      <c r="H1004" s="639"/>
      <c r="I1004" s="639"/>
      <c r="J1004" s="336"/>
      <c r="K1004" s="2056"/>
      <c r="L1004" s="337"/>
      <c r="N1004" s="2057"/>
      <c r="O1004" s="337"/>
      <c r="P1004" s="337"/>
      <c r="Q1004" s="337"/>
      <c r="R1004" s="337"/>
      <c r="S1004" s="337"/>
      <c r="T1004" s="337"/>
      <c r="U1004" s="497"/>
      <c r="V1004" s="497"/>
      <c r="W1004" s="497"/>
      <c r="X1004" s="497"/>
      <c r="Y1004" s="497"/>
      <c r="Z1004" s="497"/>
      <c r="AA1004" s="497"/>
      <c r="AB1004" s="497"/>
      <c r="AC1004" s="497"/>
      <c r="AD1004" s="497"/>
      <c r="AE1004" s="497"/>
      <c r="AF1004" s="497"/>
      <c r="AG1004" s="497"/>
      <c r="AH1004" s="497"/>
      <c r="AI1004" s="497"/>
      <c r="AJ1004" s="497"/>
      <c r="AK1004" s="497"/>
      <c r="AL1004" s="497"/>
      <c r="AM1004" s="497"/>
      <c r="AN1004" s="497"/>
      <c r="AO1004" s="497"/>
      <c r="AP1004" s="497"/>
      <c r="AQ1004" s="497"/>
      <c r="AR1004" s="497"/>
      <c r="AS1004" s="497"/>
      <c r="AT1004" s="497"/>
      <c r="AU1004" s="497"/>
      <c r="AV1004" s="497"/>
      <c r="AW1004" s="497"/>
      <c r="AX1004" s="497"/>
      <c r="AY1004" s="497"/>
      <c r="AZ1004" s="497"/>
      <c r="BA1004" s="497"/>
      <c r="BB1004" s="497"/>
      <c r="BC1004" s="497"/>
      <c r="BD1004" s="497"/>
      <c r="BE1004" s="497"/>
      <c r="BF1004" s="497"/>
      <c r="BG1004" s="497"/>
      <c r="BH1004" s="497"/>
      <c r="BI1004" s="497"/>
      <c r="BJ1004" s="497"/>
      <c r="BK1004" s="497"/>
      <c r="BL1004" s="497"/>
      <c r="BM1004" s="497"/>
      <c r="BN1004" s="497"/>
      <c r="BO1004" s="497"/>
      <c r="BP1004" s="497"/>
      <c r="BQ1004" s="497"/>
      <c r="BR1004" s="497"/>
      <c r="BS1004" s="497"/>
      <c r="BT1004" s="497"/>
      <c r="BU1004" s="497"/>
      <c r="BV1004" s="497"/>
      <c r="BW1004" s="497"/>
      <c r="BX1004" s="497"/>
      <c r="BY1004" s="497"/>
      <c r="BZ1004" s="497"/>
      <c r="CA1004" s="497"/>
      <c r="CB1004" s="497"/>
      <c r="CC1004" s="497"/>
      <c r="CD1004" s="497"/>
      <c r="CE1004" s="497"/>
      <c r="CF1004" s="497"/>
      <c r="CG1004" s="497"/>
      <c r="CH1004" s="497"/>
    </row>
    <row r="1005" spans="1:86" s="335" customFormat="1">
      <c r="A1005" s="517"/>
      <c r="B1005" s="517"/>
      <c r="C1005" s="517"/>
      <c r="D1005" s="517"/>
      <c r="E1005" s="517"/>
      <c r="F1005" s="517"/>
      <c r="G1005" s="517"/>
      <c r="H1005" s="639"/>
      <c r="I1005" s="639"/>
      <c r="J1005" s="336"/>
      <c r="K1005" s="2056"/>
      <c r="L1005" s="337"/>
      <c r="N1005" s="2057"/>
      <c r="O1005" s="337"/>
      <c r="P1005" s="337"/>
      <c r="Q1005" s="337"/>
      <c r="R1005" s="337"/>
      <c r="S1005" s="337"/>
      <c r="T1005" s="337"/>
      <c r="U1005" s="497"/>
      <c r="V1005" s="497"/>
      <c r="W1005" s="497"/>
      <c r="X1005" s="497"/>
      <c r="Y1005" s="497"/>
      <c r="Z1005" s="497"/>
      <c r="AA1005" s="497"/>
      <c r="AB1005" s="497"/>
      <c r="AC1005" s="497"/>
      <c r="AD1005" s="497"/>
      <c r="AE1005" s="497"/>
      <c r="AF1005" s="497"/>
      <c r="AG1005" s="497"/>
      <c r="AH1005" s="497"/>
      <c r="AI1005" s="497"/>
      <c r="AJ1005" s="497"/>
      <c r="AK1005" s="497"/>
      <c r="AL1005" s="497"/>
      <c r="AM1005" s="497"/>
      <c r="AN1005" s="497"/>
      <c r="AO1005" s="497"/>
      <c r="AP1005" s="497"/>
      <c r="AQ1005" s="497"/>
      <c r="AR1005" s="497"/>
      <c r="AS1005" s="497"/>
      <c r="AT1005" s="497"/>
      <c r="AU1005" s="497"/>
      <c r="AV1005" s="497"/>
      <c r="AW1005" s="497"/>
      <c r="AX1005" s="497"/>
      <c r="AY1005" s="497"/>
      <c r="AZ1005" s="497"/>
      <c r="BA1005" s="497"/>
      <c r="BB1005" s="497"/>
      <c r="BC1005" s="497"/>
      <c r="BD1005" s="497"/>
      <c r="BE1005" s="497"/>
      <c r="BF1005" s="497"/>
      <c r="BG1005" s="497"/>
      <c r="BH1005" s="497"/>
      <c r="BI1005" s="497"/>
      <c r="BJ1005" s="497"/>
      <c r="BK1005" s="497"/>
      <c r="BL1005" s="497"/>
      <c r="BM1005" s="497"/>
      <c r="BN1005" s="497"/>
      <c r="BO1005" s="497"/>
      <c r="BP1005" s="497"/>
      <c r="BQ1005" s="497"/>
      <c r="BR1005" s="497"/>
      <c r="BS1005" s="497"/>
      <c r="BT1005" s="497"/>
      <c r="BU1005" s="497"/>
      <c r="BV1005" s="497"/>
      <c r="BW1005" s="497"/>
      <c r="BX1005" s="497"/>
      <c r="BY1005" s="497"/>
      <c r="BZ1005" s="497"/>
      <c r="CA1005" s="497"/>
      <c r="CB1005" s="497"/>
      <c r="CC1005" s="497"/>
      <c r="CD1005" s="497"/>
      <c r="CE1005" s="497"/>
      <c r="CF1005" s="497"/>
      <c r="CG1005" s="497"/>
      <c r="CH1005" s="497"/>
    </row>
    <row r="1006" spans="1:86" s="335" customFormat="1">
      <c r="A1006" s="517"/>
      <c r="B1006" s="517"/>
      <c r="C1006" s="517"/>
      <c r="D1006" s="517"/>
      <c r="E1006" s="517"/>
      <c r="F1006" s="517"/>
      <c r="G1006" s="517"/>
      <c r="H1006" s="639"/>
      <c r="I1006" s="639"/>
      <c r="J1006" s="336"/>
      <c r="K1006" s="2056"/>
      <c r="L1006" s="337"/>
      <c r="N1006" s="2057"/>
      <c r="O1006" s="337"/>
      <c r="P1006" s="337"/>
      <c r="Q1006" s="337"/>
      <c r="R1006" s="337"/>
      <c r="S1006" s="337"/>
      <c r="T1006" s="337"/>
      <c r="U1006" s="497"/>
      <c r="V1006" s="497"/>
      <c r="W1006" s="497"/>
      <c r="X1006" s="497"/>
      <c r="Y1006" s="497"/>
      <c r="Z1006" s="497"/>
      <c r="AA1006" s="497"/>
      <c r="AB1006" s="497"/>
      <c r="AC1006" s="497"/>
      <c r="AD1006" s="497"/>
      <c r="AE1006" s="497"/>
      <c r="AF1006" s="497"/>
      <c r="AG1006" s="497"/>
      <c r="AH1006" s="497"/>
      <c r="AI1006" s="497"/>
      <c r="AJ1006" s="497"/>
      <c r="AK1006" s="497"/>
      <c r="AL1006" s="497"/>
      <c r="AM1006" s="497"/>
      <c r="AN1006" s="497"/>
      <c r="AO1006" s="497"/>
      <c r="AP1006" s="497"/>
      <c r="AQ1006" s="497"/>
      <c r="AR1006" s="497"/>
      <c r="AS1006" s="497"/>
      <c r="AT1006" s="497"/>
      <c r="AU1006" s="497"/>
      <c r="AV1006" s="497"/>
      <c r="AW1006" s="497"/>
      <c r="AX1006" s="497"/>
      <c r="AY1006" s="497"/>
      <c r="AZ1006" s="497"/>
      <c r="BA1006" s="497"/>
      <c r="BB1006" s="497"/>
      <c r="BC1006" s="497"/>
      <c r="BD1006" s="497"/>
      <c r="BE1006" s="497"/>
      <c r="BF1006" s="497"/>
      <c r="BG1006" s="497"/>
      <c r="BH1006" s="497"/>
      <c r="BI1006" s="497"/>
      <c r="BJ1006" s="497"/>
      <c r="BK1006" s="497"/>
      <c r="BL1006" s="497"/>
      <c r="BM1006" s="497"/>
      <c r="BN1006" s="497"/>
      <c r="BO1006" s="497"/>
      <c r="BP1006" s="497"/>
      <c r="BQ1006" s="497"/>
      <c r="BR1006" s="497"/>
      <c r="BS1006" s="497"/>
      <c r="BT1006" s="497"/>
      <c r="BU1006" s="497"/>
      <c r="BV1006" s="497"/>
      <c r="BW1006" s="497"/>
      <c r="BX1006" s="497"/>
      <c r="BY1006" s="497"/>
      <c r="BZ1006" s="497"/>
      <c r="CA1006" s="497"/>
      <c r="CB1006" s="497"/>
      <c r="CC1006" s="497"/>
      <c r="CD1006" s="497"/>
      <c r="CE1006" s="497"/>
      <c r="CF1006" s="497"/>
      <c r="CG1006" s="497"/>
      <c r="CH1006" s="497"/>
    </row>
    <row r="1007" spans="1:86" s="335" customFormat="1">
      <c r="A1007" s="517"/>
      <c r="B1007" s="517"/>
      <c r="C1007" s="517"/>
      <c r="D1007" s="517"/>
      <c r="E1007" s="517"/>
      <c r="F1007" s="517"/>
      <c r="G1007" s="517"/>
      <c r="H1007" s="639"/>
      <c r="I1007" s="639"/>
      <c r="J1007" s="336"/>
      <c r="K1007" s="2056"/>
      <c r="L1007" s="337"/>
      <c r="N1007" s="2057"/>
      <c r="O1007" s="337"/>
      <c r="P1007" s="337"/>
      <c r="Q1007" s="337"/>
      <c r="R1007" s="337"/>
      <c r="S1007" s="337"/>
      <c r="T1007" s="337"/>
      <c r="U1007" s="497"/>
      <c r="V1007" s="497"/>
      <c r="W1007" s="497"/>
      <c r="X1007" s="497"/>
      <c r="Y1007" s="497"/>
      <c r="Z1007" s="497"/>
      <c r="AA1007" s="497"/>
      <c r="AB1007" s="497"/>
      <c r="AC1007" s="497"/>
      <c r="AD1007" s="497"/>
      <c r="AE1007" s="497"/>
      <c r="AF1007" s="497"/>
      <c r="AG1007" s="497"/>
      <c r="AH1007" s="497"/>
      <c r="AI1007" s="497"/>
      <c r="AJ1007" s="497"/>
      <c r="AK1007" s="497"/>
      <c r="AL1007" s="497"/>
      <c r="AM1007" s="497"/>
      <c r="AN1007" s="497"/>
      <c r="AO1007" s="497"/>
      <c r="AP1007" s="497"/>
      <c r="AQ1007" s="497"/>
      <c r="AR1007" s="497"/>
      <c r="AS1007" s="497"/>
      <c r="AT1007" s="497"/>
      <c r="AU1007" s="497"/>
      <c r="AV1007" s="497"/>
      <c r="AW1007" s="497"/>
      <c r="AX1007" s="497"/>
      <c r="AY1007" s="497"/>
      <c r="AZ1007" s="497"/>
      <c r="BA1007" s="497"/>
      <c r="BB1007" s="497"/>
      <c r="BC1007" s="497"/>
      <c r="BD1007" s="497"/>
      <c r="BE1007" s="497"/>
      <c r="BF1007" s="497"/>
      <c r="BG1007" s="497"/>
      <c r="BH1007" s="497"/>
      <c r="BI1007" s="497"/>
      <c r="BJ1007" s="497"/>
      <c r="BK1007" s="497"/>
      <c r="BL1007" s="497"/>
      <c r="BM1007" s="497"/>
      <c r="BN1007" s="497"/>
      <c r="BO1007" s="497"/>
      <c r="BP1007" s="497"/>
      <c r="BQ1007" s="497"/>
      <c r="BR1007" s="497"/>
      <c r="BS1007" s="497"/>
      <c r="BT1007" s="497"/>
      <c r="BU1007" s="497"/>
      <c r="BV1007" s="497"/>
      <c r="BW1007" s="497"/>
      <c r="BX1007" s="497"/>
      <c r="BY1007" s="497"/>
      <c r="BZ1007" s="497"/>
      <c r="CA1007" s="497"/>
      <c r="CB1007" s="497"/>
      <c r="CC1007" s="497"/>
      <c r="CD1007" s="497"/>
      <c r="CE1007" s="497"/>
      <c r="CF1007" s="497"/>
      <c r="CG1007" s="497"/>
      <c r="CH1007" s="497"/>
    </row>
    <row r="1008" spans="1:86" s="335" customFormat="1">
      <c r="A1008" s="517"/>
      <c r="B1008" s="517"/>
      <c r="C1008" s="517"/>
      <c r="D1008" s="517"/>
      <c r="E1008" s="517"/>
      <c r="F1008" s="517"/>
      <c r="G1008" s="517"/>
      <c r="H1008" s="639"/>
      <c r="I1008" s="639"/>
      <c r="J1008" s="336"/>
      <c r="K1008" s="2056"/>
      <c r="L1008" s="337"/>
      <c r="N1008" s="2057"/>
      <c r="O1008" s="337"/>
      <c r="P1008" s="337"/>
      <c r="Q1008" s="337"/>
      <c r="R1008" s="337"/>
      <c r="S1008" s="337"/>
      <c r="T1008" s="337"/>
      <c r="U1008" s="497"/>
      <c r="V1008" s="497"/>
      <c r="W1008" s="497"/>
      <c r="X1008" s="497"/>
      <c r="Y1008" s="497"/>
      <c r="Z1008" s="497"/>
      <c r="AA1008" s="497"/>
      <c r="AB1008" s="497"/>
      <c r="AC1008" s="497"/>
      <c r="AD1008" s="497"/>
      <c r="AE1008" s="497"/>
      <c r="AF1008" s="497"/>
      <c r="AG1008" s="497"/>
      <c r="AH1008" s="497"/>
      <c r="AI1008" s="497"/>
      <c r="AJ1008" s="497"/>
      <c r="AK1008" s="497"/>
      <c r="AL1008" s="497"/>
      <c r="AM1008" s="497"/>
      <c r="AN1008" s="497"/>
      <c r="AO1008" s="497"/>
      <c r="AP1008" s="497"/>
      <c r="AQ1008" s="497"/>
      <c r="AR1008" s="497"/>
      <c r="AS1008" s="497"/>
      <c r="AT1008" s="497"/>
      <c r="AU1008" s="497"/>
      <c r="AV1008" s="497"/>
      <c r="AW1008" s="497"/>
      <c r="AX1008" s="497"/>
      <c r="AY1008" s="497"/>
      <c r="AZ1008" s="497"/>
      <c r="BA1008" s="497"/>
      <c r="BB1008" s="497"/>
      <c r="BC1008" s="497"/>
      <c r="BD1008" s="497"/>
      <c r="BE1008" s="497"/>
      <c r="BF1008" s="497"/>
      <c r="BG1008" s="497"/>
      <c r="BH1008" s="497"/>
      <c r="BI1008" s="497"/>
      <c r="BJ1008" s="497"/>
      <c r="BK1008" s="497"/>
      <c r="BL1008" s="497"/>
      <c r="BM1008" s="497"/>
      <c r="BN1008" s="497"/>
      <c r="BO1008" s="497"/>
      <c r="BP1008" s="497"/>
      <c r="BQ1008" s="497"/>
      <c r="BR1008" s="497"/>
      <c r="BS1008" s="497"/>
      <c r="BT1008" s="497"/>
      <c r="BU1008" s="497"/>
      <c r="BV1008" s="497"/>
      <c r="BW1008" s="497"/>
      <c r="BX1008" s="497"/>
      <c r="BY1008" s="497"/>
      <c r="BZ1008" s="497"/>
      <c r="CA1008" s="497"/>
      <c r="CB1008" s="497"/>
      <c r="CC1008" s="497"/>
      <c r="CD1008" s="497"/>
      <c r="CE1008" s="497"/>
      <c r="CF1008" s="497"/>
      <c r="CG1008" s="497"/>
      <c r="CH1008" s="497"/>
    </row>
    <row r="1009" spans="1:86" s="335" customFormat="1">
      <c r="A1009" s="517"/>
      <c r="B1009" s="517"/>
      <c r="C1009" s="517"/>
      <c r="D1009" s="517"/>
      <c r="E1009" s="517"/>
      <c r="F1009" s="517"/>
      <c r="G1009" s="517"/>
      <c r="H1009" s="639"/>
      <c r="I1009" s="639"/>
      <c r="J1009" s="336"/>
      <c r="K1009" s="2056"/>
      <c r="L1009" s="337"/>
      <c r="N1009" s="2057"/>
      <c r="O1009" s="337"/>
      <c r="P1009" s="337"/>
      <c r="Q1009" s="337"/>
      <c r="R1009" s="337"/>
      <c r="S1009" s="337"/>
      <c r="T1009" s="337"/>
      <c r="U1009" s="497"/>
      <c r="V1009" s="497"/>
      <c r="W1009" s="497"/>
      <c r="X1009" s="497"/>
      <c r="Y1009" s="497"/>
      <c r="Z1009" s="497"/>
      <c r="AA1009" s="497"/>
      <c r="AB1009" s="497"/>
      <c r="AC1009" s="497"/>
      <c r="AD1009" s="497"/>
      <c r="AE1009" s="497"/>
      <c r="AF1009" s="497"/>
      <c r="AG1009" s="497"/>
      <c r="AH1009" s="497"/>
      <c r="AI1009" s="497"/>
      <c r="AJ1009" s="497"/>
      <c r="AK1009" s="497"/>
      <c r="AL1009" s="497"/>
      <c r="AM1009" s="497"/>
      <c r="AN1009" s="497"/>
      <c r="AO1009" s="497"/>
      <c r="AP1009" s="497"/>
      <c r="AQ1009" s="497"/>
      <c r="AR1009" s="497"/>
      <c r="AS1009" s="497"/>
      <c r="AT1009" s="497"/>
      <c r="AU1009" s="497"/>
      <c r="AV1009" s="497"/>
      <c r="AW1009" s="497"/>
      <c r="AX1009" s="497"/>
      <c r="AY1009" s="497"/>
      <c r="AZ1009" s="497"/>
      <c r="BA1009" s="497"/>
      <c r="BB1009" s="497"/>
      <c r="BC1009" s="497"/>
      <c r="BD1009" s="497"/>
      <c r="BE1009" s="497"/>
      <c r="BF1009" s="497"/>
      <c r="BG1009" s="497"/>
      <c r="BH1009" s="497"/>
      <c r="BI1009" s="497"/>
      <c r="BJ1009" s="497"/>
      <c r="BK1009" s="497"/>
      <c r="BL1009" s="497"/>
      <c r="BM1009" s="497"/>
      <c r="BN1009" s="497"/>
      <c r="BO1009" s="497"/>
      <c r="BP1009" s="497"/>
      <c r="BQ1009" s="497"/>
      <c r="BR1009" s="497"/>
      <c r="BS1009" s="497"/>
      <c r="BT1009" s="497"/>
      <c r="BU1009" s="497"/>
      <c r="BV1009" s="497"/>
      <c r="BW1009" s="497"/>
      <c r="BX1009" s="497"/>
      <c r="BY1009" s="497"/>
      <c r="BZ1009" s="497"/>
      <c r="CA1009" s="497"/>
      <c r="CB1009" s="497"/>
      <c r="CC1009" s="497"/>
      <c r="CD1009" s="497"/>
      <c r="CE1009" s="497"/>
      <c r="CF1009" s="497"/>
      <c r="CG1009" s="497"/>
      <c r="CH1009" s="497"/>
    </row>
    <row r="1010" spans="1:86" s="335" customFormat="1">
      <c r="A1010" s="517"/>
      <c r="B1010" s="517"/>
      <c r="C1010" s="517"/>
      <c r="D1010" s="517"/>
      <c r="E1010" s="517"/>
      <c r="F1010" s="517"/>
      <c r="G1010" s="517"/>
      <c r="H1010" s="639"/>
      <c r="I1010" s="639"/>
      <c r="J1010" s="336"/>
      <c r="K1010" s="2056"/>
      <c r="L1010" s="337"/>
      <c r="N1010" s="2057"/>
      <c r="O1010" s="337"/>
      <c r="P1010" s="337"/>
      <c r="Q1010" s="337"/>
      <c r="R1010" s="337"/>
      <c r="S1010" s="337"/>
      <c r="T1010" s="337"/>
      <c r="U1010" s="497"/>
      <c r="V1010" s="497"/>
      <c r="W1010" s="497"/>
      <c r="X1010" s="497"/>
      <c r="Y1010" s="497"/>
      <c r="Z1010" s="497"/>
      <c r="AA1010" s="497"/>
      <c r="AB1010" s="497"/>
      <c r="AC1010" s="497"/>
      <c r="AD1010" s="497"/>
      <c r="AE1010" s="497"/>
      <c r="AF1010" s="497"/>
      <c r="AG1010" s="497"/>
      <c r="AH1010" s="497"/>
      <c r="AI1010" s="497"/>
      <c r="AJ1010" s="497"/>
      <c r="AK1010" s="497"/>
      <c r="AL1010" s="497"/>
      <c r="AM1010" s="497"/>
      <c r="AN1010" s="497"/>
      <c r="AO1010" s="497"/>
      <c r="AP1010" s="497"/>
      <c r="AQ1010" s="497"/>
      <c r="AR1010" s="497"/>
      <c r="AS1010" s="497"/>
      <c r="AT1010" s="497"/>
      <c r="AU1010" s="497"/>
      <c r="AV1010" s="497"/>
      <c r="AW1010" s="497"/>
      <c r="AX1010" s="497"/>
      <c r="AY1010" s="497"/>
      <c r="AZ1010" s="497"/>
      <c r="BA1010" s="497"/>
      <c r="BB1010" s="497"/>
      <c r="BC1010" s="497"/>
      <c r="BD1010" s="497"/>
      <c r="BE1010" s="497"/>
      <c r="BF1010" s="497"/>
      <c r="BG1010" s="497"/>
      <c r="BH1010" s="497"/>
      <c r="BI1010" s="497"/>
      <c r="BJ1010" s="497"/>
      <c r="BK1010" s="497"/>
      <c r="BL1010" s="497"/>
      <c r="BM1010" s="497"/>
      <c r="BN1010" s="497"/>
      <c r="BO1010" s="497"/>
      <c r="BP1010" s="497"/>
      <c r="BQ1010" s="497"/>
      <c r="BR1010" s="497"/>
      <c r="BS1010" s="497"/>
      <c r="BT1010" s="497"/>
      <c r="BU1010" s="497"/>
      <c r="BV1010" s="497"/>
      <c r="BW1010" s="497"/>
      <c r="BX1010" s="497"/>
      <c r="BY1010" s="497"/>
      <c r="BZ1010" s="497"/>
      <c r="CA1010" s="497"/>
      <c r="CB1010" s="497"/>
      <c r="CC1010" s="497"/>
      <c r="CD1010" s="497"/>
      <c r="CE1010" s="497"/>
      <c r="CF1010" s="497"/>
      <c r="CG1010" s="497"/>
      <c r="CH1010" s="497"/>
    </row>
    <row r="1011" spans="1:86" s="335" customFormat="1">
      <c r="A1011" s="517"/>
      <c r="B1011" s="517"/>
      <c r="C1011" s="517"/>
      <c r="D1011" s="517"/>
      <c r="E1011" s="517"/>
      <c r="F1011" s="517"/>
      <c r="G1011" s="517"/>
      <c r="H1011" s="639"/>
      <c r="I1011" s="639"/>
      <c r="J1011" s="336"/>
      <c r="K1011" s="2056"/>
      <c r="L1011" s="337"/>
      <c r="N1011" s="2057"/>
      <c r="O1011" s="337"/>
      <c r="P1011" s="337"/>
      <c r="Q1011" s="337"/>
      <c r="R1011" s="337"/>
      <c r="S1011" s="337"/>
      <c r="T1011" s="337"/>
      <c r="U1011" s="497"/>
      <c r="V1011" s="497"/>
      <c r="W1011" s="497"/>
      <c r="X1011" s="497"/>
      <c r="Y1011" s="497"/>
      <c r="Z1011" s="497"/>
      <c r="AA1011" s="497"/>
      <c r="AB1011" s="497"/>
      <c r="AC1011" s="497"/>
      <c r="AD1011" s="497"/>
      <c r="AE1011" s="497"/>
      <c r="AF1011" s="497"/>
      <c r="AG1011" s="497"/>
      <c r="AH1011" s="497"/>
      <c r="AI1011" s="497"/>
      <c r="AJ1011" s="497"/>
      <c r="AK1011" s="497"/>
      <c r="AL1011" s="497"/>
      <c r="AM1011" s="497"/>
      <c r="AN1011" s="497"/>
      <c r="AO1011" s="497"/>
      <c r="AP1011" s="497"/>
      <c r="AQ1011" s="497"/>
      <c r="AR1011" s="497"/>
      <c r="AS1011" s="497"/>
      <c r="AT1011" s="497"/>
      <c r="AU1011" s="497"/>
      <c r="AV1011" s="497"/>
      <c r="AW1011" s="497"/>
      <c r="AX1011" s="497"/>
      <c r="AY1011" s="497"/>
      <c r="AZ1011" s="497"/>
      <c r="BA1011" s="497"/>
      <c r="BB1011" s="497"/>
      <c r="BC1011" s="497"/>
      <c r="BD1011" s="497"/>
      <c r="BE1011" s="497"/>
      <c r="BF1011" s="497"/>
      <c r="BG1011" s="497"/>
      <c r="BH1011" s="497"/>
      <c r="BI1011" s="497"/>
      <c r="BJ1011" s="497"/>
      <c r="BK1011" s="497"/>
      <c r="BL1011" s="497"/>
      <c r="BM1011" s="497"/>
      <c r="BN1011" s="497"/>
      <c r="BO1011" s="497"/>
      <c r="BP1011" s="497"/>
      <c r="BQ1011" s="497"/>
      <c r="BR1011" s="497"/>
      <c r="BS1011" s="497"/>
      <c r="BT1011" s="497"/>
      <c r="BU1011" s="497"/>
      <c r="BV1011" s="497"/>
      <c r="BW1011" s="497"/>
      <c r="BX1011" s="497"/>
      <c r="BY1011" s="497"/>
      <c r="BZ1011" s="497"/>
      <c r="CA1011" s="497"/>
      <c r="CB1011" s="497"/>
      <c r="CC1011" s="497"/>
      <c r="CD1011" s="497"/>
      <c r="CE1011" s="497"/>
      <c r="CF1011" s="497"/>
      <c r="CG1011" s="497"/>
      <c r="CH1011" s="497"/>
    </row>
    <row r="1012" spans="1:86" s="335" customFormat="1">
      <c r="A1012" s="517"/>
      <c r="B1012" s="517"/>
      <c r="C1012" s="517"/>
      <c r="D1012" s="517"/>
      <c r="E1012" s="517"/>
      <c r="F1012" s="517"/>
      <c r="G1012" s="517"/>
      <c r="H1012" s="639"/>
      <c r="I1012" s="639"/>
      <c r="J1012" s="336"/>
      <c r="K1012" s="2056"/>
      <c r="L1012" s="337"/>
      <c r="N1012" s="2057"/>
      <c r="O1012" s="337"/>
      <c r="P1012" s="337"/>
      <c r="Q1012" s="337"/>
      <c r="R1012" s="337"/>
      <c r="S1012" s="337"/>
      <c r="T1012" s="337"/>
      <c r="U1012" s="497"/>
      <c r="V1012" s="497"/>
      <c r="W1012" s="497"/>
      <c r="X1012" s="497"/>
      <c r="Y1012" s="497"/>
      <c r="Z1012" s="497"/>
      <c r="AA1012" s="497"/>
      <c r="AB1012" s="497"/>
      <c r="AC1012" s="497"/>
      <c r="AD1012" s="497"/>
      <c r="AE1012" s="497"/>
      <c r="AF1012" s="497"/>
      <c r="AG1012" s="497"/>
      <c r="AH1012" s="497"/>
      <c r="AI1012" s="497"/>
      <c r="AJ1012" s="497"/>
      <c r="AK1012" s="497"/>
      <c r="AL1012" s="497"/>
      <c r="AM1012" s="497"/>
      <c r="AN1012" s="497"/>
      <c r="AO1012" s="497"/>
      <c r="AP1012" s="497"/>
      <c r="AQ1012" s="497"/>
      <c r="AR1012" s="497"/>
      <c r="AS1012" s="497"/>
      <c r="AT1012" s="497"/>
      <c r="AU1012" s="497"/>
      <c r="AV1012" s="497"/>
      <c r="AW1012" s="497"/>
      <c r="AX1012" s="497"/>
      <c r="AY1012" s="497"/>
      <c r="AZ1012" s="497"/>
      <c r="BA1012" s="497"/>
      <c r="BB1012" s="497"/>
      <c r="BC1012" s="497"/>
      <c r="BD1012" s="497"/>
      <c r="BE1012" s="497"/>
      <c r="BF1012" s="497"/>
      <c r="BG1012" s="497"/>
      <c r="BH1012" s="497"/>
      <c r="BI1012" s="497"/>
      <c r="BJ1012" s="497"/>
      <c r="BK1012" s="497"/>
      <c r="BL1012" s="497"/>
      <c r="BM1012" s="497"/>
      <c r="BN1012" s="497"/>
      <c r="BO1012" s="497"/>
      <c r="BP1012" s="497"/>
      <c r="BQ1012" s="497"/>
      <c r="BR1012" s="497"/>
      <c r="BS1012" s="497"/>
      <c r="BT1012" s="497"/>
      <c r="BU1012" s="497"/>
      <c r="BV1012" s="497"/>
      <c r="BW1012" s="497"/>
      <c r="BX1012" s="497"/>
      <c r="BY1012" s="497"/>
      <c r="BZ1012" s="497"/>
      <c r="CA1012" s="497"/>
      <c r="CB1012" s="497"/>
      <c r="CC1012" s="497"/>
      <c r="CD1012" s="497"/>
      <c r="CE1012" s="497"/>
      <c r="CF1012" s="497"/>
      <c r="CG1012" s="497"/>
      <c r="CH1012" s="497"/>
    </row>
    <row r="1013" spans="1:86" s="335" customFormat="1">
      <c r="A1013" s="517"/>
      <c r="B1013" s="517"/>
      <c r="C1013" s="517"/>
      <c r="D1013" s="517"/>
      <c r="E1013" s="517"/>
      <c r="F1013" s="517"/>
      <c r="G1013" s="517"/>
      <c r="H1013" s="639"/>
      <c r="I1013" s="639"/>
      <c r="J1013" s="336"/>
      <c r="K1013" s="2056"/>
      <c r="L1013" s="337"/>
      <c r="N1013" s="2057"/>
      <c r="O1013" s="337"/>
      <c r="P1013" s="337"/>
      <c r="Q1013" s="337"/>
      <c r="R1013" s="337"/>
      <c r="S1013" s="337"/>
      <c r="T1013" s="337"/>
      <c r="U1013" s="497"/>
      <c r="V1013" s="497"/>
      <c r="W1013" s="497"/>
      <c r="X1013" s="497"/>
      <c r="Y1013" s="497"/>
      <c r="Z1013" s="497"/>
      <c r="AA1013" s="497"/>
      <c r="AB1013" s="497"/>
      <c r="AC1013" s="497"/>
      <c r="AD1013" s="497"/>
      <c r="AE1013" s="497"/>
      <c r="AF1013" s="497"/>
      <c r="AG1013" s="497"/>
      <c r="AH1013" s="497"/>
      <c r="AI1013" s="497"/>
      <c r="AJ1013" s="497"/>
      <c r="AK1013" s="497"/>
      <c r="AL1013" s="497"/>
      <c r="AM1013" s="497"/>
      <c r="AN1013" s="497"/>
      <c r="AO1013" s="497"/>
      <c r="AP1013" s="497"/>
      <c r="AQ1013" s="497"/>
      <c r="AR1013" s="497"/>
      <c r="AS1013" s="497"/>
      <c r="AT1013" s="497"/>
      <c r="AU1013" s="497"/>
      <c r="AV1013" s="497"/>
      <c r="AW1013" s="497"/>
      <c r="AX1013" s="497"/>
      <c r="AY1013" s="497"/>
      <c r="AZ1013" s="497"/>
      <c r="BA1013" s="497"/>
      <c r="BB1013" s="497"/>
      <c r="BC1013" s="497"/>
      <c r="BD1013" s="497"/>
      <c r="BE1013" s="497"/>
      <c r="BF1013" s="497"/>
      <c r="BG1013" s="497"/>
      <c r="BH1013" s="497"/>
      <c r="BI1013" s="497"/>
      <c r="BJ1013" s="497"/>
      <c r="BK1013" s="497"/>
      <c r="BL1013" s="497"/>
      <c r="BM1013" s="497"/>
      <c r="BN1013" s="497"/>
      <c r="BO1013" s="497"/>
      <c r="BP1013" s="497"/>
      <c r="BQ1013" s="497"/>
      <c r="BR1013" s="497"/>
      <c r="BS1013" s="497"/>
      <c r="BT1013" s="497"/>
      <c r="BU1013" s="497"/>
      <c r="BV1013" s="497"/>
      <c r="BW1013" s="497"/>
      <c r="BX1013" s="497"/>
      <c r="BY1013" s="497"/>
      <c r="BZ1013" s="497"/>
      <c r="CA1013" s="497"/>
      <c r="CB1013" s="497"/>
      <c r="CC1013" s="497"/>
      <c r="CD1013" s="497"/>
      <c r="CE1013" s="497"/>
      <c r="CF1013" s="497"/>
      <c r="CG1013" s="497"/>
      <c r="CH1013" s="497"/>
    </row>
    <row r="1014" spans="1:86" s="335" customFormat="1">
      <c r="A1014" s="517"/>
      <c r="B1014" s="517"/>
      <c r="C1014" s="517"/>
      <c r="D1014" s="517"/>
      <c r="E1014" s="517"/>
      <c r="F1014" s="517"/>
      <c r="G1014" s="517"/>
      <c r="H1014" s="639"/>
      <c r="I1014" s="639"/>
      <c r="J1014" s="336"/>
      <c r="K1014" s="2056"/>
      <c r="L1014" s="337"/>
      <c r="N1014" s="2057"/>
      <c r="O1014" s="337"/>
      <c r="P1014" s="337"/>
      <c r="Q1014" s="337"/>
      <c r="R1014" s="337"/>
      <c r="S1014" s="337"/>
      <c r="T1014" s="337"/>
      <c r="U1014" s="497"/>
      <c r="V1014" s="497"/>
      <c r="W1014" s="497"/>
      <c r="X1014" s="497"/>
      <c r="Y1014" s="497"/>
      <c r="Z1014" s="497"/>
      <c r="AA1014" s="497"/>
      <c r="AB1014" s="497"/>
      <c r="AC1014" s="497"/>
      <c r="AD1014" s="497"/>
      <c r="AE1014" s="497"/>
      <c r="AF1014" s="497"/>
      <c r="AG1014" s="497"/>
      <c r="AH1014" s="497"/>
      <c r="AI1014" s="497"/>
      <c r="AJ1014" s="497"/>
      <c r="AK1014" s="497"/>
      <c r="AL1014" s="497"/>
      <c r="AM1014" s="497"/>
      <c r="AN1014" s="497"/>
      <c r="AO1014" s="497"/>
      <c r="AP1014" s="497"/>
      <c r="AQ1014" s="497"/>
      <c r="AR1014" s="497"/>
      <c r="AS1014" s="497"/>
      <c r="AT1014" s="497"/>
      <c r="AU1014" s="497"/>
      <c r="AV1014" s="497"/>
      <c r="AW1014" s="497"/>
      <c r="AX1014" s="497"/>
      <c r="AY1014" s="497"/>
      <c r="AZ1014" s="497"/>
      <c r="BA1014" s="497"/>
      <c r="BB1014" s="497"/>
      <c r="BC1014" s="497"/>
      <c r="BD1014" s="497"/>
      <c r="BE1014" s="497"/>
      <c r="BF1014" s="497"/>
      <c r="BG1014" s="497"/>
      <c r="BH1014" s="497"/>
      <c r="BI1014" s="497"/>
      <c r="BJ1014" s="497"/>
      <c r="BK1014" s="497"/>
      <c r="BL1014" s="497"/>
      <c r="BM1014" s="497"/>
      <c r="BN1014" s="497"/>
      <c r="BO1014" s="497"/>
      <c r="BP1014" s="497"/>
      <c r="BQ1014" s="497"/>
      <c r="BR1014" s="497"/>
      <c r="BS1014" s="497"/>
      <c r="BT1014" s="497"/>
      <c r="BU1014" s="497"/>
      <c r="BV1014" s="497"/>
      <c r="BW1014" s="497"/>
      <c r="BX1014" s="497"/>
      <c r="BY1014" s="497"/>
      <c r="BZ1014" s="497"/>
      <c r="CA1014" s="497"/>
      <c r="CB1014" s="497"/>
      <c r="CC1014" s="497"/>
      <c r="CD1014" s="497"/>
      <c r="CE1014" s="497"/>
      <c r="CF1014" s="497"/>
      <c r="CG1014" s="497"/>
      <c r="CH1014" s="497"/>
    </row>
    <row r="1015" spans="1:86" s="335" customFormat="1">
      <c r="A1015" s="517"/>
      <c r="B1015" s="517"/>
      <c r="C1015" s="517"/>
      <c r="D1015" s="517"/>
      <c r="E1015" s="517"/>
      <c r="F1015" s="517"/>
      <c r="G1015" s="517"/>
      <c r="H1015" s="639"/>
      <c r="I1015" s="639"/>
      <c r="J1015" s="336"/>
      <c r="K1015" s="2056"/>
      <c r="L1015" s="337"/>
      <c r="N1015" s="2057"/>
      <c r="O1015" s="337"/>
      <c r="P1015" s="337"/>
      <c r="Q1015" s="337"/>
      <c r="R1015" s="337"/>
      <c r="S1015" s="337"/>
      <c r="T1015" s="337"/>
      <c r="U1015" s="497"/>
      <c r="V1015" s="497"/>
      <c r="W1015" s="497"/>
      <c r="X1015" s="497"/>
      <c r="Y1015" s="497"/>
      <c r="Z1015" s="497"/>
      <c r="AA1015" s="497"/>
      <c r="AB1015" s="497"/>
      <c r="AC1015" s="497"/>
      <c r="AD1015" s="497"/>
      <c r="AE1015" s="497"/>
      <c r="AF1015" s="497"/>
      <c r="AG1015" s="497"/>
      <c r="AH1015" s="497"/>
      <c r="AI1015" s="497"/>
      <c r="AJ1015" s="497"/>
      <c r="AK1015" s="497"/>
      <c r="AL1015" s="497"/>
      <c r="AM1015" s="497"/>
      <c r="AN1015" s="497"/>
      <c r="AO1015" s="497"/>
      <c r="AP1015" s="497"/>
      <c r="AQ1015" s="497"/>
      <c r="AR1015" s="497"/>
      <c r="AS1015" s="497"/>
      <c r="AT1015" s="497"/>
      <c r="AU1015" s="497"/>
      <c r="AV1015" s="497"/>
      <c r="AW1015" s="497"/>
      <c r="AX1015" s="497"/>
      <c r="AY1015" s="497"/>
      <c r="AZ1015" s="497"/>
      <c r="BA1015" s="497"/>
      <c r="BB1015" s="497"/>
      <c r="BC1015" s="497"/>
      <c r="BD1015" s="497"/>
      <c r="BE1015" s="497"/>
      <c r="BF1015" s="497"/>
      <c r="BG1015" s="497"/>
      <c r="BH1015" s="497"/>
      <c r="BI1015" s="497"/>
      <c r="BJ1015" s="497"/>
      <c r="BK1015" s="497"/>
      <c r="BL1015" s="497"/>
      <c r="BM1015" s="497"/>
      <c r="BN1015" s="497"/>
      <c r="BO1015" s="497"/>
      <c r="BP1015" s="497"/>
      <c r="BQ1015" s="497"/>
      <c r="BR1015" s="497"/>
      <c r="BS1015" s="497"/>
      <c r="BT1015" s="497"/>
      <c r="BU1015" s="497"/>
      <c r="BV1015" s="497"/>
      <c r="BW1015" s="497"/>
      <c r="BX1015" s="497"/>
      <c r="BY1015" s="497"/>
      <c r="BZ1015" s="497"/>
      <c r="CA1015" s="497"/>
      <c r="CB1015" s="497"/>
      <c r="CC1015" s="497"/>
      <c r="CD1015" s="497"/>
      <c r="CE1015" s="497"/>
      <c r="CF1015" s="497"/>
      <c r="CG1015" s="497"/>
      <c r="CH1015" s="497"/>
    </row>
    <row r="1016" spans="1:86" s="335" customFormat="1">
      <c r="A1016" s="517"/>
      <c r="B1016" s="517"/>
      <c r="C1016" s="517"/>
      <c r="D1016" s="517"/>
      <c r="E1016" s="517"/>
      <c r="F1016" s="517"/>
      <c r="G1016" s="517"/>
      <c r="H1016" s="639"/>
      <c r="I1016" s="639"/>
      <c r="J1016" s="336"/>
      <c r="K1016" s="2056"/>
      <c r="L1016" s="337"/>
      <c r="N1016" s="2057"/>
      <c r="O1016" s="337"/>
      <c r="P1016" s="337"/>
      <c r="Q1016" s="337"/>
      <c r="R1016" s="337"/>
      <c r="S1016" s="337"/>
      <c r="T1016" s="337"/>
      <c r="U1016" s="497"/>
      <c r="V1016" s="497"/>
      <c r="W1016" s="497"/>
      <c r="X1016" s="497"/>
      <c r="Y1016" s="497"/>
      <c r="Z1016" s="497"/>
      <c r="AA1016" s="497"/>
      <c r="AB1016" s="497"/>
      <c r="AC1016" s="497"/>
      <c r="AD1016" s="497"/>
      <c r="AE1016" s="497"/>
      <c r="AF1016" s="497"/>
      <c r="AG1016" s="497"/>
      <c r="AH1016" s="497"/>
      <c r="AI1016" s="497"/>
      <c r="AJ1016" s="497"/>
      <c r="AK1016" s="497"/>
      <c r="AL1016" s="497"/>
      <c r="AM1016" s="497"/>
      <c r="AN1016" s="497"/>
      <c r="AO1016" s="497"/>
      <c r="AP1016" s="497"/>
      <c r="AQ1016" s="497"/>
      <c r="AR1016" s="497"/>
      <c r="AS1016" s="497"/>
      <c r="AT1016" s="497"/>
      <c r="AU1016" s="497"/>
      <c r="AV1016" s="497"/>
      <c r="AW1016" s="497"/>
      <c r="AX1016" s="497"/>
      <c r="AY1016" s="497"/>
      <c r="AZ1016" s="497"/>
      <c r="BA1016" s="497"/>
      <c r="BB1016" s="497"/>
      <c r="BC1016" s="497"/>
      <c r="BD1016" s="497"/>
      <c r="BE1016" s="497"/>
      <c r="BF1016" s="497"/>
      <c r="BG1016" s="497"/>
      <c r="BH1016" s="497"/>
      <c r="BI1016" s="497"/>
      <c r="BJ1016" s="497"/>
      <c r="BK1016" s="497"/>
      <c r="BL1016" s="497"/>
      <c r="BM1016" s="497"/>
      <c r="BN1016" s="497"/>
      <c r="BO1016" s="497"/>
      <c r="BP1016" s="497"/>
      <c r="BQ1016" s="497"/>
      <c r="BR1016" s="497"/>
      <c r="BS1016" s="497"/>
      <c r="BT1016" s="497"/>
      <c r="BU1016" s="497"/>
      <c r="BV1016" s="497"/>
      <c r="BW1016" s="497"/>
      <c r="BX1016" s="497"/>
      <c r="BY1016" s="497"/>
      <c r="BZ1016" s="497"/>
      <c r="CA1016" s="497"/>
      <c r="CB1016" s="497"/>
      <c r="CC1016" s="497"/>
      <c r="CD1016" s="497"/>
      <c r="CE1016" s="497"/>
      <c r="CF1016" s="497"/>
      <c r="CG1016" s="497"/>
      <c r="CH1016" s="497"/>
    </row>
    <row r="1017" spans="1:86" s="335" customFormat="1">
      <c r="A1017" s="517"/>
      <c r="B1017" s="517"/>
      <c r="C1017" s="517"/>
      <c r="D1017" s="517"/>
      <c r="E1017" s="517"/>
      <c r="F1017" s="517"/>
      <c r="G1017" s="517"/>
      <c r="H1017" s="639"/>
      <c r="I1017" s="639"/>
      <c r="J1017" s="336"/>
      <c r="K1017" s="2056"/>
      <c r="L1017" s="337"/>
      <c r="N1017" s="2057"/>
      <c r="O1017" s="337"/>
      <c r="P1017" s="337"/>
      <c r="Q1017" s="337"/>
      <c r="R1017" s="337"/>
      <c r="S1017" s="337"/>
      <c r="T1017" s="337"/>
      <c r="U1017" s="497"/>
      <c r="V1017" s="497"/>
      <c r="W1017" s="497"/>
      <c r="X1017" s="497"/>
      <c r="Y1017" s="497"/>
      <c r="Z1017" s="497"/>
      <c r="AA1017" s="497"/>
      <c r="AB1017" s="497"/>
      <c r="AC1017" s="497"/>
      <c r="AD1017" s="497"/>
      <c r="AE1017" s="497"/>
      <c r="AF1017" s="497"/>
      <c r="AG1017" s="497"/>
      <c r="AH1017" s="497"/>
      <c r="AI1017" s="497"/>
      <c r="AJ1017" s="497"/>
      <c r="AK1017" s="497"/>
      <c r="AL1017" s="497"/>
      <c r="AM1017" s="497"/>
      <c r="AN1017" s="497"/>
      <c r="AO1017" s="497"/>
      <c r="AP1017" s="497"/>
      <c r="AQ1017" s="497"/>
      <c r="AR1017" s="497"/>
      <c r="AS1017" s="497"/>
      <c r="AT1017" s="497"/>
      <c r="AU1017" s="497"/>
      <c r="AV1017" s="497"/>
      <c r="AW1017" s="497"/>
      <c r="AX1017" s="497"/>
      <c r="AY1017" s="497"/>
      <c r="AZ1017" s="497"/>
      <c r="BA1017" s="497"/>
      <c r="BB1017" s="497"/>
      <c r="BC1017" s="497"/>
      <c r="BD1017" s="497"/>
      <c r="BE1017" s="497"/>
      <c r="BF1017" s="497"/>
      <c r="BG1017" s="497"/>
      <c r="BH1017" s="497"/>
      <c r="BI1017" s="497"/>
      <c r="BJ1017" s="497"/>
      <c r="BK1017" s="497"/>
      <c r="BL1017" s="497"/>
      <c r="BM1017" s="497"/>
      <c r="BN1017" s="497"/>
      <c r="BO1017" s="497"/>
      <c r="BP1017" s="497"/>
      <c r="BQ1017" s="497"/>
      <c r="BR1017" s="497"/>
      <c r="BS1017" s="497"/>
      <c r="BT1017" s="497"/>
      <c r="BU1017" s="497"/>
      <c r="BV1017" s="497"/>
      <c r="BW1017" s="497"/>
      <c r="BX1017" s="497"/>
      <c r="BY1017" s="497"/>
      <c r="BZ1017" s="497"/>
      <c r="CA1017" s="497"/>
      <c r="CB1017" s="497"/>
      <c r="CC1017" s="497"/>
      <c r="CD1017" s="497"/>
      <c r="CE1017" s="497"/>
      <c r="CF1017" s="497"/>
      <c r="CG1017" s="497"/>
      <c r="CH1017" s="497"/>
    </row>
    <row r="1018" spans="1:86" s="335" customFormat="1">
      <c r="A1018" s="517"/>
      <c r="B1018" s="517"/>
      <c r="C1018" s="517"/>
      <c r="D1018" s="517"/>
      <c r="E1018" s="517"/>
      <c r="F1018" s="517"/>
      <c r="G1018" s="517"/>
      <c r="H1018" s="639"/>
      <c r="I1018" s="639"/>
      <c r="J1018" s="336"/>
      <c r="K1018" s="2056"/>
      <c r="L1018" s="337"/>
      <c r="N1018" s="2057"/>
      <c r="O1018" s="337"/>
      <c r="P1018" s="337"/>
      <c r="Q1018" s="337"/>
      <c r="R1018" s="337"/>
      <c r="S1018" s="337"/>
      <c r="T1018" s="337"/>
      <c r="U1018" s="497"/>
      <c r="V1018" s="497"/>
      <c r="W1018" s="497"/>
      <c r="X1018" s="497"/>
      <c r="Y1018" s="497"/>
      <c r="Z1018" s="497"/>
      <c r="AA1018" s="497"/>
      <c r="AB1018" s="497"/>
      <c r="AC1018" s="497"/>
      <c r="AD1018" s="497"/>
      <c r="AE1018" s="497"/>
      <c r="AF1018" s="497"/>
      <c r="AG1018" s="497"/>
      <c r="AH1018" s="497"/>
      <c r="AI1018" s="497"/>
      <c r="AJ1018" s="497"/>
      <c r="AK1018" s="497"/>
      <c r="AL1018" s="497"/>
      <c r="AM1018" s="497"/>
      <c r="AN1018" s="497"/>
      <c r="AO1018" s="497"/>
      <c r="AP1018" s="497"/>
      <c r="AQ1018" s="497"/>
      <c r="AR1018" s="497"/>
      <c r="AS1018" s="497"/>
      <c r="AT1018" s="497"/>
      <c r="AU1018" s="497"/>
      <c r="AV1018" s="497"/>
      <c r="AW1018" s="497"/>
      <c r="AX1018" s="497"/>
      <c r="AY1018" s="497"/>
      <c r="AZ1018" s="497"/>
      <c r="BA1018" s="497"/>
      <c r="BB1018" s="497"/>
      <c r="BC1018" s="497"/>
      <c r="BD1018" s="497"/>
      <c r="BE1018" s="497"/>
      <c r="BF1018" s="497"/>
      <c r="BG1018" s="497"/>
      <c r="BH1018" s="497"/>
      <c r="BI1018" s="497"/>
      <c r="BJ1018" s="497"/>
      <c r="BK1018" s="497"/>
      <c r="BL1018" s="497"/>
      <c r="BM1018" s="497"/>
      <c r="BN1018" s="497"/>
      <c r="BO1018" s="497"/>
      <c r="BP1018" s="497"/>
      <c r="BQ1018" s="497"/>
      <c r="BR1018" s="497"/>
      <c r="BS1018" s="497"/>
      <c r="BT1018" s="497"/>
      <c r="BU1018" s="497"/>
      <c r="BV1018" s="497"/>
      <c r="BW1018" s="497"/>
      <c r="BX1018" s="497"/>
      <c r="BY1018" s="497"/>
      <c r="BZ1018" s="497"/>
      <c r="CA1018" s="497"/>
      <c r="CB1018" s="497"/>
      <c r="CC1018" s="497"/>
      <c r="CD1018" s="497"/>
      <c r="CE1018" s="497"/>
      <c r="CF1018" s="497"/>
      <c r="CG1018" s="497"/>
      <c r="CH1018" s="497"/>
    </row>
    <row r="1019" spans="1:86" s="335" customFormat="1">
      <c r="A1019" s="517"/>
      <c r="B1019" s="517"/>
      <c r="C1019" s="517"/>
      <c r="D1019" s="517"/>
      <c r="E1019" s="517"/>
      <c r="F1019" s="517"/>
      <c r="G1019" s="517"/>
      <c r="H1019" s="639"/>
      <c r="I1019" s="639"/>
      <c r="J1019" s="336"/>
      <c r="K1019" s="2056"/>
      <c r="L1019" s="337"/>
      <c r="N1019" s="2057"/>
      <c r="O1019" s="337"/>
      <c r="P1019" s="337"/>
      <c r="Q1019" s="337"/>
      <c r="R1019" s="337"/>
      <c r="S1019" s="337"/>
      <c r="T1019" s="337"/>
      <c r="U1019" s="497"/>
      <c r="V1019" s="497"/>
      <c r="W1019" s="497"/>
      <c r="X1019" s="497"/>
      <c r="Y1019" s="497"/>
      <c r="Z1019" s="497"/>
      <c r="AA1019" s="497"/>
      <c r="AB1019" s="497"/>
      <c r="AC1019" s="497"/>
      <c r="AD1019" s="497"/>
      <c r="AE1019" s="497"/>
      <c r="AF1019" s="497"/>
      <c r="AG1019" s="497"/>
      <c r="AH1019" s="497"/>
      <c r="AI1019" s="497"/>
      <c r="AJ1019" s="497"/>
      <c r="AK1019" s="497"/>
      <c r="AL1019" s="497"/>
      <c r="AM1019" s="497"/>
      <c r="AN1019" s="497"/>
      <c r="AO1019" s="497"/>
      <c r="AP1019" s="497"/>
      <c r="AQ1019" s="497"/>
      <c r="AR1019" s="497"/>
      <c r="AS1019" s="497"/>
      <c r="AT1019" s="497"/>
      <c r="AU1019" s="497"/>
      <c r="AV1019" s="497"/>
      <c r="AW1019" s="497"/>
      <c r="AX1019" s="497"/>
      <c r="AY1019" s="497"/>
      <c r="AZ1019" s="497"/>
      <c r="BA1019" s="497"/>
      <c r="BB1019" s="497"/>
      <c r="BC1019" s="497"/>
      <c r="BD1019" s="497"/>
      <c r="BE1019" s="497"/>
      <c r="BF1019" s="497"/>
      <c r="BG1019" s="497"/>
      <c r="BH1019" s="497"/>
      <c r="BI1019" s="497"/>
      <c r="BJ1019" s="497"/>
      <c r="BK1019" s="497"/>
      <c r="BL1019" s="497"/>
      <c r="BM1019" s="497"/>
      <c r="BN1019" s="497"/>
      <c r="BO1019" s="497"/>
      <c r="BP1019" s="497"/>
      <c r="BQ1019" s="497"/>
      <c r="BR1019" s="497"/>
      <c r="BS1019" s="497"/>
      <c r="BT1019" s="497"/>
      <c r="BU1019" s="497"/>
      <c r="BV1019" s="497"/>
      <c r="BW1019" s="497"/>
      <c r="BX1019" s="497"/>
      <c r="BY1019" s="497"/>
      <c r="BZ1019" s="497"/>
      <c r="CA1019" s="497"/>
      <c r="CB1019" s="497"/>
      <c r="CC1019" s="497"/>
      <c r="CD1019" s="497"/>
      <c r="CE1019" s="497"/>
      <c r="CF1019" s="497"/>
      <c r="CG1019" s="497"/>
      <c r="CH1019" s="497"/>
    </row>
    <row r="1020" spans="1:86" s="335" customFormat="1">
      <c r="A1020" s="517"/>
      <c r="B1020" s="517"/>
      <c r="C1020" s="517"/>
      <c r="D1020" s="517"/>
      <c r="E1020" s="517"/>
      <c r="F1020" s="517"/>
      <c r="G1020" s="517"/>
      <c r="H1020" s="639"/>
      <c r="I1020" s="639"/>
      <c r="J1020" s="336"/>
      <c r="K1020" s="2056"/>
      <c r="L1020" s="337"/>
      <c r="N1020" s="2057"/>
      <c r="O1020" s="337"/>
      <c r="P1020" s="337"/>
      <c r="Q1020" s="337"/>
      <c r="R1020" s="337"/>
      <c r="S1020" s="337"/>
      <c r="T1020" s="337"/>
      <c r="U1020" s="497"/>
      <c r="V1020" s="497"/>
      <c r="W1020" s="497"/>
      <c r="X1020" s="497"/>
      <c r="Y1020" s="497"/>
      <c r="Z1020" s="497"/>
      <c r="AA1020" s="497"/>
      <c r="AB1020" s="497"/>
      <c r="AC1020" s="497"/>
      <c r="AD1020" s="497"/>
      <c r="AE1020" s="497"/>
      <c r="AF1020" s="497"/>
      <c r="AG1020" s="497"/>
      <c r="AH1020" s="497"/>
      <c r="AI1020" s="497"/>
      <c r="AJ1020" s="497"/>
      <c r="AK1020" s="497"/>
      <c r="AL1020" s="497"/>
      <c r="AM1020" s="497"/>
      <c r="AN1020" s="497"/>
      <c r="AO1020" s="497"/>
      <c r="AP1020" s="497"/>
      <c r="AQ1020" s="497"/>
      <c r="AR1020" s="497"/>
      <c r="AS1020" s="497"/>
      <c r="AT1020" s="497"/>
      <c r="AU1020" s="497"/>
      <c r="AV1020" s="497"/>
      <c r="AW1020" s="497"/>
      <c r="AX1020" s="497"/>
      <c r="AY1020" s="497"/>
      <c r="AZ1020" s="497"/>
      <c r="BA1020" s="497"/>
      <c r="BB1020" s="497"/>
      <c r="BC1020" s="497"/>
      <c r="BD1020" s="497"/>
      <c r="BE1020" s="497"/>
      <c r="BF1020" s="497"/>
      <c r="BG1020" s="497"/>
      <c r="BH1020" s="497"/>
      <c r="BI1020" s="497"/>
      <c r="BJ1020" s="497"/>
      <c r="BK1020" s="497"/>
      <c r="BL1020" s="497"/>
      <c r="BM1020" s="497"/>
      <c r="BN1020" s="497"/>
      <c r="BO1020" s="497"/>
      <c r="BP1020" s="497"/>
      <c r="BQ1020" s="497"/>
      <c r="BR1020" s="497"/>
      <c r="BS1020" s="497"/>
      <c r="BT1020" s="497"/>
      <c r="BU1020" s="497"/>
      <c r="BV1020" s="497"/>
      <c r="BW1020" s="497"/>
      <c r="BX1020" s="497"/>
      <c r="BY1020" s="497"/>
      <c r="BZ1020" s="497"/>
      <c r="CA1020" s="497"/>
      <c r="CB1020" s="497"/>
      <c r="CC1020" s="497"/>
      <c r="CD1020" s="497"/>
      <c r="CE1020" s="497"/>
      <c r="CF1020" s="497"/>
      <c r="CG1020" s="497"/>
      <c r="CH1020" s="497"/>
    </row>
    <row r="1021" spans="1:86" s="335" customFormat="1">
      <c r="A1021" s="517"/>
      <c r="B1021" s="517"/>
      <c r="C1021" s="517"/>
      <c r="D1021" s="517"/>
      <c r="E1021" s="517"/>
      <c r="F1021" s="517"/>
      <c r="G1021" s="517"/>
      <c r="H1021" s="639"/>
      <c r="I1021" s="639"/>
      <c r="J1021" s="336"/>
      <c r="K1021" s="2056"/>
      <c r="L1021" s="337"/>
      <c r="N1021" s="2057"/>
      <c r="O1021" s="337"/>
      <c r="P1021" s="337"/>
      <c r="Q1021" s="337"/>
      <c r="R1021" s="337"/>
      <c r="S1021" s="337"/>
      <c r="T1021" s="337"/>
      <c r="U1021" s="497"/>
      <c r="V1021" s="497"/>
      <c r="W1021" s="497"/>
      <c r="X1021" s="497"/>
      <c r="Y1021" s="497"/>
      <c r="Z1021" s="497"/>
      <c r="AA1021" s="497"/>
      <c r="AB1021" s="497"/>
      <c r="AC1021" s="497"/>
      <c r="AD1021" s="497"/>
      <c r="AE1021" s="497"/>
      <c r="AF1021" s="497"/>
      <c r="AG1021" s="497"/>
      <c r="AH1021" s="497"/>
      <c r="AI1021" s="497"/>
      <c r="AJ1021" s="497"/>
      <c r="AK1021" s="497"/>
      <c r="AL1021" s="497"/>
      <c r="AM1021" s="497"/>
      <c r="AN1021" s="497"/>
      <c r="AO1021" s="497"/>
      <c r="AP1021" s="497"/>
      <c r="AQ1021" s="497"/>
      <c r="AR1021" s="497"/>
      <c r="AS1021" s="497"/>
      <c r="AT1021" s="497"/>
      <c r="AU1021" s="497"/>
      <c r="AV1021" s="497"/>
      <c r="AW1021" s="497"/>
      <c r="AX1021" s="497"/>
      <c r="AY1021" s="497"/>
      <c r="AZ1021" s="497"/>
      <c r="BA1021" s="497"/>
      <c r="BB1021" s="497"/>
      <c r="BC1021" s="497"/>
      <c r="BD1021" s="497"/>
      <c r="BE1021" s="497"/>
      <c r="BF1021" s="497"/>
      <c r="BG1021" s="497"/>
      <c r="BH1021" s="497"/>
      <c r="BI1021" s="497"/>
      <c r="BJ1021" s="497"/>
      <c r="BK1021" s="497"/>
      <c r="BL1021" s="497"/>
      <c r="BM1021" s="497"/>
      <c r="BN1021" s="497"/>
      <c r="BO1021" s="497"/>
      <c r="BP1021" s="497"/>
      <c r="BQ1021" s="497"/>
      <c r="BR1021" s="497"/>
      <c r="BS1021" s="497"/>
      <c r="BT1021" s="497"/>
      <c r="BU1021" s="497"/>
      <c r="BV1021" s="497"/>
      <c r="BW1021" s="497"/>
      <c r="BX1021" s="497"/>
      <c r="BY1021" s="497"/>
      <c r="BZ1021" s="497"/>
      <c r="CA1021" s="497"/>
      <c r="CB1021" s="497"/>
      <c r="CC1021" s="497"/>
      <c r="CD1021" s="497"/>
      <c r="CE1021" s="497"/>
      <c r="CF1021" s="497"/>
      <c r="CG1021" s="497"/>
      <c r="CH1021" s="497"/>
    </row>
    <row r="1022" spans="1:86" s="335" customFormat="1">
      <c r="A1022" s="517"/>
      <c r="B1022" s="517"/>
      <c r="C1022" s="517"/>
      <c r="D1022" s="517"/>
      <c r="E1022" s="517"/>
      <c r="F1022" s="517"/>
      <c r="G1022" s="517"/>
      <c r="H1022" s="639"/>
      <c r="I1022" s="639"/>
      <c r="J1022" s="336"/>
      <c r="K1022" s="2056"/>
      <c r="L1022" s="337"/>
      <c r="N1022" s="2057"/>
      <c r="O1022" s="337"/>
      <c r="P1022" s="337"/>
      <c r="Q1022" s="337"/>
      <c r="R1022" s="337"/>
      <c r="S1022" s="337"/>
      <c r="T1022" s="337"/>
      <c r="U1022" s="497"/>
      <c r="V1022" s="497"/>
      <c r="W1022" s="497"/>
      <c r="X1022" s="497"/>
      <c r="Y1022" s="497"/>
      <c r="Z1022" s="497"/>
      <c r="AA1022" s="497"/>
      <c r="AB1022" s="497"/>
      <c r="AC1022" s="497"/>
      <c r="AD1022" s="497"/>
      <c r="AE1022" s="497"/>
      <c r="AF1022" s="497"/>
      <c r="AG1022" s="497"/>
      <c r="AH1022" s="497"/>
      <c r="AI1022" s="497"/>
      <c r="AJ1022" s="497"/>
      <c r="AK1022" s="497"/>
      <c r="AL1022" s="497"/>
      <c r="AM1022" s="497"/>
      <c r="AN1022" s="497"/>
      <c r="AO1022" s="497"/>
      <c r="AP1022" s="497"/>
      <c r="AQ1022" s="497"/>
      <c r="AR1022" s="497"/>
      <c r="AS1022" s="497"/>
      <c r="AT1022" s="497"/>
      <c r="AU1022" s="497"/>
      <c r="AV1022" s="497"/>
      <c r="AW1022" s="497"/>
      <c r="AX1022" s="497"/>
      <c r="AY1022" s="497"/>
      <c r="AZ1022" s="497"/>
      <c r="BA1022" s="497"/>
      <c r="BB1022" s="497"/>
      <c r="BC1022" s="497"/>
      <c r="BD1022" s="497"/>
      <c r="BE1022" s="497"/>
      <c r="BF1022" s="497"/>
      <c r="BG1022" s="497"/>
      <c r="BH1022" s="497"/>
      <c r="BI1022" s="497"/>
      <c r="BJ1022" s="497"/>
      <c r="BK1022" s="497"/>
      <c r="BL1022" s="497"/>
      <c r="BM1022" s="497"/>
      <c r="BN1022" s="497"/>
      <c r="BO1022" s="497"/>
      <c r="BP1022" s="497"/>
      <c r="BQ1022" s="497"/>
      <c r="BR1022" s="497"/>
      <c r="BS1022" s="497"/>
      <c r="BT1022" s="497"/>
      <c r="BU1022" s="497"/>
      <c r="BV1022" s="497"/>
      <c r="BW1022" s="497"/>
      <c r="BX1022" s="497"/>
      <c r="BY1022" s="497"/>
      <c r="BZ1022" s="497"/>
      <c r="CA1022" s="497"/>
      <c r="CB1022" s="497"/>
      <c r="CC1022" s="497"/>
      <c r="CD1022" s="497"/>
      <c r="CE1022" s="497"/>
      <c r="CF1022" s="497"/>
      <c r="CG1022" s="497"/>
      <c r="CH1022" s="497"/>
    </row>
    <row r="1023" spans="1:86" s="335" customFormat="1">
      <c r="A1023" s="517"/>
      <c r="B1023" s="517"/>
      <c r="C1023" s="517"/>
      <c r="D1023" s="517"/>
      <c r="E1023" s="517"/>
      <c r="F1023" s="517"/>
      <c r="G1023" s="517"/>
      <c r="H1023" s="639"/>
      <c r="I1023" s="639"/>
      <c r="J1023" s="336"/>
      <c r="K1023" s="2056"/>
      <c r="L1023" s="337"/>
      <c r="N1023" s="2057"/>
      <c r="O1023" s="337"/>
      <c r="P1023" s="337"/>
      <c r="Q1023" s="337"/>
      <c r="R1023" s="337"/>
      <c r="S1023" s="337"/>
      <c r="T1023" s="337"/>
      <c r="U1023" s="497"/>
      <c r="V1023" s="497"/>
      <c r="W1023" s="497"/>
      <c r="X1023" s="497"/>
      <c r="Y1023" s="497"/>
      <c r="Z1023" s="497"/>
      <c r="AA1023" s="497"/>
      <c r="AB1023" s="497"/>
      <c r="AC1023" s="497"/>
      <c r="AD1023" s="497"/>
      <c r="AE1023" s="497"/>
      <c r="AF1023" s="497"/>
      <c r="AG1023" s="497"/>
      <c r="AH1023" s="497"/>
      <c r="AI1023" s="497"/>
      <c r="AJ1023" s="497"/>
      <c r="AK1023" s="497"/>
      <c r="AL1023" s="497"/>
      <c r="AM1023" s="497"/>
      <c r="AN1023" s="497"/>
      <c r="AO1023" s="497"/>
      <c r="AP1023" s="497"/>
      <c r="AQ1023" s="497"/>
      <c r="AR1023" s="497"/>
      <c r="AS1023" s="497"/>
      <c r="AT1023" s="497"/>
      <c r="AU1023" s="497"/>
      <c r="AV1023" s="497"/>
      <c r="AW1023" s="497"/>
      <c r="AX1023" s="497"/>
      <c r="AY1023" s="497"/>
      <c r="AZ1023" s="497"/>
      <c r="BA1023" s="497"/>
      <c r="BB1023" s="497"/>
      <c r="BC1023" s="497"/>
      <c r="BD1023" s="497"/>
      <c r="BE1023" s="497"/>
      <c r="BF1023" s="497"/>
      <c r="BG1023" s="497"/>
      <c r="BH1023" s="497"/>
      <c r="BI1023" s="497"/>
      <c r="BJ1023" s="497"/>
      <c r="BK1023" s="497"/>
      <c r="BL1023" s="497"/>
      <c r="BM1023" s="497"/>
      <c r="BN1023" s="497"/>
      <c r="BO1023" s="497"/>
      <c r="BP1023" s="497"/>
      <c r="BQ1023" s="497"/>
      <c r="BR1023" s="497"/>
      <c r="BS1023" s="497"/>
      <c r="BT1023" s="497"/>
      <c r="BU1023" s="497"/>
      <c r="BV1023" s="497"/>
      <c r="BW1023" s="497"/>
      <c r="BX1023" s="497"/>
      <c r="BY1023" s="497"/>
      <c r="BZ1023" s="497"/>
      <c r="CA1023" s="497"/>
      <c r="CB1023" s="497"/>
      <c r="CC1023" s="497"/>
      <c r="CD1023" s="497"/>
      <c r="CE1023" s="497"/>
      <c r="CF1023" s="497"/>
      <c r="CG1023" s="497"/>
      <c r="CH1023" s="497"/>
    </row>
    <row r="1024" spans="1:86" s="335" customFormat="1">
      <c r="A1024" s="517"/>
      <c r="B1024" s="517"/>
      <c r="C1024" s="517"/>
      <c r="D1024" s="517"/>
      <c r="E1024" s="517"/>
      <c r="F1024" s="517"/>
      <c r="G1024" s="517"/>
      <c r="H1024" s="639"/>
      <c r="I1024" s="639"/>
      <c r="J1024" s="336"/>
      <c r="K1024" s="2056"/>
      <c r="L1024" s="337"/>
      <c r="N1024" s="2057"/>
      <c r="O1024" s="337"/>
      <c r="P1024" s="337"/>
      <c r="Q1024" s="337"/>
      <c r="R1024" s="337"/>
      <c r="S1024" s="337"/>
      <c r="T1024" s="337"/>
      <c r="U1024" s="497"/>
      <c r="V1024" s="497"/>
      <c r="W1024" s="497"/>
      <c r="X1024" s="497"/>
      <c r="Y1024" s="497"/>
      <c r="Z1024" s="497"/>
      <c r="AA1024" s="497"/>
      <c r="AB1024" s="497"/>
      <c r="AC1024" s="497"/>
      <c r="AD1024" s="497"/>
      <c r="AE1024" s="497"/>
      <c r="AF1024" s="497"/>
      <c r="AG1024" s="497"/>
      <c r="AH1024" s="497"/>
      <c r="AI1024" s="497"/>
      <c r="AJ1024" s="497"/>
      <c r="AK1024" s="497"/>
      <c r="AL1024" s="497"/>
      <c r="AM1024" s="497"/>
      <c r="AN1024" s="497"/>
      <c r="AO1024" s="497"/>
      <c r="AP1024" s="497"/>
      <c r="AQ1024" s="497"/>
      <c r="AR1024" s="497"/>
      <c r="AS1024" s="497"/>
      <c r="AT1024" s="497"/>
      <c r="AU1024" s="497"/>
      <c r="AV1024" s="497"/>
      <c r="AW1024" s="497"/>
      <c r="AX1024" s="497"/>
      <c r="AY1024" s="497"/>
      <c r="AZ1024" s="497"/>
      <c r="BA1024" s="497"/>
      <c r="BB1024" s="497"/>
      <c r="BC1024" s="497"/>
      <c r="BD1024" s="497"/>
      <c r="BE1024" s="497"/>
      <c r="BF1024" s="497"/>
      <c r="BG1024" s="497"/>
      <c r="BH1024" s="497"/>
      <c r="BI1024" s="497"/>
      <c r="BJ1024" s="497"/>
      <c r="BK1024" s="497"/>
      <c r="BL1024" s="497"/>
      <c r="BM1024" s="497"/>
      <c r="BN1024" s="497"/>
      <c r="BO1024" s="497"/>
      <c r="BP1024" s="497"/>
      <c r="BQ1024" s="497"/>
      <c r="BR1024" s="497"/>
      <c r="BS1024" s="497"/>
      <c r="BT1024" s="497"/>
      <c r="BU1024" s="497"/>
      <c r="BV1024" s="497"/>
      <c r="BW1024" s="497"/>
      <c r="BX1024" s="497"/>
      <c r="BY1024" s="497"/>
      <c r="BZ1024" s="497"/>
      <c r="CA1024" s="497"/>
      <c r="CB1024" s="497"/>
      <c r="CC1024" s="497"/>
      <c r="CD1024" s="497"/>
      <c r="CE1024" s="497"/>
      <c r="CF1024" s="497"/>
      <c r="CG1024" s="497"/>
      <c r="CH1024" s="497"/>
    </row>
    <row r="1025" spans="1:86" s="335" customFormat="1">
      <c r="A1025" s="517"/>
      <c r="B1025" s="517"/>
      <c r="C1025" s="517"/>
      <c r="D1025" s="517"/>
      <c r="E1025" s="517"/>
      <c r="F1025" s="517"/>
      <c r="G1025" s="517"/>
      <c r="H1025" s="639"/>
      <c r="I1025" s="639"/>
      <c r="J1025" s="336"/>
      <c r="K1025" s="2056"/>
      <c r="L1025" s="337"/>
      <c r="N1025" s="2057"/>
      <c r="O1025" s="337"/>
      <c r="P1025" s="337"/>
      <c r="Q1025" s="337"/>
      <c r="R1025" s="337"/>
      <c r="S1025" s="337"/>
      <c r="T1025" s="337"/>
      <c r="U1025" s="497"/>
      <c r="V1025" s="497"/>
      <c r="W1025" s="497"/>
      <c r="X1025" s="497"/>
      <c r="Y1025" s="497"/>
      <c r="Z1025" s="497"/>
      <c r="AA1025" s="497"/>
      <c r="AB1025" s="497"/>
      <c r="AC1025" s="497"/>
      <c r="AD1025" s="497"/>
      <c r="AE1025" s="497"/>
      <c r="AF1025" s="497"/>
      <c r="AG1025" s="497"/>
      <c r="AH1025" s="497"/>
      <c r="AI1025" s="497"/>
      <c r="AJ1025" s="497"/>
      <c r="AK1025" s="497"/>
      <c r="AL1025" s="497"/>
      <c r="AM1025" s="497"/>
      <c r="AN1025" s="497"/>
      <c r="AO1025" s="497"/>
      <c r="AP1025" s="497"/>
      <c r="AQ1025" s="497"/>
      <c r="AR1025" s="497"/>
      <c r="AS1025" s="497"/>
      <c r="AT1025" s="497"/>
      <c r="AU1025" s="497"/>
      <c r="AV1025" s="497"/>
      <c r="AW1025" s="497"/>
      <c r="AX1025" s="497"/>
      <c r="AY1025" s="497"/>
      <c r="AZ1025" s="497"/>
      <c r="BA1025" s="497"/>
      <c r="BB1025" s="497"/>
      <c r="BC1025" s="497"/>
      <c r="BD1025" s="497"/>
      <c r="BE1025" s="497"/>
      <c r="BF1025" s="497"/>
      <c r="BG1025" s="497"/>
      <c r="BH1025" s="497"/>
      <c r="BI1025" s="497"/>
      <c r="BJ1025" s="497"/>
      <c r="BK1025" s="497"/>
      <c r="BL1025" s="497"/>
      <c r="BM1025" s="497"/>
      <c r="BN1025" s="497"/>
      <c r="BO1025" s="497"/>
      <c r="BP1025" s="497"/>
      <c r="BQ1025" s="497"/>
      <c r="BR1025" s="497"/>
      <c r="BS1025" s="497"/>
      <c r="BT1025" s="497"/>
      <c r="BU1025" s="497"/>
      <c r="BV1025" s="497"/>
      <c r="BW1025" s="497"/>
      <c r="BX1025" s="497"/>
      <c r="BY1025" s="497"/>
      <c r="BZ1025" s="497"/>
      <c r="CA1025" s="497"/>
      <c r="CB1025" s="497"/>
      <c r="CC1025" s="497"/>
      <c r="CD1025" s="497"/>
      <c r="CE1025" s="497"/>
      <c r="CF1025" s="497"/>
      <c r="CG1025" s="497"/>
      <c r="CH1025" s="497"/>
    </row>
    <row r="1026" spans="1:86" s="335" customFormat="1">
      <c r="A1026" s="517"/>
      <c r="B1026" s="517"/>
      <c r="C1026" s="517"/>
      <c r="D1026" s="517"/>
      <c r="E1026" s="517"/>
      <c r="F1026" s="517"/>
      <c r="G1026" s="517"/>
      <c r="H1026" s="639"/>
      <c r="I1026" s="639"/>
      <c r="J1026" s="336"/>
      <c r="K1026" s="2056"/>
      <c r="L1026" s="337"/>
      <c r="N1026" s="2057"/>
      <c r="O1026" s="337"/>
      <c r="P1026" s="337"/>
      <c r="Q1026" s="337"/>
      <c r="R1026" s="337"/>
      <c r="S1026" s="337"/>
      <c r="T1026" s="337"/>
      <c r="U1026" s="497"/>
      <c r="V1026" s="497"/>
      <c r="W1026" s="497"/>
      <c r="X1026" s="497"/>
      <c r="Y1026" s="497"/>
      <c r="Z1026" s="497"/>
      <c r="AA1026" s="497"/>
      <c r="AB1026" s="497"/>
      <c r="AC1026" s="497"/>
      <c r="AD1026" s="497"/>
      <c r="AE1026" s="497"/>
      <c r="AF1026" s="497"/>
      <c r="AG1026" s="497"/>
      <c r="AH1026" s="497"/>
      <c r="AI1026" s="497"/>
      <c r="AJ1026" s="497"/>
      <c r="AK1026" s="497"/>
      <c r="AL1026" s="497"/>
      <c r="AM1026" s="497"/>
      <c r="AN1026" s="497"/>
      <c r="AO1026" s="497"/>
      <c r="AP1026" s="497"/>
      <c r="AQ1026" s="497"/>
      <c r="AR1026" s="497"/>
      <c r="AS1026" s="497"/>
      <c r="AT1026" s="497"/>
      <c r="AU1026" s="497"/>
      <c r="AV1026" s="497"/>
      <c r="AW1026" s="497"/>
      <c r="AX1026" s="497"/>
      <c r="AY1026" s="497"/>
      <c r="AZ1026" s="497"/>
      <c r="BA1026" s="497"/>
      <c r="BB1026" s="497"/>
      <c r="BC1026" s="497"/>
      <c r="BD1026" s="497"/>
      <c r="BE1026" s="497"/>
      <c r="BF1026" s="497"/>
      <c r="BG1026" s="497"/>
      <c r="BH1026" s="497"/>
      <c r="BI1026" s="497"/>
      <c r="BJ1026" s="497"/>
      <c r="BK1026" s="497"/>
      <c r="BL1026" s="497"/>
      <c r="BM1026" s="497"/>
      <c r="BN1026" s="497"/>
      <c r="BO1026" s="497"/>
      <c r="BP1026" s="497"/>
      <c r="BQ1026" s="497"/>
      <c r="BR1026" s="497"/>
      <c r="BS1026" s="497"/>
      <c r="BT1026" s="497"/>
      <c r="BU1026" s="497"/>
      <c r="BV1026" s="497"/>
      <c r="BW1026" s="497"/>
      <c r="BX1026" s="497"/>
      <c r="BY1026" s="497"/>
      <c r="BZ1026" s="497"/>
      <c r="CA1026" s="497"/>
      <c r="CB1026" s="497"/>
      <c r="CC1026" s="497"/>
      <c r="CD1026" s="497"/>
      <c r="CE1026" s="497"/>
      <c r="CF1026" s="497"/>
      <c r="CG1026" s="497"/>
      <c r="CH1026" s="497"/>
    </row>
    <row r="1027" spans="1:86" s="335" customFormat="1">
      <c r="A1027" s="517"/>
      <c r="B1027" s="517"/>
      <c r="C1027" s="517"/>
      <c r="D1027" s="517"/>
      <c r="E1027" s="517"/>
      <c r="F1027" s="517"/>
      <c r="G1027" s="517"/>
      <c r="H1027" s="639"/>
      <c r="I1027" s="639"/>
      <c r="J1027" s="336"/>
      <c r="K1027" s="2056"/>
      <c r="L1027" s="337"/>
      <c r="N1027" s="2057"/>
      <c r="O1027" s="337"/>
      <c r="P1027" s="337"/>
      <c r="Q1027" s="337"/>
      <c r="R1027" s="337"/>
      <c r="S1027" s="337"/>
      <c r="T1027" s="337"/>
      <c r="U1027" s="497"/>
      <c r="V1027" s="497"/>
      <c r="W1027" s="497"/>
      <c r="X1027" s="497"/>
      <c r="Y1027" s="497"/>
      <c r="Z1027" s="497"/>
      <c r="AA1027" s="497"/>
      <c r="AB1027" s="497"/>
      <c r="AC1027" s="497"/>
      <c r="AD1027" s="497"/>
      <c r="AE1027" s="497"/>
      <c r="AF1027" s="497"/>
      <c r="AG1027" s="497"/>
      <c r="AH1027" s="497"/>
      <c r="AI1027" s="497"/>
      <c r="AJ1027" s="497"/>
      <c r="AK1027" s="497"/>
      <c r="AL1027" s="497"/>
      <c r="AM1027" s="497"/>
      <c r="AN1027" s="497"/>
      <c r="AO1027" s="497"/>
      <c r="AP1027" s="497"/>
      <c r="AQ1027" s="497"/>
      <c r="AR1027" s="497"/>
      <c r="AS1027" s="497"/>
      <c r="AT1027" s="497"/>
      <c r="AU1027" s="497"/>
      <c r="AV1027" s="497"/>
      <c r="AW1027" s="497"/>
      <c r="AX1027" s="497"/>
      <c r="AY1027" s="497"/>
      <c r="AZ1027" s="497"/>
      <c r="BA1027" s="497"/>
      <c r="BB1027" s="497"/>
      <c r="BC1027" s="497"/>
      <c r="BD1027" s="497"/>
      <c r="BE1027" s="497"/>
      <c r="BF1027" s="497"/>
      <c r="BG1027" s="497"/>
      <c r="BH1027" s="497"/>
      <c r="BI1027" s="497"/>
      <c r="BJ1027" s="497"/>
      <c r="BK1027" s="497"/>
      <c r="BL1027" s="497"/>
      <c r="BM1027" s="497"/>
      <c r="BN1027" s="497"/>
      <c r="BO1027" s="497"/>
      <c r="BP1027" s="497"/>
      <c r="BQ1027" s="497"/>
      <c r="BR1027" s="497"/>
      <c r="BS1027" s="497"/>
      <c r="BT1027" s="497"/>
      <c r="BU1027" s="497"/>
      <c r="BV1027" s="497"/>
      <c r="BW1027" s="497"/>
      <c r="BX1027" s="497"/>
      <c r="BY1027" s="497"/>
      <c r="BZ1027" s="497"/>
      <c r="CA1027" s="497"/>
      <c r="CB1027" s="497"/>
      <c r="CC1027" s="497"/>
      <c r="CD1027" s="497"/>
      <c r="CE1027" s="497"/>
      <c r="CF1027" s="497"/>
      <c r="CG1027" s="497"/>
      <c r="CH1027" s="497"/>
    </row>
    <row r="1028" spans="1:86" s="335" customFormat="1">
      <c r="A1028" s="517"/>
      <c r="B1028" s="517"/>
      <c r="C1028" s="517"/>
      <c r="D1028" s="517"/>
      <c r="E1028" s="517"/>
      <c r="F1028" s="517"/>
      <c r="G1028" s="517"/>
      <c r="H1028" s="639"/>
      <c r="I1028" s="639"/>
      <c r="J1028" s="336"/>
      <c r="K1028" s="2056"/>
      <c r="L1028" s="337"/>
      <c r="N1028" s="2057"/>
      <c r="O1028" s="337"/>
      <c r="P1028" s="337"/>
      <c r="Q1028" s="337"/>
      <c r="R1028" s="337"/>
      <c r="S1028" s="337"/>
      <c r="T1028" s="337"/>
      <c r="U1028" s="497"/>
      <c r="V1028" s="497"/>
      <c r="W1028" s="497"/>
      <c r="X1028" s="497"/>
      <c r="Y1028" s="497"/>
      <c r="Z1028" s="497"/>
      <c r="AA1028" s="497"/>
      <c r="AB1028" s="497"/>
      <c r="AC1028" s="497"/>
      <c r="AD1028" s="497"/>
      <c r="AE1028" s="497"/>
      <c r="AF1028" s="497"/>
      <c r="AG1028" s="497"/>
      <c r="AH1028" s="497"/>
      <c r="AI1028" s="497"/>
      <c r="AJ1028" s="497"/>
      <c r="AK1028" s="497"/>
      <c r="AL1028" s="497"/>
      <c r="AM1028" s="497"/>
      <c r="AN1028" s="497"/>
      <c r="AO1028" s="497"/>
      <c r="AP1028" s="497"/>
      <c r="AQ1028" s="497"/>
      <c r="AR1028" s="497"/>
      <c r="AS1028" s="497"/>
      <c r="AT1028" s="497"/>
      <c r="AU1028" s="497"/>
      <c r="AV1028" s="497"/>
      <c r="AW1028" s="497"/>
      <c r="AX1028" s="497"/>
      <c r="AY1028" s="497"/>
      <c r="AZ1028" s="497"/>
      <c r="BA1028" s="497"/>
      <c r="BB1028" s="497"/>
      <c r="BC1028" s="497"/>
      <c r="BD1028" s="497"/>
      <c r="BE1028" s="497"/>
      <c r="BF1028" s="497"/>
      <c r="BG1028" s="497"/>
      <c r="BH1028" s="497"/>
      <c r="BI1028" s="497"/>
      <c r="BJ1028" s="497"/>
      <c r="BK1028" s="497"/>
      <c r="BL1028" s="497"/>
      <c r="BM1028" s="497"/>
      <c r="BN1028" s="497"/>
      <c r="BO1028" s="497"/>
      <c r="BP1028" s="497"/>
      <c r="BQ1028" s="497"/>
      <c r="BR1028" s="497"/>
      <c r="BS1028" s="497"/>
      <c r="BT1028" s="497"/>
      <c r="BU1028" s="497"/>
      <c r="BV1028" s="497"/>
      <c r="BW1028" s="497"/>
      <c r="BX1028" s="497"/>
      <c r="BY1028" s="497"/>
      <c r="BZ1028" s="497"/>
      <c r="CA1028" s="497"/>
      <c r="CB1028" s="497"/>
      <c r="CC1028" s="497"/>
      <c r="CD1028" s="497"/>
      <c r="CE1028" s="497"/>
      <c r="CF1028" s="497"/>
      <c r="CG1028" s="497"/>
      <c r="CH1028" s="497"/>
    </row>
    <row r="1029" spans="1:86" s="335" customFormat="1">
      <c r="A1029" s="517"/>
      <c r="B1029" s="517"/>
      <c r="C1029" s="517"/>
      <c r="D1029" s="517"/>
      <c r="E1029" s="517"/>
      <c r="F1029" s="517"/>
      <c r="G1029" s="517"/>
      <c r="H1029" s="639"/>
      <c r="I1029" s="639"/>
      <c r="J1029" s="336"/>
      <c r="K1029" s="2056"/>
      <c r="L1029" s="337"/>
      <c r="N1029" s="2057"/>
      <c r="O1029" s="337"/>
      <c r="P1029" s="337"/>
      <c r="Q1029" s="337"/>
      <c r="R1029" s="337"/>
      <c r="S1029" s="337"/>
      <c r="T1029" s="337"/>
      <c r="U1029" s="497"/>
      <c r="V1029" s="497"/>
      <c r="W1029" s="497"/>
      <c r="X1029" s="497"/>
      <c r="Y1029" s="497"/>
      <c r="Z1029" s="497"/>
      <c r="AA1029" s="497"/>
      <c r="AB1029" s="497"/>
      <c r="AC1029" s="497"/>
      <c r="AD1029" s="497"/>
      <c r="AE1029" s="497"/>
      <c r="AF1029" s="497"/>
      <c r="AG1029" s="497"/>
      <c r="AH1029" s="497"/>
      <c r="AI1029" s="497"/>
      <c r="AJ1029" s="497"/>
      <c r="AK1029" s="497"/>
      <c r="AL1029" s="497"/>
      <c r="AM1029" s="497"/>
      <c r="AN1029" s="497"/>
      <c r="AO1029" s="497"/>
      <c r="AP1029" s="497"/>
      <c r="AQ1029" s="497"/>
      <c r="AR1029" s="497"/>
      <c r="AS1029" s="497"/>
      <c r="AT1029" s="497"/>
      <c r="AU1029" s="497"/>
      <c r="AV1029" s="497"/>
      <c r="AW1029" s="497"/>
      <c r="AX1029" s="497"/>
      <c r="AY1029" s="497"/>
      <c r="AZ1029" s="497"/>
      <c r="BA1029" s="497"/>
      <c r="BB1029" s="497"/>
      <c r="BC1029" s="497"/>
      <c r="BD1029" s="497"/>
      <c r="BE1029" s="497"/>
      <c r="BF1029" s="497"/>
      <c r="BG1029" s="497"/>
      <c r="BH1029" s="497"/>
      <c r="BI1029" s="497"/>
      <c r="BJ1029" s="497"/>
      <c r="BK1029" s="497"/>
      <c r="BL1029" s="497"/>
      <c r="BM1029" s="497"/>
      <c r="BN1029" s="497"/>
      <c r="BO1029" s="497"/>
      <c r="BP1029" s="497"/>
      <c r="BQ1029" s="497"/>
      <c r="BR1029" s="497"/>
      <c r="BS1029" s="497"/>
      <c r="BT1029" s="497"/>
      <c r="BU1029" s="497"/>
      <c r="BV1029" s="497"/>
      <c r="BW1029" s="497"/>
      <c r="BX1029" s="497"/>
      <c r="BY1029" s="497"/>
      <c r="BZ1029" s="497"/>
      <c r="CA1029" s="497"/>
      <c r="CB1029" s="497"/>
      <c r="CC1029" s="497"/>
      <c r="CD1029" s="497"/>
      <c r="CE1029" s="497"/>
      <c r="CF1029" s="497"/>
      <c r="CG1029" s="497"/>
      <c r="CH1029" s="497"/>
    </row>
    <row r="1030" spans="1:86" s="335" customFormat="1">
      <c r="A1030" s="517"/>
      <c r="B1030" s="517"/>
      <c r="C1030" s="517"/>
      <c r="D1030" s="517"/>
      <c r="E1030" s="517"/>
      <c r="F1030" s="517"/>
      <c r="G1030" s="517"/>
      <c r="H1030" s="639"/>
      <c r="I1030" s="639"/>
      <c r="J1030" s="336"/>
      <c r="K1030" s="2056"/>
      <c r="L1030" s="337"/>
      <c r="N1030" s="2057"/>
      <c r="O1030" s="337"/>
      <c r="P1030" s="337"/>
      <c r="Q1030" s="337"/>
      <c r="R1030" s="337"/>
      <c r="S1030" s="337"/>
      <c r="T1030" s="337"/>
      <c r="U1030" s="497"/>
      <c r="V1030" s="497"/>
      <c r="W1030" s="497"/>
      <c r="X1030" s="497"/>
      <c r="Y1030" s="497"/>
      <c r="Z1030" s="497"/>
      <c r="AA1030" s="497"/>
      <c r="AB1030" s="497"/>
      <c r="AC1030" s="497"/>
      <c r="AD1030" s="497"/>
      <c r="AE1030" s="497"/>
      <c r="AF1030" s="497"/>
      <c r="AG1030" s="497"/>
      <c r="AH1030" s="497"/>
      <c r="AI1030" s="497"/>
      <c r="AJ1030" s="497"/>
      <c r="AK1030" s="497"/>
      <c r="AL1030" s="497"/>
      <c r="AM1030" s="497"/>
      <c r="AN1030" s="497"/>
      <c r="AO1030" s="497"/>
      <c r="AP1030" s="497"/>
      <c r="AQ1030" s="497"/>
      <c r="AR1030" s="497"/>
      <c r="AS1030" s="497"/>
      <c r="AT1030" s="497"/>
      <c r="AU1030" s="497"/>
      <c r="AV1030" s="497"/>
      <c r="AW1030" s="497"/>
      <c r="AX1030" s="497"/>
      <c r="AY1030" s="497"/>
      <c r="AZ1030" s="497"/>
      <c r="BA1030" s="497"/>
      <c r="BB1030" s="497"/>
      <c r="BC1030" s="497"/>
      <c r="BD1030" s="497"/>
      <c r="BE1030" s="497"/>
      <c r="BF1030" s="497"/>
      <c r="BG1030" s="497"/>
      <c r="BH1030" s="497"/>
      <c r="BI1030" s="497"/>
      <c r="BJ1030" s="497"/>
      <c r="BK1030" s="497"/>
      <c r="BL1030" s="497"/>
      <c r="BM1030" s="497"/>
      <c r="BN1030" s="497"/>
      <c r="BO1030" s="497"/>
      <c r="BP1030" s="497"/>
      <c r="BQ1030" s="497"/>
      <c r="BR1030" s="497"/>
      <c r="BS1030" s="497"/>
      <c r="BT1030" s="497"/>
      <c r="BU1030" s="497"/>
      <c r="BV1030" s="497"/>
      <c r="BW1030" s="497"/>
      <c r="BX1030" s="497"/>
      <c r="BY1030" s="497"/>
      <c r="BZ1030" s="497"/>
      <c r="CA1030" s="497"/>
      <c r="CB1030" s="497"/>
      <c r="CC1030" s="497"/>
      <c r="CD1030" s="497"/>
      <c r="CE1030" s="497"/>
      <c r="CF1030" s="497"/>
      <c r="CG1030" s="497"/>
      <c r="CH1030" s="497"/>
    </row>
    <row r="1031" spans="1:86" s="335" customFormat="1">
      <c r="A1031" s="517"/>
      <c r="B1031" s="517"/>
      <c r="C1031" s="517"/>
      <c r="D1031" s="517"/>
      <c r="E1031" s="517"/>
      <c r="F1031" s="517"/>
      <c r="G1031" s="517"/>
      <c r="H1031" s="639"/>
      <c r="I1031" s="639"/>
      <c r="J1031" s="336"/>
      <c r="K1031" s="2056"/>
      <c r="L1031" s="337"/>
      <c r="N1031" s="2057"/>
      <c r="O1031" s="337"/>
      <c r="P1031" s="337"/>
      <c r="Q1031" s="337"/>
      <c r="R1031" s="337"/>
      <c r="S1031" s="337"/>
      <c r="T1031" s="337"/>
      <c r="U1031" s="497"/>
      <c r="V1031" s="497"/>
      <c r="W1031" s="497"/>
      <c r="X1031" s="497"/>
      <c r="Y1031" s="497"/>
      <c r="Z1031" s="497"/>
      <c r="AA1031" s="497"/>
      <c r="AB1031" s="497"/>
      <c r="AC1031" s="497"/>
      <c r="AD1031" s="497"/>
      <c r="AE1031" s="497"/>
      <c r="AF1031" s="497"/>
      <c r="AG1031" s="497"/>
      <c r="AH1031" s="497"/>
      <c r="AI1031" s="497"/>
      <c r="AJ1031" s="497"/>
      <c r="AK1031" s="497"/>
      <c r="AL1031" s="497"/>
      <c r="AM1031" s="497"/>
      <c r="AN1031" s="497"/>
      <c r="AO1031" s="497"/>
      <c r="AP1031" s="497"/>
      <c r="AQ1031" s="497"/>
      <c r="AR1031" s="497"/>
      <c r="AS1031" s="497"/>
      <c r="AT1031" s="497"/>
      <c r="AU1031" s="497"/>
      <c r="AV1031" s="497"/>
      <c r="AW1031" s="497"/>
      <c r="AX1031" s="497"/>
      <c r="AY1031" s="497"/>
      <c r="AZ1031" s="497"/>
      <c r="BA1031" s="497"/>
      <c r="BB1031" s="497"/>
      <c r="BC1031" s="497"/>
      <c r="BD1031" s="497"/>
      <c r="BE1031" s="497"/>
      <c r="BF1031" s="497"/>
      <c r="BG1031" s="497"/>
      <c r="BH1031" s="497"/>
      <c r="BI1031" s="497"/>
      <c r="BJ1031" s="497"/>
      <c r="BK1031" s="497"/>
      <c r="BL1031" s="497"/>
      <c r="BM1031" s="497"/>
      <c r="BN1031" s="497"/>
      <c r="BO1031" s="497"/>
      <c r="BP1031" s="497"/>
      <c r="BQ1031" s="497"/>
      <c r="BR1031" s="497"/>
      <c r="BS1031" s="497"/>
      <c r="BT1031" s="497"/>
      <c r="BU1031" s="497"/>
      <c r="BV1031" s="497"/>
      <c r="BW1031" s="497"/>
      <c r="BX1031" s="497"/>
      <c r="BY1031" s="497"/>
      <c r="BZ1031" s="497"/>
      <c r="CA1031" s="497"/>
      <c r="CB1031" s="497"/>
      <c r="CC1031" s="497"/>
      <c r="CD1031" s="497"/>
      <c r="CE1031" s="497"/>
      <c r="CF1031" s="497"/>
      <c r="CG1031" s="497"/>
      <c r="CH1031" s="497"/>
    </row>
    <row r="1032" spans="1:86" s="335" customFormat="1">
      <c r="A1032" s="517"/>
      <c r="B1032" s="517"/>
      <c r="C1032" s="517"/>
      <c r="D1032" s="517"/>
      <c r="E1032" s="517"/>
      <c r="F1032" s="517"/>
      <c r="G1032" s="517"/>
      <c r="H1032" s="639"/>
      <c r="I1032" s="639"/>
      <c r="J1032" s="336"/>
      <c r="K1032" s="2056"/>
      <c r="L1032" s="337"/>
      <c r="N1032" s="2057"/>
      <c r="O1032" s="337"/>
      <c r="P1032" s="337"/>
      <c r="Q1032" s="337"/>
      <c r="R1032" s="337"/>
      <c r="S1032" s="337"/>
      <c r="T1032" s="337"/>
      <c r="U1032" s="497"/>
      <c r="V1032" s="497"/>
      <c r="W1032" s="497"/>
      <c r="X1032" s="497"/>
      <c r="Y1032" s="497"/>
      <c r="Z1032" s="497"/>
      <c r="AA1032" s="497"/>
      <c r="AB1032" s="497"/>
      <c r="AC1032" s="497"/>
      <c r="AD1032" s="497"/>
      <c r="AE1032" s="497"/>
      <c r="AF1032" s="497"/>
      <c r="AG1032" s="497"/>
      <c r="AH1032" s="497"/>
      <c r="AI1032" s="497"/>
      <c r="AJ1032" s="497"/>
      <c r="AK1032" s="497"/>
      <c r="AL1032" s="497"/>
      <c r="AM1032" s="497"/>
      <c r="AN1032" s="497"/>
      <c r="AO1032" s="497"/>
      <c r="AP1032" s="497"/>
      <c r="AQ1032" s="497"/>
      <c r="AR1032" s="497"/>
      <c r="AS1032" s="497"/>
      <c r="AT1032" s="497"/>
      <c r="AU1032" s="497"/>
      <c r="AV1032" s="497"/>
      <c r="AW1032" s="497"/>
      <c r="AX1032" s="497"/>
      <c r="AY1032" s="497"/>
      <c r="AZ1032" s="497"/>
      <c r="BA1032" s="497"/>
      <c r="BB1032" s="497"/>
      <c r="BC1032" s="497"/>
      <c r="BD1032" s="497"/>
      <c r="BE1032" s="497"/>
      <c r="BF1032" s="497"/>
      <c r="BG1032" s="497"/>
      <c r="BH1032" s="497"/>
      <c r="BI1032" s="497"/>
      <c r="BJ1032" s="497"/>
      <c r="BK1032" s="497"/>
      <c r="BL1032" s="497"/>
      <c r="BM1032" s="497"/>
      <c r="BN1032" s="497"/>
      <c r="BO1032" s="497"/>
      <c r="BP1032" s="497"/>
      <c r="BQ1032" s="497"/>
      <c r="BR1032" s="497"/>
      <c r="BS1032" s="497"/>
      <c r="BT1032" s="497"/>
      <c r="BU1032" s="497"/>
      <c r="BV1032" s="497"/>
      <c r="BW1032" s="497"/>
      <c r="BX1032" s="497"/>
      <c r="BY1032" s="497"/>
      <c r="BZ1032" s="497"/>
      <c r="CA1032" s="497"/>
      <c r="CB1032" s="497"/>
      <c r="CC1032" s="497"/>
      <c r="CD1032" s="497"/>
      <c r="CE1032" s="497"/>
      <c r="CF1032" s="497"/>
      <c r="CG1032" s="497"/>
      <c r="CH1032" s="497"/>
    </row>
    <row r="1033" spans="1:86" s="335" customFormat="1">
      <c r="A1033" s="517"/>
      <c r="B1033" s="517"/>
      <c r="C1033" s="517"/>
      <c r="D1033" s="517"/>
      <c r="E1033" s="517"/>
      <c r="F1033" s="517"/>
      <c r="G1033" s="517"/>
      <c r="H1033" s="639"/>
      <c r="I1033" s="639"/>
      <c r="J1033" s="336"/>
      <c r="K1033" s="2056"/>
      <c r="L1033" s="337"/>
      <c r="N1033" s="2057"/>
      <c r="O1033" s="337"/>
      <c r="P1033" s="337"/>
      <c r="Q1033" s="337"/>
      <c r="R1033" s="337"/>
      <c r="S1033" s="337"/>
      <c r="T1033" s="337"/>
      <c r="U1033" s="497"/>
      <c r="V1033" s="497"/>
      <c r="W1033" s="497"/>
      <c r="X1033" s="497"/>
      <c r="Y1033" s="497"/>
      <c r="Z1033" s="497"/>
      <c r="AA1033" s="497"/>
      <c r="AB1033" s="497"/>
      <c r="AC1033" s="497"/>
      <c r="AD1033" s="497"/>
      <c r="AE1033" s="497"/>
      <c r="AF1033" s="497"/>
      <c r="AG1033" s="497"/>
      <c r="AH1033" s="497"/>
      <c r="AI1033" s="497"/>
      <c r="AJ1033" s="497"/>
      <c r="AK1033" s="497"/>
      <c r="AL1033" s="497"/>
      <c r="AM1033" s="497"/>
      <c r="AN1033" s="497"/>
      <c r="AO1033" s="497"/>
      <c r="AP1033" s="497"/>
      <c r="AQ1033" s="497"/>
      <c r="AR1033" s="497"/>
      <c r="AS1033" s="497"/>
      <c r="AT1033" s="497"/>
      <c r="AU1033" s="497"/>
      <c r="AV1033" s="497"/>
      <c r="AW1033" s="497"/>
      <c r="AX1033" s="497"/>
      <c r="AY1033" s="497"/>
      <c r="AZ1033" s="497"/>
      <c r="BA1033" s="497"/>
      <c r="BB1033" s="497"/>
      <c r="BC1033" s="497"/>
      <c r="BD1033" s="497"/>
      <c r="BE1033" s="497"/>
      <c r="BF1033" s="497"/>
      <c r="BG1033" s="497"/>
      <c r="BH1033" s="497"/>
      <c r="BI1033" s="497"/>
      <c r="BJ1033" s="497"/>
      <c r="BK1033" s="497"/>
      <c r="BL1033" s="497"/>
      <c r="BM1033" s="497"/>
      <c r="BN1033" s="497"/>
      <c r="BO1033" s="497"/>
      <c r="BP1033" s="497"/>
      <c r="BQ1033" s="497"/>
      <c r="BR1033" s="497"/>
      <c r="BS1033" s="497"/>
      <c r="BT1033" s="497"/>
      <c r="BU1033" s="497"/>
      <c r="BV1033" s="497"/>
      <c r="BW1033" s="497"/>
      <c r="BX1033" s="497"/>
      <c r="BY1033" s="497"/>
      <c r="BZ1033" s="497"/>
      <c r="CA1033" s="497"/>
      <c r="CB1033" s="497"/>
      <c r="CC1033" s="497"/>
      <c r="CD1033" s="497"/>
      <c r="CE1033" s="497"/>
      <c r="CF1033" s="497"/>
      <c r="CG1033" s="497"/>
      <c r="CH1033" s="497"/>
    </row>
    <row r="1034" spans="1:86" s="335" customFormat="1">
      <c r="A1034" s="517"/>
      <c r="B1034" s="517"/>
      <c r="C1034" s="517"/>
      <c r="D1034" s="517"/>
      <c r="E1034" s="517"/>
      <c r="F1034" s="517"/>
      <c r="G1034" s="517"/>
      <c r="H1034" s="639"/>
      <c r="I1034" s="639"/>
      <c r="J1034" s="336"/>
      <c r="K1034" s="2056"/>
      <c r="L1034" s="337"/>
      <c r="N1034" s="2057"/>
      <c r="O1034" s="337"/>
      <c r="P1034" s="337"/>
      <c r="Q1034" s="337"/>
      <c r="R1034" s="337"/>
      <c r="S1034" s="337"/>
      <c r="T1034" s="337"/>
      <c r="U1034" s="497"/>
      <c r="V1034" s="497"/>
      <c r="W1034" s="497"/>
      <c r="X1034" s="497"/>
      <c r="Y1034" s="497"/>
      <c r="Z1034" s="497"/>
      <c r="AA1034" s="497"/>
      <c r="AB1034" s="497"/>
      <c r="AC1034" s="497"/>
      <c r="AD1034" s="497"/>
      <c r="AE1034" s="497"/>
      <c r="AF1034" s="497"/>
      <c r="AG1034" s="497"/>
      <c r="AH1034" s="497"/>
      <c r="AI1034" s="497"/>
      <c r="AJ1034" s="497"/>
      <c r="AK1034" s="497"/>
      <c r="AL1034" s="497"/>
      <c r="AM1034" s="497"/>
      <c r="AN1034" s="497"/>
      <c r="AO1034" s="497"/>
      <c r="AP1034" s="497"/>
      <c r="AQ1034" s="497"/>
      <c r="AR1034" s="497"/>
      <c r="AS1034" s="497"/>
      <c r="AT1034" s="497"/>
      <c r="AU1034" s="497"/>
      <c r="AV1034" s="497"/>
      <c r="AW1034" s="497"/>
      <c r="AX1034" s="497"/>
      <c r="AY1034" s="497"/>
      <c r="AZ1034" s="497"/>
      <c r="BA1034" s="497"/>
      <c r="BB1034" s="497"/>
      <c r="BC1034" s="497"/>
      <c r="BD1034" s="497"/>
      <c r="BE1034" s="497"/>
      <c r="BF1034" s="497"/>
      <c r="BG1034" s="497"/>
      <c r="BH1034" s="497"/>
      <c r="BI1034" s="497"/>
      <c r="BJ1034" s="497"/>
      <c r="BK1034" s="497"/>
      <c r="BL1034" s="497"/>
      <c r="BM1034" s="497"/>
      <c r="BN1034" s="497"/>
      <c r="BO1034" s="497"/>
      <c r="BP1034" s="497"/>
      <c r="BQ1034" s="497"/>
      <c r="BR1034" s="497"/>
      <c r="BS1034" s="497"/>
      <c r="BT1034" s="497"/>
      <c r="BU1034" s="497"/>
      <c r="BV1034" s="497"/>
      <c r="BW1034" s="497"/>
      <c r="BX1034" s="497"/>
      <c r="BY1034" s="497"/>
      <c r="BZ1034" s="497"/>
      <c r="CA1034" s="497"/>
      <c r="CB1034" s="497"/>
      <c r="CC1034" s="497"/>
      <c r="CD1034" s="497"/>
      <c r="CE1034" s="497"/>
      <c r="CF1034" s="497"/>
      <c r="CG1034" s="497"/>
      <c r="CH1034" s="497"/>
    </row>
    <row r="1035" spans="1:86" s="335" customFormat="1">
      <c r="A1035" s="517"/>
      <c r="B1035" s="517"/>
      <c r="C1035" s="517"/>
      <c r="D1035" s="517"/>
      <c r="E1035" s="517"/>
      <c r="F1035" s="517"/>
      <c r="G1035" s="517"/>
      <c r="H1035" s="639"/>
      <c r="I1035" s="639"/>
      <c r="J1035" s="336"/>
      <c r="K1035" s="2056"/>
      <c r="L1035" s="337"/>
      <c r="N1035" s="2057"/>
      <c r="O1035" s="337"/>
      <c r="P1035" s="337"/>
      <c r="Q1035" s="337"/>
      <c r="R1035" s="337"/>
      <c r="S1035" s="337"/>
      <c r="T1035" s="337"/>
      <c r="U1035" s="497"/>
      <c r="V1035" s="497"/>
      <c r="W1035" s="497"/>
      <c r="X1035" s="497"/>
      <c r="Y1035" s="497"/>
      <c r="Z1035" s="497"/>
      <c r="AA1035" s="497"/>
      <c r="AB1035" s="497"/>
      <c r="AC1035" s="497"/>
      <c r="AD1035" s="497"/>
      <c r="AE1035" s="497"/>
      <c r="AF1035" s="497"/>
      <c r="AG1035" s="497"/>
      <c r="AH1035" s="497"/>
      <c r="AI1035" s="497"/>
      <c r="AJ1035" s="497"/>
      <c r="AK1035" s="497"/>
      <c r="AL1035" s="497"/>
      <c r="AM1035" s="497"/>
      <c r="AN1035" s="497"/>
      <c r="AO1035" s="497"/>
      <c r="AP1035" s="497"/>
      <c r="AQ1035" s="497"/>
      <c r="AR1035" s="497"/>
      <c r="AS1035" s="497"/>
      <c r="AT1035" s="497"/>
      <c r="AU1035" s="497"/>
      <c r="AV1035" s="497"/>
      <c r="AW1035" s="497"/>
      <c r="AX1035" s="497"/>
      <c r="AY1035" s="497"/>
      <c r="AZ1035" s="497"/>
      <c r="BA1035" s="497"/>
      <c r="BB1035" s="497"/>
      <c r="BC1035" s="497"/>
      <c r="BD1035" s="497"/>
      <c r="BE1035" s="497"/>
      <c r="BF1035" s="497"/>
      <c r="BG1035" s="497"/>
      <c r="BH1035" s="497"/>
      <c r="BI1035" s="497"/>
      <c r="BJ1035" s="497"/>
      <c r="BK1035" s="497"/>
      <c r="BL1035" s="497"/>
      <c r="BM1035" s="497"/>
      <c r="BN1035" s="497"/>
      <c r="BO1035" s="497"/>
      <c r="BP1035" s="497"/>
      <c r="BQ1035" s="497"/>
      <c r="BR1035" s="497"/>
      <c r="BS1035" s="497"/>
      <c r="BT1035" s="497"/>
      <c r="BU1035" s="497"/>
      <c r="BV1035" s="497"/>
      <c r="BW1035" s="497"/>
      <c r="BX1035" s="497"/>
      <c r="BY1035" s="497"/>
      <c r="BZ1035" s="497"/>
      <c r="CA1035" s="497"/>
      <c r="CB1035" s="497"/>
      <c r="CC1035" s="497"/>
      <c r="CD1035" s="497"/>
      <c r="CE1035" s="497"/>
      <c r="CF1035" s="497"/>
      <c r="CG1035" s="497"/>
      <c r="CH1035" s="497"/>
    </row>
    <row r="1036" spans="1:86" s="335" customFormat="1">
      <c r="A1036" s="517"/>
      <c r="B1036" s="517"/>
      <c r="C1036" s="517"/>
      <c r="D1036" s="517"/>
      <c r="E1036" s="517"/>
      <c r="F1036" s="517"/>
      <c r="G1036" s="517"/>
      <c r="H1036" s="639"/>
      <c r="I1036" s="639"/>
      <c r="J1036" s="336"/>
      <c r="K1036" s="2056"/>
      <c r="L1036" s="337"/>
      <c r="N1036" s="2057"/>
      <c r="O1036" s="337"/>
      <c r="P1036" s="337"/>
      <c r="Q1036" s="337"/>
      <c r="R1036" s="337"/>
      <c r="S1036" s="337"/>
      <c r="T1036" s="337"/>
      <c r="U1036" s="497"/>
      <c r="V1036" s="497"/>
      <c r="W1036" s="497"/>
      <c r="X1036" s="497"/>
      <c r="Y1036" s="497"/>
      <c r="Z1036" s="497"/>
      <c r="AA1036" s="497"/>
      <c r="AB1036" s="497"/>
      <c r="AC1036" s="497"/>
      <c r="AD1036" s="497"/>
      <c r="AE1036" s="497"/>
      <c r="AF1036" s="497"/>
      <c r="AG1036" s="497"/>
      <c r="AH1036" s="497"/>
      <c r="AI1036" s="497"/>
      <c r="AJ1036" s="497"/>
      <c r="AK1036" s="497"/>
      <c r="AL1036" s="497"/>
      <c r="AM1036" s="497"/>
      <c r="AN1036" s="497"/>
      <c r="AO1036" s="497"/>
      <c r="AP1036" s="497"/>
      <c r="AQ1036" s="497"/>
      <c r="AR1036" s="497"/>
      <c r="AS1036" s="497"/>
      <c r="AT1036" s="497"/>
      <c r="AU1036" s="497"/>
      <c r="AV1036" s="497"/>
      <c r="AW1036" s="497"/>
      <c r="AX1036" s="497"/>
      <c r="AY1036" s="497"/>
      <c r="AZ1036" s="497"/>
      <c r="BA1036" s="497"/>
      <c r="BB1036" s="497"/>
      <c r="BC1036" s="497"/>
      <c r="BD1036" s="497"/>
      <c r="BE1036" s="497"/>
      <c r="BF1036" s="497"/>
      <c r="BG1036" s="497"/>
      <c r="BH1036" s="497"/>
      <c r="BI1036" s="497"/>
      <c r="BJ1036" s="497"/>
      <c r="BK1036" s="497"/>
      <c r="BL1036" s="497"/>
      <c r="BM1036" s="497"/>
      <c r="BN1036" s="497"/>
      <c r="BO1036" s="497"/>
      <c r="BP1036" s="497"/>
      <c r="BQ1036" s="497"/>
      <c r="BR1036" s="497"/>
      <c r="BS1036" s="497"/>
      <c r="BT1036" s="497"/>
      <c r="BU1036" s="497"/>
      <c r="BV1036" s="497"/>
      <c r="BW1036" s="497"/>
      <c r="BX1036" s="497"/>
      <c r="BY1036" s="497"/>
      <c r="BZ1036" s="497"/>
      <c r="CA1036" s="497"/>
      <c r="CB1036" s="497"/>
      <c r="CC1036" s="497"/>
      <c r="CD1036" s="497"/>
      <c r="CE1036" s="497"/>
      <c r="CF1036" s="497"/>
      <c r="CG1036" s="497"/>
      <c r="CH1036" s="497"/>
    </row>
    <row r="1037" spans="1:86" s="335" customFormat="1">
      <c r="A1037" s="517"/>
      <c r="B1037" s="517"/>
      <c r="C1037" s="517"/>
      <c r="D1037" s="517"/>
      <c r="E1037" s="517"/>
      <c r="F1037" s="517"/>
      <c r="G1037" s="517"/>
      <c r="H1037" s="639"/>
      <c r="I1037" s="639"/>
      <c r="J1037" s="336"/>
      <c r="K1037" s="2056"/>
      <c r="L1037" s="337"/>
      <c r="N1037" s="2057"/>
      <c r="O1037" s="337"/>
      <c r="P1037" s="337"/>
      <c r="Q1037" s="337"/>
      <c r="R1037" s="337"/>
      <c r="S1037" s="337"/>
      <c r="T1037" s="337"/>
      <c r="U1037" s="497"/>
      <c r="V1037" s="497"/>
      <c r="W1037" s="497"/>
      <c r="X1037" s="497"/>
      <c r="Y1037" s="497"/>
      <c r="Z1037" s="497"/>
      <c r="AA1037" s="497"/>
      <c r="AB1037" s="497"/>
      <c r="AC1037" s="497"/>
      <c r="AD1037" s="497"/>
      <c r="AE1037" s="497"/>
      <c r="AF1037" s="497"/>
      <c r="AG1037" s="497"/>
      <c r="AH1037" s="497"/>
      <c r="AI1037" s="497"/>
      <c r="AJ1037" s="497"/>
      <c r="AK1037" s="497"/>
      <c r="AL1037" s="497"/>
      <c r="AM1037" s="497"/>
      <c r="AN1037" s="497"/>
      <c r="AO1037" s="497"/>
      <c r="AP1037" s="497"/>
      <c r="AQ1037" s="497"/>
      <c r="AR1037" s="497"/>
      <c r="AS1037" s="497"/>
      <c r="AT1037" s="497"/>
      <c r="AU1037" s="497"/>
      <c r="AV1037" s="497"/>
      <c r="AW1037" s="497"/>
      <c r="AX1037" s="497"/>
      <c r="AY1037" s="497"/>
      <c r="AZ1037" s="497"/>
      <c r="BA1037" s="497"/>
      <c r="BB1037" s="497"/>
      <c r="BC1037" s="497"/>
      <c r="BD1037" s="497"/>
      <c r="BE1037" s="497"/>
      <c r="BF1037" s="497"/>
      <c r="BG1037" s="497"/>
      <c r="BH1037" s="497"/>
      <c r="BI1037" s="497"/>
      <c r="BJ1037" s="497"/>
      <c r="BK1037" s="497"/>
      <c r="BL1037" s="497"/>
      <c r="BM1037" s="497"/>
      <c r="BN1037" s="497"/>
      <c r="BO1037" s="497"/>
      <c r="BP1037" s="497"/>
      <c r="BQ1037" s="497"/>
      <c r="BR1037" s="497"/>
      <c r="BS1037" s="497"/>
      <c r="BT1037" s="497"/>
      <c r="BU1037" s="497"/>
      <c r="BV1037" s="497"/>
      <c r="BW1037" s="497"/>
      <c r="BX1037" s="497"/>
      <c r="BY1037" s="497"/>
      <c r="BZ1037" s="497"/>
      <c r="CA1037" s="497"/>
      <c r="CB1037" s="497"/>
      <c r="CC1037" s="497"/>
      <c r="CD1037" s="497"/>
      <c r="CE1037" s="497"/>
      <c r="CF1037" s="497"/>
      <c r="CG1037" s="497"/>
      <c r="CH1037" s="497"/>
    </row>
    <row r="1038" spans="1:86" s="335" customFormat="1">
      <c r="A1038" s="517"/>
      <c r="B1038" s="517"/>
      <c r="C1038" s="517"/>
      <c r="D1038" s="517"/>
      <c r="E1038" s="517"/>
      <c r="F1038" s="517"/>
      <c r="G1038" s="517"/>
      <c r="H1038" s="639"/>
      <c r="I1038" s="639"/>
      <c r="J1038" s="336"/>
      <c r="K1038" s="2056"/>
      <c r="L1038" s="337"/>
      <c r="N1038" s="2057"/>
      <c r="O1038" s="337"/>
      <c r="P1038" s="337"/>
      <c r="Q1038" s="337"/>
      <c r="R1038" s="337"/>
      <c r="S1038" s="337"/>
      <c r="T1038" s="337"/>
      <c r="U1038" s="497"/>
      <c r="V1038" s="497"/>
      <c r="W1038" s="497"/>
      <c r="X1038" s="497"/>
      <c r="Y1038" s="497"/>
      <c r="Z1038" s="497"/>
      <c r="AA1038" s="497"/>
      <c r="AB1038" s="497"/>
      <c r="AC1038" s="497"/>
      <c r="AD1038" s="497"/>
      <c r="AE1038" s="497"/>
      <c r="AF1038" s="497"/>
      <c r="AG1038" s="497"/>
      <c r="AH1038" s="497"/>
      <c r="AI1038" s="497"/>
      <c r="AJ1038" s="497"/>
      <c r="AK1038" s="497"/>
      <c r="AL1038" s="497"/>
      <c r="AM1038" s="497"/>
      <c r="AN1038" s="497"/>
      <c r="AO1038" s="497"/>
      <c r="AP1038" s="497"/>
      <c r="AQ1038" s="497"/>
      <c r="AR1038" s="497"/>
      <c r="AS1038" s="497"/>
      <c r="AT1038" s="497"/>
      <c r="AU1038" s="497"/>
      <c r="AV1038" s="497"/>
      <c r="AW1038" s="497"/>
      <c r="AX1038" s="497"/>
      <c r="AY1038" s="497"/>
      <c r="AZ1038" s="497"/>
      <c r="BA1038" s="497"/>
      <c r="BB1038" s="497"/>
      <c r="BC1038" s="497"/>
      <c r="BD1038" s="497"/>
      <c r="BE1038" s="497"/>
      <c r="BF1038" s="497"/>
      <c r="BG1038" s="497"/>
      <c r="BH1038" s="497"/>
      <c r="BI1038" s="497"/>
      <c r="BJ1038" s="497"/>
      <c r="BK1038" s="497"/>
      <c r="BL1038" s="497"/>
      <c r="BM1038" s="497"/>
      <c r="BN1038" s="497"/>
      <c r="BO1038" s="497"/>
      <c r="BP1038" s="497"/>
      <c r="BQ1038" s="497"/>
      <c r="BR1038" s="497"/>
      <c r="BS1038" s="497"/>
      <c r="BT1038" s="497"/>
      <c r="BU1038" s="497"/>
      <c r="BV1038" s="497"/>
      <c r="BW1038" s="497"/>
      <c r="BX1038" s="497"/>
      <c r="BY1038" s="497"/>
      <c r="BZ1038" s="497"/>
      <c r="CA1038" s="497"/>
      <c r="CB1038" s="497"/>
      <c r="CC1038" s="497"/>
      <c r="CD1038" s="497"/>
      <c r="CE1038" s="497"/>
      <c r="CF1038" s="497"/>
      <c r="CG1038" s="497"/>
      <c r="CH1038" s="497"/>
    </row>
    <row r="1039" spans="1:86" s="335" customFormat="1">
      <c r="A1039" s="517"/>
      <c r="B1039" s="517"/>
      <c r="C1039" s="517"/>
      <c r="D1039" s="517"/>
      <c r="E1039" s="517"/>
      <c r="F1039" s="517"/>
      <c r="G1039" s="517"/>
      <c r="H1039" s="639"/>
      <c r="I1039" s="639"/>
      <c r="J1039" s="336"/>
      <c r="K1039" s="2056"/>
      <c r="L1039" s="337"/>
      <c r="N1039" s="2057"/>
      <c r="O1039" s="337"/>
      <c r="P1039" s="337"/>
      <c r="Q1039" s="337"/>
      <c r="R1039" s="337"/>
      <c r="S1039" s="337"/>
      <c r="T1039" s="337"/>
      <c r="U1039" s="497"/>
      <c r="V1039" s="497"/>
      <c r="W1039" s="497"/>
      <c r="X1039" s="497"/>
      <c r="Y1039" s="497"/>
      <c r="Z1039" s="497"/>
      <c r="AA1039" s="497"/>
      <c r="AB1039" s="497"/>
      <c r="AC1039" s="497"/>
      <c r="AD1039" s="497"/>
      <c r="AE1039" s="497"/>
      <c r="AF1039" s="497"/>
      <c r="AG1039" s="497"/>
      <c r="AH1039" s="497"/>
      <c r="AI1039" s="497"/>
      <c r="AJ1039" s="497"/>
      <c r="AK1039" s="497"/>
      <c r="AL1039" s="497"/>
      <c r="AM1039" s="497"/>
      <c r="AN1039" s="497"/>
      <c r="AO1039" s="497"/>
      <c r="AP1039" s="497"/>
      <c r="AQ1039" s="497"/>
      <c r="AR1039" s="497"/>
      <c r="AS1039" s="497"/>
      <c r="AT1039" s="497"/>
      <c r="AU1039" s="497"/>
      <c r="AV1039" s="497"/>
      <c r="AW1039" s="497"/>
      <c r="AX1039" s="497"/>
      <c r="AY1039" s="497"/>
      <c r="AZ1039" s="497"/>
      <c r="BA1039" s="497"/>
      <c r="BB1039" s="497"/>
      <c r="BC1039" s="497"/>
      <c r="BD1039" s="497"/>
      <c r="BE1039" s="497"/>
      <c r="BF1039" s="497"/>
      <c r="BG1039" s="497"/>
      <c r="BH1039" s="497"/>
      <c r="BI1039" s="497"/>
      <c r="BJ1039" s="497"/>
      <c r="BK1039" s="497"/>
      <c r="BL1039" s="497"/>
      <c r="BM1039" s="497"/>
      <c r="BN1039" s="497"/>
      <c r="BO1039" s="497"/>
      <c r="BP1039" s="497"/>
      <c r="BQ1039" s="497"/>
      <c r="BR1039" s="497"/>
      <c r="BS1039" s="497"/>
      <c r="BT1039" s="497"/>
      <c r="BU1039" s="497"/>
      <c r="BV1039" s="497"/>
      <c r="BW1039" s="497"/>
      <c r="BX1039" s="497"/>
      <c r="BY1039" s="497"/>
      <c r="BZ1039" s="497"/>
      <c r="CA1039" s="497"/>
      <c r="CB1039" s="497"/>
      <c r="CC1039" s="497"/>
      <c r="CD1039" s="497"/>
      <c r="CE1039" s="497"/>
      <c r="CF1039" s="497"/>
      <c r="CG1039" s="497"/>
      <c r="CH1039" s="497"/>
    </row>
    <row r="1040" spans="1:86" s="335" customFormat="1">
      <c r="A1040" s="517"/>
      <c r="B1040" s="517"/>
      <c r="C1040" s="517"/>
      <c r="D1040" s="517"/>
      <c r="E1040" s="517"/>
      <c r="F1040" s="517"/>
      <c r="G1040" s="517"/>
      <c r="H1040" s="639"/>
      <c r="I1040" s="639"/>
      <c r="J1040" s="336"/>
      <c r="K1040" s="2056"/>
      <c r="L1040" s="337"/>
      <c r="N1040" s="2057"/>
      <c r="O1040" s="337"/>
      <c r="P1040" s="337"/>
      <c r="Q1040" s="337"/>
      <c r="R1040" s="337"/>
      <c r="S1040" s="337"/>
      <c r="T1040" s="337"/>
      <c r="U1040" s="497"/>
      <c r="V1040" s="497"/>
      <c r="W1040" s="497"/>
      <c r="X1040" s="497"/>
      <c r="Y1040" s="497"/>
      <c r="Z1040" s="497"/>
      <c r="AA1040" s="497"/>
      <c r="AB1040" s="497"/>
      <c r="AC1040" s="497"/>
      <c r="AD1040" s="497"/>
      <c r="AE1040" s="497"/>
      <c r="AF1040" s="497"/>
      <c r="AG1040" s="497"/>
      <c r="AH1040" s="497"/>
      <c r="AI1040" s="497"/>
      <c r="AJ1040" s="497"/>
      <c r="AK1040" s="497"/>
      <c r="AL1040" s="497"/>
      <c r="AM1040" s="497"/>
      <c r="AN1040" s="497"/>
      <c r="AO1040" s="497"/>
      <c r="AP1040" s="497"/>
      <c r="AQ1040" s="497"/>
      <c r="AR1040" s="497"/>
      <c r="AS1040" s="497"/>
      <c r="AT1040" s="497"/>
      <c r="AU1040" s="497"/>
      <c r="AV1040" s="497"/>
      <c r="AW1040" s="497"/>
      <c r="AX1040" s="497"/>
      <c r="AY1040" s="497"/>
      <c r="AZ1040" s="497"/>
      <c r="BA1040" s="497"/>
      <c r="BB1040" s="497"/>
      <c r="BC1040" s="497"/>
      <c r="BD1040" s="497"/>
      <c r="BE1040" s="497"/>
      <c r="BF1040" s="497"/>
      <c r="BG1040" s="497"/>
      <c r="BH1040" s="497"/>
      <c r="BI1040" s="497"/>
      <c r="BJ1040" s="497"/>
      <c r="BK1040" s="497"/>
      <c r="BL1040" s="497"/>
      <c r="BM1040" s="497"/>
      <c r="BN1040" s="497"/>
      <c r="BO1040" s="497"/>
      <c r="BP1040" s="497"/>
      <c r="BQ1040" s="497"/>
      <c r="BR1040" s="497"/>
      <c r="BS1040" s="497"/>
      <c r="BT1040" s="497"/>
      <c r="BU1040" s="497"/>
      <c r="BV1040" s="497"/>
      <c r="BW1040" s="497"/>
      <c r="BX1040" s="497"/>
      <c r="BY1040" s="497"/>
      <c r="BZ1040" s="497"/>
      <c r="CA1040" s="497"/>
      <c r="CB1040" s="497"/>
      <c r="CC1040" s="497"/>
      <c r="CD1040" s="497"/>
      <c r="CE1040" s="497"/>
      <c r="CF1040" s="497"/>
      <c r="CG1040" s="497"/>
      <c r="CH1040" s="497"/>
    </row>
    <row r="1041" spans="1:86" s="335" customFormat="1">
      <c r="A1041" s="517"/>
      <c r="B1041" s="517"/>
      <c r="C1041" s="517"/>
      <c r="D1041" s="517"/>
      <c r="E1041" s="517"/>
      <c r="F1041" s="517"/>
      <c r="G1041" s="517"/>
      <c r="H1041" s="639"/>
      <c r="I1041" s="639"/>
      <c r="J1041" s="336"/>
      <c r="K1041" s="2056"/>
      <c r="L1041" s="337"/>
      <c r="N1041" s="2057"/>
      <c r="O1041" s="337"/>
      <c r="P1041" s="337"/>
      <c r="Q1041" s="337"/>
      <c r="R1041" s="337"/>
      <c r="S1041" s="337"/>
      <c r="T1041" s="337"/>
      <c r="U1041" s="497"/>
      <c r="V1041" s="497"/>
      <c r="W1041" s="497"/>
      <c r="X1041" s="497"/>
      <c r="Y1041" s="497"/>
      <c r="Z1041" s="497"/>
      <c r="AA1041" s="497"/>
      <c r="AB1041" s="497"/>
      <c r="AC1041" s="497"/>
      <c r="AD1041" s="497"/>
      <c r="AE1041" s="497"/>
      <c r="AF1041" s="497"/>
      <c r="AG1041" s="497"/>
      <c r="AH1041" s="497"/>
      <c r="AI1041" s="497"/>
      <c r="AJ1041" s="497"/>
      <c r="AK1041" s="497"/>
      <c r="AL1041" s="497"/>
      <c r="AM1041" s="497"/>
      <c r="AN1041" s="497"/>
      <c r="AO1041" s="497"/>
      <c r="AP1041" s="497"/>
      <c r="AQ1041" s="497"/>
      <c r="AR1041" s="497"/>
      <c r="AS1041" s="497"/>
      <c r="AT1041" s="497"/>
      <c r="AU1041" s="497"/>
      <c r="AV1041" s="497"/>
      <c r="AW1041" s="497"/>
      <c r="AX1041" s="497"/>
      <c r="AY1041" s="497"/>
      <c r="AZ1041" s="497"/>
      <c r="BA1041" s="497"/>
      <c r="BB1041" s="497"/>
      <c r="BC1041" s="497"/>
      <c r="BD1041" s="497"/>
      <c r="BE1041" s="497"/>
      <c r="BF1041" s="497"/>
      <c r="BG1041" s="497"/>
      <c r="BH1041" s="497"/>
      <c r="BI1041" s="497"/>
      <c r="BJ1041" s="497"/>
      <c r="BK1041" s="497"/>
      <c r="BL1041" s="497"/>
      <c r="BM1041" s="497"/>
      <c r="BN1041" s="497"/>
      <c r="BO1041" s="497"/>
      <c r="BP1041" s="497"/>
      <c r="BQ1041" s="497"/>
      <c r="BR1041" s="497"/>
      <c r="BS1041" s="497"/>
      <c r="BT1041" s="497"/>
      <c r="BU1041" s="497"/>
      <c r="BV1041" s="497"/>
      <c r="BW1041" s="497"/>
      <c r="BX1041" s="497"/>
      <c r="BY1041" s="497"/>
      <c r="BZ1041" s="497"/>
      <c r="CA1041" s="497"/>
      <c r="CB1041" s="497"/>
      <c r="CC1041" s="497"/>
      <c r="CD1041" s="497"/>
      <c r="CE1041" s="497"/>
      <c r="CF1041" s="497"/>
      <c r="CG1041" s="497"/>
      <c r="CH1041" s="497"/>
    </row>
    <row r="1042" spans="1:86" s="335" customFormat="1">
      <c r="A1042" s="517"/>
      <c r="B1042" s="517"/>
      <c r="C1042" s="517"/>
      <c r="D1042" s="517"/>
      <c r="E1042" s="517"/>
      <c r="F1042" s="517"/>
      <c r="G1042" s="517"/>
      <c r="H1042" s="639"/>
      <c r="I1042" s="639"/>
      <c r="J1042" s="336"/>
      <c r="K1042" s="2056"/>
      <c r="L1042" s="337"/>
      <c r="N1042" s="2057"/>
      <c r="O1042" s="337"/>
      <c r="P1042" s="337"/>
      <c r="Q1042" s="337"/>
      <c r="R1042" s="337"/>
      <c r="S1042" s="337"/>
      <c r="T1042" s="337"/>
      <c r="U1042" s="497"/>
      <c r="V1042" s="497"/>
      <c r="W1042" s="497"/>
      <c r="X1042" s="497"/>
      <c r="Y1042" s="497"/>
      <c r="Z1042" s="497"/>
      <c r="AA1042" s="497"/>
      <c r="AB1042" s="497"/>
      <c r="AC1042" s="497"/>
      <c r="AD1042" s="497"/>
      <c r="AE1042" s="497"/>
      <c r="AF1042" s="497"/>
      <c r="AG1042" s="497"/>
      <c r="AH1042" s="497"/>
      <c r="AI1042" s="497"/>
      <c r="AJ1042" s="497"/>
      <c r="AK1042" s="497"/>
      <c r="AL1042" s="497"/>
      <c r="AM1042" s="497"/>
      <c r="AN1042" s="497"/>
      <c r="AO1042" s="497"/>
      <c r="AP1042" s="497"/>
      <c r="AQ1042" s="497"/>
      <c r="AR1042" s="497"/>
      <c r="AS1042" s="497"/>
      <c r="AT1042" s="497"/>
      <c r="AU1042" s="497"/>
      <c r="AV1042" s="497"/>
      <c r="AW1042" s="497"/>
      <c r="AX1042" s="497"/>
      <c r="AY1042" s="497"/>
      <c r="AZ1042" s="497"/>
      <c r="BA1042" s="497"/>
      <c r="BB1042" s="497"/>
      <c r="BC1042" s="497"/>
      <c r="BD1042" s="497"/>
      <c r="BE1042" s="497"/>
      <c r="BF1042" s="497"/>
      <c r="BG1042" s="497"/>
      <c r="BH1042" s="497"/>
      <c r="BI1042" s="497"/>
      <c r="BJ1042" s="497"/>
      <c r="BK1042" s="497"/>
      <c r="BL1042" s="497"/>
      <c r="BM1042" s="497"/>
      <c r="BN1042" s="497"/>
      <c r="BO1042" s="497"/>
      <c r="BP1042" s="497"/>
      <c r="BQ1042" s="497"/>
      <c r="BR1042" s="497"/>
      <c r="BS1042" s="497"/>
      <c r="BT1042" s="497"/>
      <c r="BU1042" s="497"/>
      <c r="BV1042" s="497"/>
      <c r="BW1042" s="497"/>
      <c r="BX1042" s="497"/>
      <c r="BY1042" s="497"/>
      <c r="BZ1042" s="497"/>
      <c r="CA1042" s="497"/>
      <c r="CB1042" s="497"/>
      <c r="CC1042" s="497"/>
      <c r="CD1042" s="497"/>
      <c r="CE1042" s="497"/>
      <c r="CF1042" s="497"/>
      <c r="CG1042" s="497"/>
      <c r="CH1042" s="497"/>
    </row>
    <row r="1043" spans="1:86" s="335" customFormat="1">
      <c r="A1043" s="517"/>
      <c r="B1043" s="517"/>
      <c r="C1043" s="517"/>
      <c r="D1043" s="517"/>
      <c r="E1043" s="517"/>
      <c r="F1043" s="517"/>
      <c r="G1043" s="517"/>
      <c r="H1043" s="639"/>
      <c r="I1043" s="639"/>
      <c r="J1043" s="336"/>
      <c r="K1043" s="2056"/>
      <c r="L1043" s="337"/>
      <c r="N1043" s="2057"/>
      <c r="O1043" s="337"/>
      <c r="P1043" s="337"/>
      <c r="Q1043" s="337"/>
      <c r="R1043" s="337"/>
      <c r="S1043" s="337"/>
      <c r="T1043" s="337"/>
      <c r="U1043" s="497"/>
      <c r="V1043" s="497"/>
      <c r="W1043" s="497"/>
      <c r="X1043" s="497"/>
      <c r="Y1043" s="497"/>
      <c r="Z1043" s="497"/>
      <c r="AA1043" s="497"/>
      <c r="AB1043" s="497"/>
      <c r="AC1043" s="497"/>
      <c r="AD1043" s="497"/>
      <c r="AE1043" s="497"/>
      <c r="AF1043" s="497"/>
      <c r="AG1043" s="497"/>
      <c r="AH1043" s="497"/>
      <c r="AI1043" s="497"/>
      <c r="AJ1043" s="497"/>
      <c r="AK1043" s="497"/>
      <c r="AL1043" s="497"/>
      <c r="AM1043" s="497"/>
      <c r="AN1043" s="497"/>
      <c r="AO1043" s="497"/>
      <c r="AP1043" s="497"/>
      <c r="AQ1043" s="497"/>
      <c r="AR1043" s="497"/>
      <c r="AS1043" s="497"/>
      <c r="AT1043" s="497"/>
      <c r="AU1043" s="497"/>
      <c r="AV1043" s="497"/>
      <c r="AW1043" s="497"/>
      <c r="AX1043" s="497"/>
      <c r="AY1043" s="497"/>
      <c r="AZ1043" s="497"/>
      <c r="BA1043" s="497"/>
      <c r="BB1043" s="497"/>
      <c r="BC1043" s="497"/>
      <c r="BD1043" s="497"/>
      <c r="BE1043" s="497"/>
      <c r="BF1043" s="497"/>
      <c r="BG1043" s="497"/>
      <c r="BH1043" s="497"/>
      <c r="BI1043" s="497"/>
      <c r="BJ1043" s="497"/>
      <c r="BK1043" s="497"/>
      <c r="BL1043" s="497"/>
      <c r="BM1043" s="497"/>
      <c r="BN1043" s="497"/>
      <c r="BO1043" s="497"/>
      <c r="BP1043" s="497"/>
      <c r="BQ1043" s="497"/>
      <c r="BR1043" s="497"/>
      <c r="BS1043" s="497"/>
      <c r="BT1043" s="497"/>
      <c r="BU1043" s="497"/>
      <c r="BV1043" s="497"/>
      <c r="BW1043" s="497"/>
      <c r="BX1043" s="497"/>
      <c r="BY1043" s="497"/>
      <c r="BZ1043" s="497"/>
      <c r="CA1043" s="497"/>
      <c r="CB1043" s="497"/>
      <c r="CC1043" s="497"/>
      <c r="CD1043" s="497"/>
      <c r="CE1043" s="497"/>
      <c r="CF1043" s="497"/>
      <c r="CG1043" s="497"/>
      <c r="CH1043" s="497"/>
    </row>
    <row r="1044" spans="1:86" s="335" customFormat="1">
      <c r="A1044" s="517"/>
      <c r="B1044" s="517"/>
      <c r="C1044" s="517"/>
      <c r="D1044" s="517"/>
      <c r="E1044" s="517"/>
      <c r="F1044" s="517"/>
      <c r="G1044" s="517"/>
      <c r="H1044" s="639"/>
      <c r="I1044" s="639"/>
      <c r="J1044" s="336"/>
      <c r="K1044" s="2056"/>
      <c r="L1044" s="337"/>
      <c r="N1044" s="2057"/>
      <c r="O1044" s="337"/>
      <c r="P1044" s="337"/>
      <c r="Q1044" s="337"/>
      <c r="R1044" s="337"/>
      <c r="S1044" s="337"/>
      <c r="T1044" s="337"/>
      <c r="U1044" s="497"/>
      <c r="V1044" s="497"/>
      <c r="W1044" s="497"/>
      <c r="X1044" s="497"/>
      <c r="Y1044" s="497"/>
      <c r="Z1044" s="497"/>
      <c r="AA1044" s="497"/>
      <c r="AB1044" s="497"/>
      <c r="AC1044" s="497"/>
      <c r="AD1044" s="497"/>
      <c r="AE1044" s="497"/>
      <c r="AF1044" s="497"/>
      <c r="AG1044" s="497"/>
      <c r="AH1044" s="497"/>
      <c r="AI1044" s="497"/>
      <c r="AJ1044" s="497"/>
      <c r="AK1044" s="497"/>
      <c r="AL1044" s="497"/>
      <c r="AM1044" s="497"/>
      <c r="AN1044" s="497"/>
      <c r="AO1044" s="497"/>
      <c r="AP1044" s="497"/>
      <c r="AQ1044" s="497"/>
      <c r="AR1044" s="497"/>
      <c r="AS1044" s="497"/>
      <c r="AT1044" s="497"/>
      <c r="AU1044" s="497"/>
      <c r="AV1044" s="497"/>
      <c r="AW1044" s="497"/>
      <c r="AX1044" s="497"/>
      <c r="AY1044" s="497"/>
      <c r="AZ1044" s="497"/>
      <c r="BA1044" s="497"/>
      <c r="BB1044" s="497"/>
      <c r="BC1044" s="497"/>
      <c r="BD1044" s="497"/>
      <c r="BE1044" s="497"/>
      <c r="BF1044" s="497"/>
      <c r="BG1044" s="497"/>
      <c r="BH1044" s="497"/>
      <c r="BI1044" s="497"/>
      <c r="BJ1044" s="497"/>
      <c r="BK1044" s="497"/>
      <c r="BL1044" s="497"/>
      <c r="BM1044" s="497"/>
      <c r="BN1044" s="497"/>
      <c r="BO1044" s="497"/>
      <c r="BP1044" s="497"/>
      <c r="BQ1044" s="497"/>
      <c r="BR1044" s="497"/>
      <c r="BS1044" s="497"/>
      <c r="BT1044" s="497"/>
      <c r="BU1044" s="497"/>
      <c r="BV1044" s="497"/>
      <c r="BW1044" s="497"/>
      <c r="BX1044" s="497"/>
      <c r="BY1044" s="497"/>
      <c r="BZ1044" s="497"/>
      <c r="CA1044" s="497"/>
      <c r="CB1044" s="497"/>
      <c r="CC1044" s="497"/>
      <c r="CD1044" s="497"/>
      <c r="CE1044" s="497"/>
      <c r="CF1044" s="497"/>
      <c r="CG1044" s="497"/>
      <c r="CH1044" s="497"/>
    </row>
    <row r="1045" spans="1:86" s="335" customFormat="1">
      <c r="A1045" s="517"/>
      <c r="B1045" s="517"/>
      <c r="C1045" s="517"/>
      <c r="D1045" s="517"/>
      <c r="E1045" s="517"/>
      <c r="F1045" s="517"/>
      <c r="G1045" s="517"/>
      <c r="H1045" s="639"/>
      <c r="I1045" s="639"/>
      <c r="J1045" s="336"/>
      <c r="K1045" s="2056"/>
      <c r="L1045" s="337"/>
      <c r="N1045" s="2057"/>
      <c r="O1045" s="337"/>
      <c r="P1045" s="337"/>
      <c r="Q1045" s="337"/>
      <c r="R1045" s="337"/>
      <c r="S1045" s="337"/>
      <c r="T1045" s="337"/>
      <c r="U1045" s="497"/>
      <c r="V1045" s="497"/>
      <c r="W1045" s="497"/>
      <c r="X1045" s="497"/>
      <c r="Y1045" s="497"/>
      <c r="Z1045" s="497"/>
      <c r="AA1045" s="497"/>
      <c r="AB1045" s="497"/>
      <c r="AC1045" s="497"/>
      <c r="AD1045" s="497"/>
      <c r="AE1045" s="497"/>
      <c r="AF1045" s="497"/>
      <c r="AG1045" s="497"/>
      <c r="AH1045" s="497"/>
      <c r="AI1045" s="497"/>
      <c r="AJ1045" s="497"/>
      <c r="AK1045" s="497"/>
      <c r="AL1045" s="497"/>
      <c r="AM1045" s="497"/>
      <c r="AN1045" s="497"/>
      <c r="AO1045" s="497"/>
      <c r="AP1045" s="497"/>
      <c r="AQ1045" s="497"/>
      <c r="AR1045" s="497"/>
      <c r="AS1045" s="497"/>
      <c r="AT1045" s="497"/>
      <c r="AU1045" s="497"/>
      <c r="AV1045" s="497"/>
      <c r="AW1045" s="497"/>
      <c r="AX1045" s="497"/>
      <c r="AY1045" s="497"/>
      <c r="AZ1045" s="497"/>
      <c r="BA1045" s="497"/>
      <c r="BB1045" s="497"/>
      <c r="BC1045" s="497"/>
      <c r="BD1045" s="497"/>
      <c r="BE1045" s="497"/>
      <c r="BF1045" s="497"/>
      <c r="BG1045" s="497"/>
      <c r="BH1045" s="497"/>
      <c r="BI1045" s="497"/>
      <c r="BJ1045" s="497"/>
      <c r="BK1045" s="497"/>
      <c r="BL1045" s="497"/>
      <c r="BM1045" s="497"/>
      <c r="BN1045" s="497"/>
      <c r="BO1045" s="497"/>
      <c r="BP1045" s="497"/>
      <c r="BQ1045" s="497"/>
      <c r="BR1045" s="497"/>
      <c r="BS1045" s="497"/>
      <c r="BT1045" s="497"/>
      <c r="BU1045" s="497"/>
      <c r="BV1045" s="497"/>
      <c r="BW1045" s="497"/>
      <c r="BX1045" s="497"/>
      <c r="BY1045" s="497"/>
      <c r="BZ1045" s="497"/>
      <c r="CA1045" s="497"/>
      <c r="CB1045" s="497"/>
      <c r="CC1045" s="497"/>
      <c r="CD1045" s="497"/>
      <c r="CE1045" s="497"/>
      <c r="CF1045" s="497"/>
      <c r="CG1045" s="497"/>
      <c r="CH1045" s="497"/>
    </row>
    <row r="1046" spans="1:86" s="335" customFormat="1">
      <c r="A1046" s="517"/>
      <c r="B1046" s="517"/>
      <c r="C1046" s="517"/>
      <c r="D1046" s="517"/>
      <c r="E1046" s="517"/>
      <c r="F1046" s="517"/>
      <c r="G1046" s="517"/>
      <c r="H1046" s="639"/>
      <c r="I1046" s="639"/>
      <c r="J1046" s="336"/>
      <c r="K1046" s="2056"/>
      <c r="L1046" s="337"/>
      <c r="N1046" s="2057"/>
      <c r="O1046" s="337"/>
      <c r="P1046" s="337"/>
      <c r="Q1046" s="337"/>
      <c r="R1046" s="337"/>
      <c r="S1046" s="337"/>
      <c r="T1046" s="337"/>
      <c r="U1046" s="497"/>
      <c r="V1046" s="497"/>
      <c r="W1046" s="497"/>
      <c r="X1046" s="497"/>
      <c r="Y1046" s="497"/>
      <c r="Z1046" s="497"/>
      <c r="AA1046" s="497"/>
      <c r="AB1046" s="497"/>
      <c r="AC1046" s="497"/>
      <c r="AD1046" s="497"/>
      <c r="AE1046" s="497"/>
      <c r="AF1046" s="497"/>
      <c r="AG1046" s="497"/>
      <c r="AH1046" s="497"/>
      <c r="AI1046" s="497"/>
      <c r="AJ1046" s="497"/>
      <c r="AK1046" s="497"/>
      <c r="AL1046" s="497"/>
      <c r="AM1046" s="497"/>
      <c r="AN1046" s="497"/>
      <c r="AO1046" s="497"/>
      <c r="AP1046" s="497"/>
      <c r="AQ1046" s="497"/>
      <c r="AR1046" s="497"/>
      <c r="AS1046" s="497"/>
      <c r="AT1046" s="497"/>
      <c r="AU1046" s="497"/>
      <c r="AV1046" s="497"/>
      <c r="AW1046" s="497"/>
      <c r="AX1046" s="497"/>
      <c r="AY1046" s="497"/>
      <c r="AZ1046" s="497"/>
      <c r="BA1046" s="497"/>
      <c r="BB1046" s="497"/>
      <c r="BC1046" s="497"/>
      <c r="BD1046" s="497"/>
      <c r="BE1046" s="497"/>
      <c r="BF1046" s="497"/>
      <c r="BG1046" s="497"/>
      <c r="BH1046" s="497"/>
      <c r="BI1046" s="497"/>
      <c r="BJ1046" s="497"/>
      <c r="BK1046" s="497"/>
      <c r="BL1046" s="497"/>
      <c r="BM1046" s="497"/>
      <c r="BN1046" s="497"/>
      <c r="BO1046" s="497"/>
      <c r="BP1046" s="497"/>
      <c r="BQ1046" s="497"/>
      <c r="BR1046" s="497"/>
      <c r="BS1046" s="497"/>
      <c r="BT1046" s="497"/>
      <c r="BU1046" s="497"/>
      <c r="BV1046" s="497"/>
      <c r="BW1046" s="497"/>
      <c r="BX1046" s="497"/>
      <c r="BY1046" s="497"/>
      <c r="BZ1046" s="497"/>
      <c r="CA1046" s="497"/>
      <c r="CB1046" s="497"/>
      <c r="CC1046" s="497"/>
      <c r="CD1046" s="497"/>
      <c r="CE1046" s="497"/>
      <c r="CF1046" s="497"/>
      <c r="CG1046" s="497"/>
      <c r="CH1046" s="497"/>
    </row>
    <row r="1047" spans="1:86" s="335" customFormat="1">
      <c r="A1047" s="517"/>
      <c r="B1047" s="517"/>
      <c r="C1047" s="517"/>
      <c r="D1047" s="517"/>
      <c r="E1047" s="517"/>
      <c r="F1047" s="517"/>
      <c r="G1047" s="517"/>
      <c r="H1047" s="639"/>
      <c r="I1047" s="639"/>
      <c r="J1047" s="336"/>
      <c r="K1047" s="2056"/>
      <c r="L1047" s="337"/>
      <c r="N1047" s="2057"/>
      <c r="O1047" s="337"/>
      <c r="P1047" s="337"/>
      <c r="Q1047" s="337"/>
      <c r="R1047" s="337"/>
      <c r="S1047" s="337"/>
      <c r="T1047" s="337"/>
      <c r="U1047" s="497"/>
      <c r="V1047" s="497"/>
      <c r="W1047" s="497"/>
      <c r="X1047" s="497"/>
      <c r="Y1047" s="497"/>
      <c r="Z1047" s="497"/>
      <c r="AA1047" s="497"/>
      <c r="AB1047" s="497"/>
      <c r="AC1047" s="497"/>
      <c r="AD1047" s="497"/>
      <c r="AE1047" s="497"/>
      <c r="AF1047" s="497"/>
      <c r="AG1047" s="497"/>
      <c r="AH1047" s="497"/>
      <c r="AI1047" s="497"/>
      <c r="AJ1047" s="497"/>
      <c r="AK1047" s="497"/>
      <c r="AL1047" s="497"/>
      <c r="AM1047" s="497"/>
      <c r="AN1047" s="497"/>
      <c r="AO1047" s="497"/>
      <c r="AP1047" s="497"/>
      <c r="AQ1047" s="497"/>
      <c r="AR1047" s="497"/>
      <c r="AS1047" s="497"/>
      <c r="AT1047" s="497"/>
      <c r="AU1047" s="497"/>
      <c r="AV1047" s="497"/>
      <c r="AW1047" s="497"/>
      <c r="AX1047" s="497"/>
      <c r="AY1047" s="497"/>
      <c r="AZ1047" s="497"/>
      <c r="BA1047" s="497"/>
      <c r="BB1047" s="497"/>
      <c r="BC1047" s="497"/>
      <c r="BD1047" s="497"/>
      <c r="BE1047" s="497"/>
      <c r="BF1047" s="497"/>
      <c r="BG1047" s="497"/>
      <c r="BH1047" s="497"/>
      <c r="BI1047" s="497"/>
      <c r="BJ1047" s="497"/>
      <c r="BK1047" s="497"/>
      <c r="BL1047" s="497"/>
      <c r="BM1047" s="497"/>
      <c r="BN1047" s="497"/>
      <c r="BO1047" s="497"/>
      <c r="BP1047" s="497"/>
      <c r="BQ1047" s="497"/>
      <c r="BR1047" s="497"/>
      <c r="BS1047" s="497"/>
      <c r="BT1047" s="497"/>
      <c r="BU1047" s="497"/>
      <c r="BV1047" s="497"/>
      <c r="BW1047" s="497"/>
      <c r="BX1047" s="497"/>
      <c r="BY1047" s="497"/>
      <c r="BZ1047" s="497"/>
      <c r="CA1047" s="497"/>
      <c r="CB1047" s="497"/>
      <c r="CC1047" s="497"/>
      <c r="CD1047" s="497"/>
      <c r="CE1047" s="497"/>
      <c r="CF1047" s="497"/>
      <c r="CG1047" s="497"/>
      <c r="CH1047" s="497"/>
    </row>
    <row r="1048" spans="1:86" s="335" customFormat="1">
      <c r="A1048" s="517"/>
      <c r="B1048" s="517"/>
      <c r="C1048" s="517"/>
      <c r="D1048" s="517"/>
      <c r="E1048" s="517"/>
      <c r="F1048" s="517"/>
      <c r="G1048" s="517"/>
      <c r="H1048" s="639"/>
      <c r="I1048" s="639"/>
      <c r="J1048" s="336"/>
      <c r="K1048" s="2056"/>
      <c r="L1048" s="337"/>
      <c r="N1048" s="2057"/>
      <c r="O1048" s="337"/>
      <c r="P1048" s="337"/>
      <c r="Q1048" s="337"/>
      <c r="R1048" s="337"/>
      <c r="S1048" s="337"/>
      <c r="T1048" s="337"/>
      <c r="U1048" s="497"/>
      <c r="V1048" s="497"/>
      <c r="W1048" s="497"/>
      <c r="X1048" s="497"/>
      <c r="Y1048" s="497"/>
      <c r="Z1048" s="497"/>
      <c r="AA1048" s="497"/>
      <c r="AB1048" s="497"/>
      <c r="AC1048" s="497"/>
      <c r="AD1048" s="497"/>
      <c r="AE1048" s="497"/>
      <c r="AF1048" s="497"/>
      <c r="AG1048" s="497"/>
      <c r="AH1048" s="497"/>
      <c r="AI1048" s="497"/>
      <c r="AJ1048" s="497"/>
      <c r="AK1048" s="497"/>
      <c r="AL1048" s="497"/>
      <c r="AM1048" s="497"/>
      <c r="AN1048" s="497"/>
      <c r="AO1048" s="497"/>
      <c r="AP1048" s="497"/>
      <c r="AQ1048" s="497"/>
      <c r="AR1048" s="497"/>
      <c r="AS1048" s="497"/>
      <c r="AT1048" s="497"/>
      <c r="AU1048" s="497"/>
      <c r="AV1048" s="497"/>
      <c r="AW1048" s="497"/>
      <c r="AX1048" s="497"/>
      <c r="AY1048" s="497"/>
      <c r="AZ1048" s="497"/>
      <c r="BA1048" s="497"/>
      <c r="BB1048" s="497"/>
      <c r="BC1048" s="497"/>
      <c r="BD1048" s="497"/>
      <c r="BE1048" s="497"/>
      <c r="BF1048" s="497"/>
      <c r="BG1048" s="497"/>
      <c r="BH1048" s="497"/>
      <c r="BI1048" s="497"/>
      <c r="BJ1048" s="497"/>
      <c r="BK1048" s="497"/>
      <c r="BL1048" s="497"/>
      <c r="BM1048" s="497"/>
      <c r="BN1048" s="497"/>
      <c r="BO1048" s="497"/>
      <c r="BP1048" s="497"/>
      <c r="BQ1048" s="497"/>
      <c r="BR1048" s="497"/>
      <c r="BS1048" s="497"/>
      <c r="BT1048" s="497"/>
      <c r="BU1048" s="497"/>
      <c r="BV1048" s="497"/>
      <c r="BW1048" s="497"/>
      <c r="BX1048" s="497"/>
      <c r="BY1048" s="497"/>
      <c r="BZ1048" s="497"/>
      <c r="CA1048" s="497"/>
      <c r="CB1048" s="497"/>
      <c r="CC1048" s="497"/>
      <c r="CD1048" s="497"/>
      <c r="CE1048" s="497"/>
      <c r="CF1048" s="497"/>
      <c r="CG1048" s="497"/>
      <c r="CH1048" s="497"/>
    </row>
    <row r="1049" spans="1:86" s="335" customFormat="1">
      <c r="A1049" s="517"/>
      <c r="B1049" s="517"/>
      <c r="C1049" s="517"/>
      <c r="D1049" s="517"/>
      <c r="E1049" s="517"/>
      <c r="F1049" s="517"/>
      <c r="G1049" s="517"/>
      <c r="H1049" s="639"/>
      <c r="I1049" s="639"/>
      <c r="J1049" s="336"/>
      <c r="K1049" s="2056"/>
      <c r="L1049" s="337"/>
      <c r="N1049" s="2057"/>
      <c r="O1049" s="337"/>
      <c r="P1049" s="337"/>
      <c r="Q1049" s="337"/>
      <c r="R1049" s="337"/>
      <c r="S1049" s="337"/>
      <c r="T1049" s="337"/>
      <c r="U1049" s="497"/>
      <c r="V1049" s="497"/>
      <c r="W1049" s="497"/>
      <c r="X1049" s="497"/>
      <c r="Y1049" s="497"/>
      <c r="Z1049" s="497"/>
      <c r="AA1049" s="497"/>
      <c r="AB1049" s="497"/>
      <c r="AC1049" s="497"/>
      <c r="AD1049" s="497"/>
      <c r="AE1049" s="497"/>
      <c r="AF1049" s="497"/>
      <c r="AG1049" s="497"/>
      <c r="AH1049" s="497"/>
      <c r="AI1049" s="497"/>
      <c r="AJ1049" s="497"/>
      <c r="AK1049" s="497"/>
      <c r="AL1049" s="497"/>
      <c r="AM1049" s="497"/>
      <c r="AN1049" s="497"/>
      <c r="AO1049" s="497"/>
      <c r="AP1049" s="497"/>
      <c r="AQ1049" s="497"/>
      <c r="AR1049" s="497"/>
      <c r="AS1049" s="497"/>
      <c r="AT1049" s="497"/>
      <c r="AU1049" s="497"/>
      <c r="AV1049" s="497"/>
      <c r="AW1049" s="497"/>
      <c r="AX1049" s="497"/>
      <c r="AY1049" s="497"/>
      <c r="AZ1049" s="497"/>
      <c r="BA1049" s="497"/>
      <c r="BB1049" s="497"/>
      <c r="BC1049" s="497"/>
      <c r="BD1049" s="497"/>
      <c r="BE1049" s="497"/>
      <c r="BF1049" s="497"/>
      <c r="BG1049" s="497"/>
      <c r="BH1049" s="497"/>
      <c r="BI1049" s="497"/>
      <c r="BJ1049" s="497"/>
      <c r="BK1049" s="497"/>
      <c r="BL1049" s="497"/>
      <c r="BM1049" s="497"/>
      <c r="BN1049" s="497"/>
      <c r="BO1049" s="497"/>
      <c r="BP1049" s="497"/>
      <c r="BQ1049" s="497"/>
      <c r="BR1049" s="497"/>
      <c r="BS1049" s="497"/>
      <c r="BT1049" s="497"/>
      <c r="BU1049" s="497"/>
      <c r="BV1049" s="497"/>
      <c r="BW1049" s="497"/>
      <c r="BX1049" s="497"/>
      <c r="BY1049" s="497"/>
      <c r="BZ1049" s="497"/>
      <c r="CA1049" s="497"/>
      <c r="CB1049" s="497"/>
      <c r="CC1049" s="497"/>
      <c r="CD1049" s="497"/>
      <c r="CE1049" s="497"/>
      <c r="CF1049" s="497"/>
      <c r="CG1049" s="497"/>
      <c r="CH1049" s="497"/>
    </row>
    <row r="1050" spans="1:86" s="335" customFormat="1">
      <c r="A1050" s="517"/>
      <c r="B1050" s="517"/>
      <c r="C1050" s="517"/>
      <c r="D1050" s="517"/>
      <c r="E1050" s="517"/>
      <c r="F1050" s="517"/>
      <c r="G1050" s="517"/>
      <c r="H1050" s="639"/>
      <c r="I1050" s="639"/>
      <c r="J1050" s="336"/>
      <c r="K1050" s="2056"/>
      <c r="L1050" s="337"/>
      <c r="N1050" s="2057"/>
      <c r="O1050" s="337"/>
      <c r="P1050" s="337"/>
      <c r="Q1050" s="337"/>
      <c r="R1050" s="337"/>
      <c r="S1050" s="337"/>
      <c r="T1050" s="337"/>
      <c r="U1050" s="497"/>
      <c r="V1050" s="497"/>
      <c r="W1050" s="497"/>
      <c r="X1050" s="497"/>
      <c r="Y1050" s="497"/>
      <c r="Z1050" s="497"/>
      <c r="AA1050" s="497"/>
      <c r="AB1050" s="497"/>
      <c r="AC1050" s="497"/>
      <c r="AD1050" s="497"/>
      <c r="AE1050" s="497"/>
      <c r="AF1050" s="497"/>
      <c r="AG1050" s="497"/>
      <c r="AH1050" s="497"/>
      <c r="AI1050" s="497"/>
      <c r="AJ1050" s="497"/>
      <c r="AK1050" s="497"/>
      <c r="AL1050" s="497"/>
      <c r="AM1050" s="497"/>
      <c r="AN1050" s="497"/>
      <c r="AO1050" s="497"/>
      <c r="AP1050" s="497"/>
      <c r="AQ1050" s="497"/>
      <c r="AR1050" s="497"/>
      <c r="AS1050" s="497"/>
      <c r="AT1050" s="497"/>
      <c r="AU1050" s="497"/>
      <c r="AV1050" s="497"/>
      <c r="AW1050" s="497"/>
      <c r="AX1050" s="497"/>
      <c r="AY1050" s="497"/>
      <c r="AZ1050" s="497"/>
      <c r="BA1050" s="497"/>
      <c r="BB1050" s="497"/>
      <c r="BC1050" s="497"/>
      <c r="BD1050" s="497"/>
      <c r="BE1050" s="497"/>
      <c r="BF1050" s="497"/>
      <c r="BG1050" s="497"/>
      <c r="BH1050" s="497"/>
      <c r="BI1050" s="497"/>
      <c r="BJ1050" s="497"/>
      <c r="BK1050" s="497"/>
      <c r="BL1050" s="497"/>
      <c r="BM1050" s="497"/>
      <c r="BN1050" s="497"/>
      <c r="BO1050" s="497"/>
      <c r="BP1050" s="497"/>
      <c r="BQ1050" s="497"/>
      <c r="BR1050" s="497"/>
      <c r="BS1050" s="497"/>
      <c r="BT1050" s="497"/>
      <c r="BU1050" s="497"/>
      <c r="BV1050" s="497"/>
      <c r="BW1050" s="497"/>
      <c r="BX1050" s="497"/>
      <c r="BY1050" s="497"/>
      <c r="BZ1050" s="497"/>
      <c r="CA1050" s="497"/>
      <c r="CB1050" s="497"/>
      <c r="CC1050" s="497"/>
      <c r="CD1050" s="497"/>
      <c r="CE1050" s="497"/>
      <c r="CF1050" s="497"/>
      <c r="CG1050" s="497"/>
      <c r="CH1050" s="497"/>
    </row>
    <row r="1051" spans="1:86" s="335" customFormat="1">
      <c r="A1051" s="517"/>
      <c r="B1051" s="517"/>
      <c r="C1051" s="517"/>
      <c r="D1051" s="517"/>
      <c r="E1051" s="517"/>
      <c r="F1051" s="517"/>
      <c r="G1051" s="517"/>
      <c r="H1051" s="639"/>
      <c r="I1051" s="639"/>
      <c r="J1051" s="336"/>
      <c r="K1051" s="2056"/>
      <c r="L1051" s="337"/>
      <c r="N1051" s="2057"/>
      <c r="O1051" s="337"/>
      <c r="P1051" s="337"/>
      <c r="Q1051" s="337"/>
      <c r="R1051" s="337"/>
      <c r="S1051" s="337"/>
      <c r="T1051" s="337"/>
      <c r="U1051" s="497"/>
      <c r="V1051" s="497"/>
      <c r="W1051" s="497"/>
      <c r="X1051" s="497"/>
      <c r="Y1051" s="497"/>
      <c r="Z1051" s="497"/>
      <c r="AA1051" s="497"/>
      <c r="AB1051" s="497"/>
      <c r="AC1051" s="497"/>
      <c r="AD1051" s="497"/>
      <c r="AE1051" s="497"/>
      <c r="AF1051" s="497"/>
      <c r="AG1051" s="497"/>
      <c r="AH1051" s="497"/>
      <c r="AI1051" s="497"/>
      <c r="AJ1051" s="497"/>
      <c r="AK1051" s="497"/>
      <c r="AL1051" s="497"/>
      <c r="AM1051" s="497"/>
      <c r="AN1051" s="497"/>
      <c r="AO1051" s="497"/>
      <c r="AP1051" s="497"/>
      <c r="AQ1051" s="497"/>
      <c r="AR1051" s="497"/>
      <c r="AS1051" s="497"/>
      <c r="AT1051" s="497"/>
      <c r="AU1051" s="497"/>
      <c r="AV1051" s="497"/>
      <c r="AW1051" s="497"/>
      <c r="AX1051" s="497"/>
      <c r="AY1051" s="497"/>
      <c r="AZ1051" s="497"/>
      <c r="BA1051" s="497"/>
      <c r="BB1051" s="497"/>
      <c r="BC1051" s="497"/>
      <c r="BD1051" s="497"/>
      <c r="BE1051" s="497"/>
      <c r="BF1051" s="497"/>
      <c r="BG1051" s="497"/>
      <c r="BH1051" s="497"/>
      <c r="BI1051" s="497"/>
      <c r="BJ1051" s="497"/>
      <c r="BK1051" s="497"/>
      <c r="BL1051" s="497"/>
      <c r="BM1051" s="497"/>
      <c r="BN1051" s="497"/>
      <c r="BO1051" s="497"/>
      <c r="BP1051" s="497"/>
      <c r="BQ1051" s="497"/>
      <c r="BR1051" s="497"/>
      <c r="BS1051" s="497"/>
      <c r="BT1051" s="497"/>
      <c r="BU1051" s="497"/>
      <c r="BV1051" s="497"/>
      <c r="BW1051" s="497"/>
      <c r="BX1051" s="497"/>
      <c r="BY1051" s="497"/>
      <c r="BZ1051" s="497"/>
      <c r="CA1051" s="497"/>
      <c r="CB1051" s="497"/>
      <c r="CC1051" s="497"/>
      <c r="CD1051" s="497"/>
      <c r="CE1051" s="497"/>
      <c r="CF1051" s="497"/>
      <c r="CG1051" s="497"/>
      <c r="CH1051" s="497"/>
    </row>
    <row r="1052" spans="1:86" s="335" customFormat="1">
      <c r="A1052" s="517"/>
      <c r="B1052" s="517"/>
      <c r="C1052" s="517"/>
      <c r="D1052" s="517"/>
      <c r="E1052" s="517"/>
      <c r="F1052" s="517"/>
      <c r="G1052" s="517"/>
      <c r="H1052" s="639"/>
      <c r="I1052" s="639"/>
      <c r="J1052" s="336"/>
      <c r="K1052" s="2056"/>
      <c r="L1052" s="337"/>
      <c r="N1052" s="2057"/>
      <c r="O1052" s="337"/>
      <c r="P1052" s="337"/>
      <c r="Q1052" s="337"/>
      <c r="R1052" s="337"/>
      <c r="S1052" s="337"/>
      <c r="T1052" s="337"/>
      <c r="U1052" s="497"/>
      <c r="V1052" s="497"/>
      <c r="W1052" s="497"/>
      <c r="X1052" s="497"/>
      <c r="Y1052" s="497"/>
      <c r="Z1052" s="497"/>
      <c r="AA1052" s="497"/>
      <c r="AB1052" s="497"/>
      <c r="AC1052" s="497"/>
      <c r="AD1052" s="497"/>
      <c r="AE1052" s="497"/>
      <c r="AF1052" s="497"/>
      <c r="AG1052" s="497"/>
      <c r="AH1052" s="497"/>
      <c r="AI1052" s="497"/>
      <c r="AJ1052" s="497"/>
      <c r="AK1052" s="497"/>
      <c r="AL1052" s="497"/>
      <c r="AM1052" s="497"/>
      <c r="AN1052" s="497"/>
      <c r="AO1052" s="497"/>
      <c r="AP1052" s="497"/>
      <c r="AQ1052" s="497"/>
      <c r="AR1052" s="497"/>
      <c r="AS1052" s="497"/>
      <c r="AT1052" s="497"/>
      <c r="AU1052" s="497"/>
      <c r="AV1052" s="497"/>
      <c r="AW1052" s="497"/>
      <c r="AX1052" s="497"/>
      <c r="AY1052" s="497"/>
      <c r="AZ1052" s="497"/>
      <c r="BA1052" s="497"/>
      <c r="BB1052" s="497"/>
      <c r="BC1052" s="497"/>
      <c r="BD1052" s="497"/>
      <c r="BE1052" s="497"/>
      <c r="BF1052" s="497"/>
      <c r="BG1052" s="497"/>
      <c r="BH1052" s="497"/>
      <c r="BI1052" s="497"/>
      <c r="BJ1052" s="497"/>
      <c r="BK1052" s="497"/>
      <c r="BL1052" s="497"/>
      <c r="BM1052" s="497"/>
      <c r="BN1052" s="497"/>
      <c r="BO1052" s="497"/>
      <c r="BP1052" s="497"/>
      <c r="BQ1052" s="497"/>
      <c r="BR1052" s="497"/>
      <c r="BS1052" s="497"/>
      <c r="BT1052" s="497"/>
      <c r="BU1052" s="497"/>
      <c r="BV1052" s="497"/>
      <c r="BW1052" s="497"/>
      <c r="BX1052" s="497"/>
      <c r="BY1052" s="497"/>
      <c r="BZ1052" s="497"/>
      <c r="CA1052" s="497"/>
      <c r="CB1052" s="497"/>
      <c r="CC1052" s="497"/>
      <c r="CD1052" s="497"/>
      <c r="CE1052" s="497"/>
      <c r="CF1052" s="497"/>
      <c r="CG1052" s="497"/>
      <c r="CH1052" s="497"/>
    </row>
    <row r="1053" spans="1:86" s="335" customFormat="1">
      <c r="A1053" s="517"/>
      <c r="B1053" s="517"/>
      <c r="C1053" s="517"/>
      <c r="D1053" s="517"/>
      <c r="E1053" s="517"/>
      <c r="F1053" s="517"/>
      <c r="G1053" s="517"/>
      <c r="H1053" s="639"/>
      <c r="I1053" s="639"/>
      <c r="J1053" s="336"/>
      <c r="K1053" s="2056"/>
      <c r="L1053" s="337"/>
      <c r="N1053" s="2057"/>
      <c r="O1053" s="337"/>
      <c r="P1053" s="337"/>
      <c r="Q1053" s="337"/>
      <c r="R1053" s="337"/>
      <c r="S1053" s="337"/>
      <c r="T1053" s="337"/>
      <c r="U1053" s="497"/>
      <c r="V1053" s="497"/>
      <c r="W1053" s="497"/>
      <c r="X1053" s="497"/>
      <c r="Y1053" s="497"/>
      <c r="Z1053" s="497"/>
      <c r="AA1053" s="497"/>
      <c r="AB1053" s="497"/>
      <c r="AC1053" s="497"/>
      <c r="AD1053" s="497"/>
      <c r="AE1053" s="497"/>
      <c r="AF1053" s="497"/>
      <c r="AG1053" s="497"/>
      <c r="AH1053" s="497"/>
      <c r="AI1053" s="497"/>
      <c r="AJ1053" s="497"/>
      <c r="AK1053" s="497"/>
      <c r="AL1053" s="497"/>
      <c r="AM1053" s="497"/>
      <c r="AN1053" s="497"/>
      <c r="AO1053" s="497"/>
      <c r="AP1053" s="497"/>
      <c r="AQ1053" s="497"/>
      <c r="AR1053" s="497"/>
      <c r="AS1053" s="497"/>
      <c r="AT1053" s="497"/>
      <c r="AU1053" s="497"/>
      <c r="AV1053" s="497"/>
      <c r="AW1053" s="497"/>
      <c r="AX1053" s="497"/>
      <c r="AY1053" s="497"/>
      <c r="AZ1053" s="497"/>
      <c r="BA1053" s="497"/>
      <c r="BB1053" s="497"/>
      <c r="BC1053" s="497"/>
      <c r="BD1053" s="497"/>
      <c r="BE1053" s="497"/>
      <c r="BF1053" s="497"/>
      <c r="BG1053" s="497"/>
      <c r="BH1053" s="497"/>
      <c r="BI1053" s="497"/>
      <c r="BJ1053" s="497"/>
      <c r="BK1053" s="497"/>
      <c r="BL1053" s="497"/>
      <c r="BM1053" s="497"/>
      <c r="BN1053" s="497"/>
      <c r="BO1053" s="497"/>
      <c r="BP1053" s="497"/>
      <c r="BQ1053" s="497"/>
      <c r="BR1053" s="497"/>
      <c r="BS1053" s="497"/>
      <c r="BT1053" s="497"/>
      <c r="BU1053" s="497"/>
      <c r="BV1053" s="497"/>
      <c r="BW1053" s="497"/>
      <c r="BX1053" s="497"/>
      <c r="BY1053" s="497"/>
      <c r="BZ1053" s="497"/>
      <c r="CA1053" s="497"/>
      <c r="CB1053" s="497"/>
      <c r="CC1053" s="497"/>
      <c r="CD1053" s="497"/>
      <c r="CE1053" s="497"/>
      <c r="CF1053" s="497"/>
      <c r="CG1053" s="497"/>
      <c r="CH1053" s="497"/>
    </row>
    <row r="1054" spans="1:86" s="335" customFormat="1">
      <c r="A1054" s="517"/>
      <c r="B1054" s="517"/>
      <c r="C1054" s="517"/>
      <c r="D1054" s="517"/>
      <c r="E1054" s="517"/>
      <c r="F1054" s="517"/>
      <c r="G1054" s="517"/>
      <c r="H1054" s="639"/>
      <c r="I1054" s="639"/>
      <c r="J1054" s="336"/>
      <c r="K1054" s="2056"/>
      <c r="L1054" s="337"/>
      <c r="N1054" s="2057"/>
      <c r="O1054" s="337"/>
      <c r="P1054" s="337"/>
      <c r="Q1054" s="337"/>
      <c r="R1054" s="337"/>
      <c r="S1054" s="337"/>
      <c r="T1054" s="337"/>
      <c r="U1054" s="497"/>
      <c r="V1054" s="497"/>
      <c r="W1054" s="497"/>
      <c r="X1054" s="497"/>
      <c r="Y1054" s="497"/>
      <c r="Z1054" s="497"/>
      <c r="AA1054" s="497"/>
      <c r="AB1054" s="497"/>
      <c r="AC1054" s="497"/>
      <c r="AD1054" s="497"/>
      <c r="AE1054" s="497"/>
      <c r="AF1054" s="497"/>
      <c r="AG1054" s="497"/>
      <c r="AH1054" s="497"/>
      <c r="AI1054" s="497"/>
      <c r="AJ1054" s="497"/>
      <c r="AK1054" s="497"/>
      <c r="AL1054" s="497"/>
      <c r="AM1054" s="497"/>
      <c r="AN1054" s="497"/>
      <c r="AO1054" s="497"/>
      <c r="AP1054" s="497"/>
      <c r="AQ1054" s="497"/>
      <c r="AR1054" s="497"/>
      <c r="AS1054" s="497"/>
      <c r="AT1054" s="497"/>
      <c r="AU1054" s="497"/>
      <c r="AV1054" s="497"/>
      <c r="AW1054" s="497"/>
      <c r="AX1054" s="497"/>
      <c r="AY1054" s="497"/>
      <c r="AZ1054" s="497"/>
      <c r="BA1054" s="497"/>
      <c r="BB1054" s="497"/>
      <c r="BC1054" s="497"/>
      <c r="BD1054" s="497"/>
      <c r="BE1054" s="497"/>
      <c r="BF1054" s="497"/>
      <c r="BG1054" s="497"/>
      <c r="BH1054" s="497"/>
      <c r="BI1054" s="497"/>
      <c r="BJ1054" s="497"/>
      <c r="BK1054" s="497"/>
      <c r="BL1054" s="497"/>
      <c r="BM1054" s="497"/>
      <c r="BN1054" s="497"/>
      <c r="BO1054" s="497"/>
      <c r="BP1054" s="497"/>
      <c r="BQ1054" s="497"/>
      <c r="BR1054" s="497"/>
      <c r="BS1054" s="497"/>
      <c r="BT1054" s="497"/>
      <c r="BU1054" s="497"/>
      <c r="BV1054" s="497"/>
      <c r="BW1054" s="497"/>
      <c r="BX1054" s="497"/>
      <c r="BY1054" s="497"/>
      <c r="BZ1054" s="497"/>
      <c r="CA1054" s="497"/>
      <c r="CB1054" s="497"/>
      <c r="CC1054" s="497"/>
      <c r="CD1054" s="497"/>
      <c r="CE1054" s="497"/>
      <c r="CF1054" s="497"/>
      <c r="CG1054" s="497"/>
      <c r="CH1054" s="497"/>
    </row>
    <row r="1055" spans="1:86" s="335" customFormat="1">
      <c r="A1055" s="517"/>
      <c r="B1055" s="517"/>
      <c r="C1055" s="517"/>
      <c r="D1055" s="517"/>
      <c r="E1055" s="517"/>
      <c r="F1055" s="517"/>
      <c r="G1055" s="517"/>
      <c r="H1055" s="639"/>
      <c r="I1055" s="639"/>
      <c r="J1055" s="336"/>
      <c r="K1055" s="2056"/>
      <c r="L1055" s="337"/>
      <c r="N1055" s="2057"/>
      <c r="O1055" s="337"/>
      <c r="P1055" s="337"/>
      <c r="Q1055" s="337"/>
      <c r="R1055" s="337"/>
      <c r="S1055" s="337"/>
      <c r="T1055" s="337"/>
      <c r="U1055" s="497"/>
      <c r="V1055" s="497"/>
      <c r="W1055" s="497"/>
      <c r="X1055" s="497"/>
      <c r="Y1055" s="497"/>
      <c r="Z1055" s="497"/>
      <c r="AA1055" s="497"/>
      <c r="AB1055" s="497"/>
      <c r="AC1055" s="497"/>
      <c r="AD1055" s="497"/>
      <c r="AE1055" s="497"/>
      <c r="AF1055" s="497"/>
      <c r="AG1055" s="497"/>
      <c r="AH1055" s="497"/>
      <c r="AI1055" s="497"/>
      <c r="AJ1055" s="497"/>
      <c r="AK1055" s="497"/>
      <c r="AL1055" s="497"/>
      <c r="AM1055" s="497"/>
      <c r="AN1055" s="497"/>
      <c r="AO1055" s="497"/>
      <c r="AP1055" s="497"/>
      <c r="AQ1055" s="497"/>
      <c r="AR1055" s="497"/>
      <c r="AS1055" s="497"/>
      <c r="AT1055" s="497"/>
      <c r="AU1055" s="497"/>
      <c r="AV1055" s="497"/>
      <c r="AW1055" s="497"/>
      <c r="AX1055" s="497"/>
      <c r="AY1055" s="497"/>
      <c r="AZ1055" s="497"/>
      <c r="BA1055" s="497"/>
      <c r="BB1055" s="497"/>
      <c r="BC1055" s="497"/>
      <c r="BD1055" s="497"/>
      <c r="BE1055" s="497"/>
      <c r="BF1055" s="497"/>
      <c r="BG1055" s="497"/>
      <c r="BH1055" s="497"/>
      <c r="BI1055" s="497"/>
      <c r="BJ1055" s="497"/>
      <c r="BK1055" s="497"/>
      <c r="BL1055" s="497"/>
      <c r="BM1055" s="497"/>
      <c r="BN1055" s="497"/>
      <c r="BO1055" s="497"/>
      <c r="BP1055" s="497"/>
      <c r="BQ1055" s="497"/>
      <c r="BR1055" s="497"/>
      <c r="BS1055" s="497"/>
      <c r="BT1055" s="497"/>
      <c r="BU1055" s="497"/>
      <c r="BV1055" s="497"/>
      <c r="BW1055" s="497"/>
      <c r="BX1055" s="497"/>
      <c r="BY1055" s="497"/>
      <c r="BZ1055" s="497"/>
      <c r="CA1055" s="497"/>
      <c r="CB1055" s="497"/>
      <c r="CC1055" s="497"/>
      <c r="CD1055" s="497"/>
      <c r="CE1055" s="497"/>
      <c r="CF1055" s="497"/>
      <c r="CG1055" s="497"/>
      <c r="CH1055" s="497"/>
    </row>
    <row r="1056" spans="1:86" s="335" customFormat="1">
      <c r="A1056" s="517"/>
      <c r="B1056" s="517"/>
      <c r="C1056" s="517"/>
      <c r="D1056" s="517"/>
      <c r="E1056" s="517"/>
      <c r="F1056" s="517"/>
      <c r="G1056" s="517"/>
      <c r="H1056" s="639"/>
      <c r="I1056" s="639"/>
      <c r="J1056" s="336"/>
      <c r="K1056" s="2056"/>
      <c r="L1056" s="337"/>
      <c r="N1056" s="2057"/>
      <c r="O1056" s="337"/>
      <c r="P1056" s="337"/>
      <c r="Q1056" s="337"/>
      <c r="R1056" s="337"/>
      <c r="S1056" s="337"/>
      <c r="T1056" s="337"/>
      <c r="U1056" s="497"/>
      <c r="V1056" s="497"/>
      <c r="W1056" s="497"/>
      <c r="X1056" s="497"/>
      <c r="Y1056" s="497"/>
      <c r="Z1056" s="497"/>
      <c r="AA1056" s="497"/>
      <c r="AB1056" s="497"/>
      <c r="AC1056" s="497"/>
      <c r="AD1056" s="497"/>
      <c r="AE1056" s="497"/>
      <c r="AF1056" s="497"/>
      <c r="AG1056" s="497"/>
      <c r="AH1056" s="497"/>
      <c r="AI1056" s="497"/>
      <c r="AJ1056" s="497"/>
      <c r="AK1056" s="497"/>
      <c r="AL1056" s="497"/>
      <c r="AM1056" s="497"/>
      <c r="AN1056" s="497"/>
      <c r="AO1056" s="497"/>
      <c r="AP1056" s="497"/>
      <c r="AQ1056" s="497"/>
      <c r="AR1056" s="497"/>
      <c r="AS1056" s="497"/>
      <c r="AT1056" s="497"/>
      <c r="AU1056" s="497"/>
      <c r="AV1056" s="497"/>
      <c r="AW1056" s="497"/>
      <c r="AX1056" s="497"/>
      <c r="AY1056" s="497"/>
      <c r="AZ1056" s="497"/>
      <c r="BA1056" s="497"/>
      <c r="BB1056" s="497"/>
      <c r="BC1056" s="497"/>
      <c r="BD1056" s="497"/>
      <c r="BE1056" s="497"/>
      <c r="BF1056" s="497"/>
      <c r="BG1056" s="497"/>
      <c r="BH1056" s="497"/>
      <c r="BI1056" s="497"/>
      <c r="BJ1056" s="497"/>
      <c r="BK1056" s="497"/>
      <c r="BL1056" s="497"/>
      <c r="BM1056" s="497"/>
      <c r="BN1056" s="497"/>
      <c r="BO1056" s="497"/>
      <c r="BP1056" s="497"/>
      <c r="BQ1056" s="497"/>
      <c r="BR1056" s="497"/>
      <c r="BS1056" s="497"/>
      <c r="BT1056" s="497"/>
      <c r="BU1056" s="497"/>
      <c r="BV1056" s="497"/>
      <c r="BW1056" s="497"/>
      <c r="BX1056" s="497"/>
      <c r="BY1056" s="497"/>
      <c r="BZ1056" s="497"/>
      <c r="CA1056" s="497"/>
      <c r="CB1056" s="497"/>
      <c r="CC1056" s="497"/>
      <c r="CD1056" s="497"/>
      <c r="CE1056" s="497"/>
      <c r="CF1056" s="497"/>
      <c r="CG1056" s="497"/>
      <c r="CH1056" s="497"/>
    </row>
    <row r="1057" spans="1:86" s="335" customFormat="1">
      <c r="A1057" s="517"/>
      <c r="B1057" s="517"/>
      <c r="C1057" s="517"/>
      <c r="D1057" s="517"/>
      <c r="E1057" s="517"/>
      <c r="F1057" s="517"/>
      <c r="G1057" s="517"/>
      <c r="H1057" s="639"/>
      <c r="I1057" s="639"/>
      <c r="J1057" s="336"/>
      <c r="K1057" s="2056"/>
      <c r="L1057" s="337"/>
      <c r="N1057" s="2057"/>
      <c r="O1057" s="337"/>
      <c r="P1057" s="337"/>
      <c r="Q1057" s="337"/>
      <c r="R1057" s="337"/>
      <c r="S1057" s="337"/>
      <c r="T1057" s="337"/>
      <c r="U1057" s="497"/>
      <c r="V1057" s="497"/>
      <c r="W1057" s="497"/>
      <c r="X1057" s="497"/>
      <c r="Y1057" s="497"/>
      <c r="Z1057" s="497"/>
      <c r="AA1057" s="497"/>
      <c r="AB1057" s="497"/>
      <c r="AC1057" s="497"/>
      <c r="AD1057" s="497"/>
      <c r="AE1057" s="497"/>
      <c r="AF1057" s="497"/>
      <c r="AG1057" s="497"/>
      <c r="AH1057" s="497"/>
      <c r="AI1057" s="497"/>
      <c r="AJ1057" s="497"/>
      <c r="AK1057" s="497"/>
      <c r="AL1057" s="497"/>
      <c r="AM1057" s="497"/>
      <c r="AN1057" s="497"/>
      <c r="AO1057" s="497"/>
      <c r="AP1057" s="497"/>
      <c r="AQ1057" s="497"/>
      <c r="AR1057" s="497"/>
      <c r="AS1057" s="497"/>
      <c r="AT1057" s="497"/>
      <c r="AU1057" s="497"/>
      <c r="AV1057" s="497"/>
      <c r="AW1057" s="497"/>
      <c r="AX1057" s="497"/>
      <c r="AY1057" s="497"/>
      <c r="AZ1057" s="497"/>
      <c r="BA1057" s="497"/>
      <c r="BB1057" s="497"/>
      <c r="BC1057" s="497"/>
      <c r="BD1057" s="497"/>
      <c r="BE1057" s="497"/>
      <c r="BF1057" s="497"/>
      <c r="BG1057" s="497"/>
      <c r="BH1057" s="497"/>
      <c r="BI1057" s="497"/>
      <c r="BJ1057" s="497"/>
      <c r="BK1057" s="497"/>
      <c r="BL1057" s="497"/>
      <c r="BM1057" s="497"/>
      <c r="BN1057" s="497"/>
      <c r="BO1057" s="497"/>
      <c r="BP1057" s="497"/>
      <c r="BQ1057" s="497"/>
      <c r="BR1057" s="497"/>
      <c r="BS1057" s="497"/>
      <c r="BT1057" s="497"/>
      <c r="BU1057" s="497"/>
      <c r="BV1057" s="497"/>
      <c r="BW1057" s="497"/>
      <c r="BX1057" s="497"/>
      <c r="BY1057" s="497"/>
      <c r="BZ1057" s="497"/>
      <c r="CA1057" s="497"/>
      <c r="CB1057" s="497"/>
      <c r="CC1057" s="497"/>
      <c r="CD1057" s="497"/>
      <c r="CE1057" s="497"/>
      <c r="CF1057" s="497"/>
      <c r="CG1057" s="497"/>
      <c r="CH1057" s="497"/>
    </row>
    <row r="1058" spans="1:86" s="335" customFormat="1">
      <c r="A1058" s="517"/>
      <c r="B1058" s="517"/>
      <c r="C1058" s="517"/>
      <c r="D1058" s="517"/>
      <c r="E1058" s="517"/>
      <c r="F1058" s="517"/>
      <c r="G1058" s="517"/>
      <c r="H1058" s="639"/>
      <c r="I1058" s="639"/>
      <c r="J1058" s="336"/>
      <c r="K1058" s="2056"/>
      <c r="L1058" s="337"/>
      <c r="N1058" s="2057"/>
      <c r="O1058" s="337"/>
      <c r="P1058" s="337"/>
      <c r="Q1058" s="337"/>
      <c r="R1058" s="337"/>
      <c r="S1058" s="337"/>
      <c r="T1058" s="337"/>
      <c r="U1058" s="497"/>
      <c r="V1058" s="497"/>
      <c r="W1058" s="497"/>
      <c r="X1058" s="497"/>
      <c r="Y1058" s="497"/>
      <c r="Z1058" s="497"/>
      <c r="AA1058" s="497"/>
      <c r="AB1058" s="497"/>
      <c r="AC1058" s="497"/>
      <c r="AD1058" s="497"/>
      <c r="AE1058" s="497"/>
      <c r="AF1058" s="497"/>
      <c r="AG1058" s="497"/>
      <c r="AH1058" s="497"/>
      <c r="AI1058" s="497"/>
      <c r="AJ1058" s="497"/>
      <c r="AK1058" s="497"/>
      <c r="AL1058" s="497"/>
      <c r="AM1058" s="497"/>
      <c r="AN1058" s="497"/>
      <c r="AO1058" s="497"/>
      <c r="AP1058" s="497"/>
      <c r="AQ1058" s="497"/>
      <c r="AR1058" s="497"/>
      <c r="AS1058" s="497"/>
      <c r="AT1058" s="497"/>
      <c r="AU1058" s="497"/>
      <c r="AV1058" s="497"/>
      <c r="AW1058" s="497"/>
      <c r="AX1058" s="497"/>
      <c r="AY1058" s="497"/>
      <c r="AZ1058" s="497"/>
      <c r="BA1058" s="497"/>
      <c r="BB1058" s="497"/>
      <c r="BC1058" s="497"/>
      <c r="BD1058" s="497"/>
      <c r="BE1058" s="497"/>
      <c r="BF1058" s="497"/>
      <c r="BG1058" s="497"/>
      <c r="BH1058" s="497"/>
      <c r="BI1058" s="497"/>
      <c r="BJ1058" s="497"/>
      <c r="BK1058" s="497"/>
      <c r="BL1058" s="497"/>
      <c r="BM1058" s="497"/>
      <c r="BN1058" s="497"/>
      <c r="BO1058" s="497"/>
      <c r="BP1058" s="497"/>
      <c r="BQ1058" s="497"/>
      <c r="BR1058" s="497"/>
      <c r="BS1058" s="497"/>
      <c r="BT1058" s="497"/>
      <c r="BU1058" s="497"/>
      <c r="BV1058" s="497"/>
      <c r="BW1058" s="497"/>
      <c r="BX1058" s="497"/>
      <c r="BY1058" s="497"/>
      <c r="BZ1058" s="497"/>
      <c r="CA1058" s="497"/>
      <c r="CB1058" s="497"/>
      <c r="CC1058" s="497"/>
      <c r="CD1058" s="497"/>
      <c r="CE1058" s="497"/>
      <c r="CF1058" s="497"/>
      <c r="CG1058" s="497"/>
      <c r="CH1058" s="497"/>
    </row>
    <row r="1059" spans="1:86" s="335" customFormat="1">
      <c r="A1059" s="517"/>
      <c r="B1059" s="517"/>
      <c r="C1059" s="517"/>
      <c r="D1059" s="517"/>
      <c r="E1059" s="517"/>
      <c r="F1059" s="517"/>
      <c r="G1059" s="517"/>
      <c r="H1059" s="639"/>
      <c r="I1059" s="639"/>
      <c r="J1059" s="336"/>
      <c r="K1059" s="2056"/>
      <c r="L1059" s="337"/>
      <c r="N1059" s="2057"/>
      <c r="O1059" s="337"/>
      <c r="P1059" s="337"/>
      <c r="Q1059" s="337"/>
      <c r="R1059" s="337"/>
      <c r="S1059" s="337"/>
      <c r="T1059" s="337"/>
      <c r="U1059" s="497"/>
      <c r="V1059" s="497"/>
      <c r="W1059" s="497"/>
      <c r="X1059" s="497"/>
      <c r="Y1059" s="497"/>
      <c r="Z1059" s="497"/>
      <c r="AA1059" s="497"/>
      <c r="AB1059" s="497"/>
      <c r="AC1059" s="497"/>
      <c r="AD1059" s="497"/>
      <c r="AE1059" s="497"/>
      <c r="AF1059" s="497"/>
      <c r="AG1059" s="497"/>
      <c r="AH1059" s="497"/>
      <c r="AI1059" s="497"/>
      <c r="AJ1059" s="497"/>
      <c r="AK1059" s="497"/>
      <c r="AL1059" s="497"/>
      <c r="AM1059" s="497"/>
      <c r="AN1059" s="497"/>
      <c r="AO1059" s="497"/>
      <c r="AP1059" s="497"/>
      <c r="AQ1059" s="497"/>
      <c r="AR1059" s="497"/>
      <c r="AS1059" s="497"/>
      <c r="AT1059" s="497"/>
      <c r="AU1059" s="497"/>
      <c r="AV1059" s="497"/>
      <c r="AW1059" s="497"/>
      <c r="AX1059" s="497"/>
      <c r="AY1059" s="497"/>
      <c r="AZ1059" s="497"/>
      <c r="BA1059" s="497"/>
      <c r="BB1059" s="497"/>
      <c r="BC1059" s="497"/>
      <c r="BD1059" s="497"/>
      <c r="BE1059" s="497"/>
      <c r="BF1059" s="497"/>
      <c r="BG1059" s="497"/>
      <c r="BH1059" s="497"/>
      <c r="BI1059" s="497"/>
      <c r="BJ1059" s="497"/>
      <c r="BK1059" s="497"/>
      <c r="BL1059" s="497"/>
      <c r="BM1059" s="497"/>
      <c r="BN1059" s="497"/>
      <c r="BO1059" s="497"/>
      <c r="BP1059" s="497"/>
      <c r="BQ1059" s="497"/>
      <c r="BR1059" s="497"/>
      <c r="BS1059" s="497"/>
      <c r="BT1059" s="497"/>
      <c r="BU1059" s="497"/>
      <c r="BV1059" s="497"/>
      <c r="BW1059" s="497"/>
      <c r="BX1059" s="497"/>
      <c r="BY1059" s="497"/>
      <c r="BZ1059" s="497"/>
      <c r="CA1059" s="497"/>
      <c r="CB1059" s="497"/>
      <c r="CC1059" s="497"/>
      <c r="CD1059" s="497"/>
      <c r="CE1059" s="497"/>
      <c r="CF1059" s="497"/>
      <c r="CG1059" s="497"/>
      <c r="CH1059" s="497"/>
    </row>
    <row r="1060" spans="1:86" s="335" customFormat="1">
      <c r="A1060" s="517"/>
      <c r="B1060" s="517"/>
      <c r="C1060" s="517"/>
      <c r="D1060" s="517"/>
      <c r="E1060" s="517"/>
      <c r="F1060" s="517"/>
      <c r="G1060" s="517"/>
      <c r="H1060" s="639"/>
      <c r="I1060" s="639"/>
      <c r="J1060" s="336"/>
      <c r="K1060" s="2056"/>
      <c r="L1060" s="337"/>
      <c r="N1060" s="2057"/>
      <c r="O1060" s="337"/>
      <c r="P1060" s="337"/>
      <c r="Q1060" s="337"/>
      <c r="R1060" s="337"/>
      <c r="S1060" s="337"/>
      <c r="T1060" s="337"/>
      <c r="U1060" s="497"/>
      <c r="V1060" s="497"/>
      <c r="W1060" s="497"/>
      <c r="X1060" s="497"/>
      <c r="Y1060" s="497"/>
      <c r="Z1060" s="497"/>
      <c r="AA1060" s="497"/>
      <c r="AB1060" s="497"/>
      <c r="AC1060" s="497"/>
      <c r="AD1060" s="497"/>
      <c r="AE1060" s="497"/>
      <c r="AF1060" s="497"/>
      <c r="AG1060" s="497"/>
      <c r="AH1060" s="497"/>
      <c r="AI1060" s="497"/>
      <c r="AJ1060" s="497"/>
      <c r="AK1060" s="497"/>
      <c r="AL1060" s="497"/>
      <c r="AM1060" s="497"/>
      <c r="AN1060" s="497"/>
      <c r="AO1060" s="497"/>
      <c r="AP1060" s="497"/>
      <c r="AQ1060" s="497"/>
      <c r="AR1060" s="497"/>
      <c r="AS1060" s="497"/>
      <c r="AT1060" s="497"/>
      <c r="AU1060" s="497"/>
      <c r="AV1060" s="497"/>
      <c r="AW1060" s="497"/>
      <c r="AX1060" s="497"/>
      <c r="AY1060" s="497"/>
      <c r="AZ1060" s="497"/>
      <c r="BA1060" s="497"/>
      <c r="BB1060" s="497"/>
      <c r="BC1060" s="497"/>
      <c r="BD1060" s="497"/>
      <c r="BE1060" s="497"/>
      <c r="BF1060" s="497"/>
      <c r="BG1060" s="497"/>
      <c r="BH1060" s="497"/>
      <c r="BI1060" s="497"/>
      <c r="BJ1060" s="497"/>
      <c r="BK1060" s="497"/>
      <c r="BL1060" s="497"/>
      <c r="BM1060" s="497"/>
      <c r="BN1060" s="497"/>
      <c r="BO1060" s="497"/>
      <c r="BP1060" s="497"/>
      <c r="BQ1060" s="497"/>
      <c r="BR1060" s="497"/>
      <c r="BS1060" s="497"/>
      <c r="BT1060" s="497"/>
      <c r="BU1060" s="497"/>
      <c r="BV1060" s="497"/>
      <c r="BW1060" s="497"/>
      <c r="BX1060" s="497"/>
      <c r="BY1060" s="497"/>
      <c r="BZ1060" s="497"/>
      <c r="CA1060" s="497"/>
      <c r="CB1060" s="497"/>
      <c r="CC1060" s="497"/>
      <c r="CD1060" s="497"/>
      <c r="CE1060" s="497"/>
      <c r="CF1060" s="497"/>
      <c r="CG1060" s="497"/>
      <c r="CH1060" s="497"/>
    </row>
    <row r="1061" spans="1:86" s="335" customFormat="1">
      <c r="A1061" s="517"/>
      <c r="B1061" s="517"/>
      <c r="C1061" s="517"/>
      <c r="D1061" s="517"/>
      <c r="E1061" s="517"/>
      <c r="F1061" s="517"/>
      <c r="G1061" s="517"/>
      <c r="H1061" s="639"/>
      <c r="I1061" s="639"/>
      <c r="J1061" s="336"/>
      <c r="K1061" s="2056"/>
      <c r="L1061" s="337"/>
      <c r="N1061" s="2057"/>
      <c r="O1061" s="337"/>
      <c r="P1061" s="337"/>
      <c r="Q1061" s="337"/>
      <c r="R1061" s="337"/>
      <c r="S1061" s="337"/>
      <c r="T1061" s="337"/>
      <c r="U1061" s="497"/>
      <c r="V1061" s="497"/>
      <c r="W1061" s="497"/>
      <c r="X1061" s="497"/>
      <c r="Y1061" s="497"/>
      <c r="Z1061" s="497"/>
      <c r="AA1061" s="497"/>
      <c r="AB1061" s="497"/>
      <c r="AC1061" s="497"/>
      <c r="AD1061" s="497"/>
      <c r="AE1061" s="497"/>
      <c r="AF1061" s="497"/>
      <c r="AG1061" s="497"/>
      <c r="AH1061" s="497"/>
      <c r="AI1061" s="497"/>
      <c r="AJ1061" s="497"/>
      <c r="AK1061" s="497"/>
      <c r="AL1061" s="497"/>
      <c r="AM1061" s="497"/>
      <c r="AN1061" s="497"/>
      <c r="AO1061" s="497"/>
      <c r="AP1061" s="497"/>
      <c r="AQ1061" s="497"/>
      <c r="AR1061" s="497"/>
      <c r="AS1061" s="497"/>
      <c r="AT1061" s="497"/>
      <c r="AU1061" s="497"/>
      <c r="AV1061" s="497"/>
      <c r="AW1061" s="497"/>
      <c r="AX1061" s="497"/>
      <c r="AY1061" s="497"/>
      <c r="AZ1061" s="497"/>
      <c r="BA1061" s="497"/>
      <c r="BB1061" s="497"/>
      <c r="BC1061" s="497"/>
      <c r="BD1061" s="497"/>
      <c r="BE1061" s="497"/>
      <c r="BF1061" s="497"/>
      <c r="BG1061" s="497"/>
      <c r="BH1061" s="497"/>
      <c r="BI1061" s="497"/>
      <c r="BJ1061" s="497"/>
      <c r="BK1061" s="497"/>
      <c r="BL1061" s="497"/>
      <c r="BM1061" s="497"/>
      <c r="BN1061" s="497"/>
      <c r="BO1061" s="497"/>
      <c r="BP1061" s="497"/>
      <c r="BQ1061" s="497"/>
      <c r="BR1061" s="497"/>
      <c r="BS1061" s="497"/>
      <c r="BT1061" s="497"/>
      <c r="BU1061" s="497"/>
      <c r="BV1061" s="497"/>
      <c r="BW1061" s="497"/>
      <c r="BX1061" s="497"/>
      <c r="BY1061" s="497"/>
      <c r="BZ1061" s="497"/>
      <c r="CA1061" s="497"/>
      <c r="CB1061" s="497"/>
      <c r="CC1061" s="497"/>
      <c r="CD1061" s="497"/>
      <c r="CE1061" s="497"/>
      <c r="CF1061" s="497"/>
      <c r="CG1061" s="497"/>
      <c r="CH1061" s="497"/>
    </row>
    <row r="1062" spans="1:86" s="335" customFormat="1">
      <c r="A1062" s="517"/>
      <c r="B1062" s="517"/>
      <c r="C1062" s="517"/>
      <c r="D1062" s="517"/>
      <c r="E1062" s="517"/>
      <c r="F1062" s="517"/>
      <c r="G1062" s="517"/>
      <c r="H1062" s="639"/>
      <c r="I1062" s="639"/>
      <c r="J1062" s="336"/>
      <c r="K1062" s="2056"/>
      <c r="L1062" s="337"/>
      <c r="N1062" s="2057"/>
      <c r="O1062" s="337"/>
      <c r="P1062" s="337"/>
      <c r="Q1062" s="337"/>
      <c r="R1062" s="337"/>
      <c r="S1062" s="337"/>
      <c r="T1062" s="337"/>
      <c r="U1062" s="497"/>
      <c r="V1062" s="497"/>
      <c r="W1062" s="497"/>
      <c r="X1062" s="497"/>
      <c r="Y1062" s="497"/>
      <c r="Z1062" s="497"/>
      <c r="AA1062" s="497"/>
      <c r="AB1062" s="497"/>
      <c r="AC1062" s="497"/>
      <c r="AD1062" s="497"/>
      <c r="AE1062" s="497"/>
      <c r="AF1062" s="497"/>
      <c r="AG1062" s="497"/>
      <c r="AH1062" s="497"/>
      <c r="AI1062" s="497"/>
      <c r="AJ1062" s="497"/>
      <c r="AK1062" s="497"/>
      <c r="AL1062" s="497"/>
      <c r="AM1062" s="497"/>
      <c r="AN1062" s="497"/>
      <c r="AO1062" s="497"/>
      <c r="AP1062" s="497"/>
      <c r="AQ1062" s="497"/>
      <c r="AR1062" s="497"/>
      <c r="AS1062" s="497"/>
      <c r="AT1062" s="497"/>
      <c r="AU1062" s="497"/>
      <c r="AV1062" s="497"/>
      <c r="AW1062" s="497"/>
      <c r="AX1062" s="497"/>
      <c r="AY1062" s="497"/>
      <c r="AZ1062" s="497"/>
      <c r="BA1062" s="497"/>
      <c r="BB1062" s="497"/>
      <c r="BC1062" s="497"/>
      <c r="BD1062" s="497"/>
      <c r="BE1062" s="497"/>
      <c r="BF1062" s="497"/>
      <c r="BG1062" s="497"/>
      <c r="BH1062" s="497"/>
      <c r="BI1062" s="497"/>
      <c r="BJ1062" s="497"/>
      <c r="BK1062" s="497"/>
      <c r="BL1062" s="497"/>
      <c r="BM1062" s="497"/>
      <c r="BN1062" s="497"/>
      <c r="BO1062" s="497"/>
      <c r="BP1062" s="497"/>
      <c r="BQ1062" s="497"/>
      <c r="BR1062" s="497"/>
      <c r="BS1062" s="497"/>
      <c r="BT1062" s="497"/>
      <c r="BU1062" s="497"/>
      <c r="BV1062" s="497"/>
      <c r="BW1062" s="497"/>
      <c r="BX1062" s="497"/>
      <c r="BY1062" s="497"/>
      <c r="BZ1062" s="497"/>
      <c r="CA1062" s="497"/>
      <c r="CB1062" s="497"/>
      <c r="CC1062" s="497"/>
      <c r="CD1062" s="497"/>
      <c r="CE1062" s="497"/>
      <c r="CF1062" s="497"/>
      <c r="CG1062" s="497"/>
      <c r="CH1062" s="497"/>
    </row>
    <row r="1063" spans="1:86" s="335" customFormat="1">
      <c r="A1063" s="517"/>
      <c r="B1063" s="517"/>
      <c r="C1063" s="517"/>
      <c r="D1063" s="517"/>
      <c r="E1063" s="517"/>
      <c r="F1063" s="517"/>
      <c r="G1063" s="517"/>
      <c r="H1063" s="639"/>
      <c r="I1063" s="639"/>
      <c r="J1063" s="336"/>
      <c r="K1063" s="2056"/>
      <c r="L1063" s="337"/>
      <c r="N1063" s="2057"/>
      <c r="O1063" s="337"/>
      <c r="P1063" s="337"/>
      <c r="Q1063" s="337"/>
      <c r="R1063" s="337"/>
      <c r="S1063" s="337"/>
      <c r="T1063" s="337"/>
      <c r="U1063" s="497"/>
      <c r="V1063" s="497"/>
      <c r="W1063" s="497"/>
      <c r="X1063" s="497"/>
      <c r="Y1063" s="497"/>
      <c r="Z1063" s="497"/>
      <c r="AA1063" s="497"/>
      <c r="AB1063" s="497"/>
      <c r="AC1063" s="497"/>
      <c r="AD1063" s="497"/>
      <c r="AE1063" s="497"/>
      <c r="AF1063" s="497"/>
      <c r="AG1063" s="497"/>
      <c r="AH1063" s="497"/>
      <c r="AI1063" s="497"/>
      <c r="AJ1063" s="497"/>
      <c r="AK1063" s="497"/>
      <c r="AL1063" s="497"/>
      <c r="AM1063" s="497"/>
      <c r="AN1063" s="497"/>
      <c r="AO1063" s="497"/>
      <c r="AP1063" s="497"/>
      <c r="AQ1063" s="497"/>
      <c r="AR1063" s="497"/>
      <c r="AS1063" s="497"/>
      <c r="AT1063" s="497"/>
      <c r="AU1063" s="497"/>
      <c r="AV1063" s="497"/>
      <c r="AW1063" s="497"/>
      <c r="AX1063" s="497"/>
      <c r="AY1063" s="497"/>
      <c r="AZ1063" s="497"/>
      <c r="BA1063" s="497"/>
      <c r="BB1063" s="497"/>
      <c r="BC1063" s="497"/>
      <c r="BD1063" s="497"/>
      <c r="BE1063" s="497"/>
      <c r="BF1063" s="497"/>
      <c r="BG1063" s="497"/>
      <c r="BH1063" s="497"/>
      <c r="BI1063" s="497"/>
      <c r="BJ1063" s="497"/>
      <c r="BK1063" s="497"/>
      <c r="BL1063" s="497"/>
      <c r="BM1063" s="497"/>
      <c r="BN1063" s="497"/>
      <c r="BO1063" s="497"/>
      <c r="BP1063" s="497"/>
      <c r="BQ1063" s="497"/>
      <c r="BR1063" s="497"/>
      <c r="BS1063" s="497"/>
      <c r="BT1063" s="497"/>
      <c r="BU1063" s="497"/>
      <c r="BV1063" s="497"/>
      <c r="BW1063" s="497"/>
      <c r="BX1063" s="497"/>
      <c r="BY1063" s="497"/>
      <c r="BZ1063" s="497"/>
      <c r="CA1063" s="497"/>
      <c r="CB1063" s="497"/>
      <c r="CC1063" s="497"/>
      <c r="CD1063" s="497"/>
      <c r="CE1063" s="497"/>
      <c r="CF1063" s="497"/>
      <c r="CG1063" s="497"/>
      <c r="CH1063" s="497"/>
    </row>
    <row r="1064" spans="1:86" s="335" customFormat="1">
      <c r="A1064" s="517"/>
      <c r="B1064" s="517"/>
      <c r="C1064" s="517"/>
      <c r="D1064" s="517"/>
      <c r="E1064" s="517"/>
      <c r="F1064" s="517"/>
      <c r="G1064" s="517"/>
      <c r="H1064" s="639"/>
      <c r="I1064" s="639"/>
      <c r="J1064" s="336"/>
      <c r="K1064" s="2056"/>
      <c r="L1064" s="337"/>
      <c r="N1064" s="2057"/>
      <c r="O1064" s="337"/>
      <c r="P1064" s="337"/>
      <c r="Q1064" s="337"/>
      <c r="R1064" s="337"/>
      <c r="S1064" s="337"/>
      <c r="T1064" s="337"/>
      <c r="U1064" s="497"/>
      <c r="V1064" s="497"/>
      <c r="W1064" s="497"/>
      <c r="X1064" s="497"/>
      <c r="Y1064" s="497"/>
      <c r="Z1064" s="497"/>
      <c r="AA1064" s="497"/>
      <c r="AB1064" s="497"/>
      <c r="AC1064" s="497"/>
      <c r="AD1064" s="497"/>
      <c r="AE1064" s="497"/>
      <c r="AF1064" s="497"/>
      <c r="AG1064" s="497"/>
      <c r="AH1064" s="497"/>
      <c r="AI1064" s="497"/>
      <c r="AJ1064" s="497"/>
      <c r="AK1064" s="497"/>
      <c r="AL1064" s="497"/>
      <c r="AM1064" s="497"/>
      <c r="AN1064" s="497"/>
      <c r="AO1064" s="497"/>
      <c r="AP1064" s="497"/>
      <c r="AQ1064" s="497"/>
      <c r="AR1064" s="497"/>
      <c r="AS1064" s="497"/>
      <c r="AT1064" s="497"/>
      <c r="AU1064" s="497"/>
      <c r="AV1064" s="497"/>
      <c r="AW1064" s="497"/>
      <c r="AX1064" s="497"/>
      <c r="AY1064" s="497"/>
      <c r="AZ1064" s="497"/>
      <c r="BA1064" s="497"/>
      <c r="BB1064" s="497"/>
      <c r="BC1064" s="497"/>
      <c r="BD1064" s="497"/>
      <c r="BE1064" s="497"/>
      <c r="BF1064" s="497"/>
      <c r="BG1064" s="497"/>
      <c r="BH1064" s="497"/>
      <c r="BI1064" s="497"/>
      <c r="BJ1064" s="497"/>
      <c r="BK1064" s="497"/>
      <c r="BL1064" s="497"/>
      <c r="BM1064" s="497"/>
      <c r="BN1064" s="497"/>
      <c r="BO1064" s="497"/>
      <c r="BP1064" s="497"/>
      <c r="BQ1064" s="497"/>
      <c r="BR1064" s="497"/>
      <c r="BS1064" s="497"/>
      <c r="BT1064" s="497"/>
      <c r="BU1064" s="497"/>
      <c r="BV1064" s="497"/>
      <c r="BW1064" s="497"/>
      <c r="BX1064" s="497"/>
      <c r="BY1064" s="497"/>
      <c r="BZ1064" s="497"/>
      <c r="CA1064" s="497"/>
      <c r="CB1064" s="497"/>
      <c r="CC1064" s="497"/>
      <c r="CD1064" s="497"/>
      <c r="CE1064" s="497"/>
      <c r="CF1064" s="497"/>
      <c r="CG1064" s="497"/>
      <c r="CH1064" s="497"/>
    </row>
    <row r="1065" spans="1:86" s="335" customFormat="1">
      <c r="A1065" s="517"/>
      <c r="B1065" s="517"/>
      <c r="C1065" s="517"/>
      <c r="D1065" s="517"/>
      <c r="E1065" s="517"/>
      <c r="F1065" s="517"/>
      <c r="G1065" s="517"/>
      <c r="H1065" s="639"/>
      <c r="I1065" s="639"/>
      <c r="J1065" s="336"/>
      <c r="K1065" s="2056"/>
      <c r="L1065" s="337"/>
      <c r="N1065" s="2057"/>
      <c r="O1065" s="337"/>
      <c r="P1065" s="337"/>
      <c r="Q1065" s="337"/>
      <c r="R1065" s="337"/>
      <c r="S1065" s="337"/>
      <c r="T1065" s="337"/>
      <c r="U1065" s="497"/>
      <c r="V1065" s="497"/>
      <c r="W1065" s="497"/>
      <c r="X1065" s="497"/>
      <c r="Y1065" s="497"/>
      <c r="Z1065" s="497"/>
      <c r="AA1065" s="497"/>
      <c r="AB1065" s="497"/>
      <c r="AC1065" s="497"/>
      <c r="AD1065" s="497"/>
      <c r="AE1065" s="497"/>
      <c r="AF1065" s="497"/>
      <c r="AG1065" s="497"/>
      <c r="AH1065" s="497"/>
      <c r="AI1065" s="497"/>
      <c r="AJ1065" s="497"/>
      <c r="AK1065" s="497"/>
      <c r="AL1065" s="497"/>
      <c r="AM1065" s="497"/>
      <c r="AN1065" s="497"/>
      <c r="AO1065" s="497"/>
      <c r="AP1065" s="497"/>
      <c r="AQ1065" s="497"/>
      <c r="AR1065" s="497"/>
      <c r="AS1065" s="497"/>
      <c r="AT1065" s="497"/>
      <c r="AU1065" s="497"/>
      <c r="AV1065" s="497"/>
      <c r="AW1065" s="497"/>
      <c r="AX1065" s="497"/>
      <c r="AY1065" s="497"/>
      <c r="AZ1065" s="497"/>
      <c r="BA1065" s="497"/>
      <c r="BB1065" s="497"/>
      <c r="BC1065" s="497"/>
      <c r="BD1065" s="497"/>
      <c r="BE1065" s="497"/>
      <c r="BF1065" s="497"/>
      <c r="BG1065" s="497"/>
      <c r="BH1065" s="497"/>
      <c r="BI1065" s="497"/>
      <c r="BJ1065" s="497"/>
      <c r="BK1065" s="497"/>
      <c r="BL1065" s="497"/>
      <c r="BM1065" s="497"/>
      <c r="BN1065" s="497"/>
      <c r="BO1065" s="497"/>
      <c r="BP1065" s="497"/>
      <c r="BQ1065" s="497"/>
      <c r="BR1065" s="497"/>
      <c r="BS1065" s="497"/>
      <c r="BT1065" s="497"/>
      <c r="BU1065" s="497"/>
      <c r="BV1065" s="497"/>
      <c r="BW1065" s="497"/>
      <c r="BX1065" s="497"/>
      <c r="BY1065" s="497"/>
      <c r="BZ1065" s="497"/>
      <c r="CA1065" s="497"/>
      <c r="CB1065" s="497"/>
      <c r="CC1065" s="497"/>
      <c r="CD1065" s="497"/>
      <c r="CE1065" s="497"/>
      <c r="CF1065" s="497"/>
      <c r="CG1065" s="497"/>
      <c r="CH1065" s="497"/>
    </row>
    <row r="1066" spans="1:86" s="335" customFormat="1">
      <c r="A1066" s="517"/>
      <c r="B1066" s="517"/>
      <c r="C1066" s="517"/>
      <c r="D1066" s="517"/>
      <c r="E1066" s="517"/>
      <c r="F1066" s="517"/>
      <c r="G1066" s="517"/>
      <c r="H1066" s="639"/>
      <c r="I1066" s="639"/>
      <c r="J1066" s="336"/>
      <c r="K1066" s="2056"/>
      <c r="L1066" s="337"/>
      <c r="N1066" s="2057"/>
      <c r="O1066" s="337"/>
      <c r="P1066" s="337"/>
      <c r="Q1066" s="337"/>
      <c r="R1066" s="337"/>
      <c r="S1066" s="337"/>
      <c r="T1066" s="337"/>
      <c r="U1066" s="497"/>
      <c r="V1066" s="497"/>
      <c r="W1066" s="497"/>
      <c r="X1066" s="497"/>
      <c r="Y1066" s="497"/>
      <c r="Z1066" s="497"/>
      <c r="AA1066" s="497"/>
      <c r="AB1066" s="497"/>
      <c r="AC1066" s="497"/>
      <c r="AD1066" s="497"/>
      <c r="AE1066" s="497"/>
      <c r="AF1066" s="497"/>
      <c r="AG1066" s="497"/>
      <c r="AH1066" s="497"/>
      <c r="AI1066" s="497"/>
      <c r="AJ1066" s="497"/>
      <c r="AK1066" s="497"/>
      <c r="AL1066" s="497"/>
      <c r="AM1066" s="497"/>
      <c r="AN1066" s="497"/>
      <c r="AO1066" s="497"/>
      <c r="AP1066" s="497"/>
      <c r="AQ1066" s="497"/>
      <c r="AR1066" s="497"/>
      <c r="AS1066" s="497"/>
      <c r="AT1066" s="497"/>
      <c r="AU1066" s="497"/>
      <c r="AV1066" s="497"/>
      <c r="AW1066" s="497"/>
      <c r="AX1066" s="497"/>
      <c r="AY1066" s="497"/>
      <c r="AZ1066" s="497"/>
      <c r="BA1066" s="497"/>
      <c r="BB1066" s="497"/>
      <c r="BC1066" s="497"/>
      <c r="BD1066" s="497"/>
      <c r="BE1066" s="497"/>
      <c r="BF1066" s="497"/>
      <c r="BG1066" s="497"/>
      <c r="BH1066" s="497"/>
      <c r="BI1066" s="497"/>
      <c r="BJ1066" s="497"/>
      <c r="BK1066" s="497"/>
      <c r="BL1066" s="497"/>
      <c r="BM1066" s="497"/>
      <c r="BN1066" s="497"/>
      <c r="BO1066" s="497"/>
      <c r="BP1066" s="497"/>
      <c r="BQ1066" s="497"/>
      <c r="BR1066" s="497"/>
      <c r="BS1066" s="497"/>
      <c r="BT1066" s="497"/>
      <c r="BU1066" s="497"/>
      <c r="BV1066" s="497"/>
      <c r="BW1066" s="497"/>
      <c r="BX1066" s="497"/>
      <c r="BY1066" s="497"/>
      <c r="BZ1066" s="497"/>
      <c r="CA1066" s="497"/>
      <c r="CB1066" s="497"/>
      <c r="CC1066" s="497"/>
      <c r="CD1066" s="497"/>
      <c r="CE1066" s="497"/>
      <c r="CF1066" s="497"/>
      <c r="CG1066" s="497"/>
      <c r="CH1066" s="497"/>
    </row>
  </sheetData>
  <sheetProtection selectLockedCells="1" selectUnlockedCells="1"/>
  <mergeCells count="22">
    <mergeCell ref="F232:G232"/>
    <mergeCell ref="F233:F234"/>
    <mergeCell ref="G233:G234"/>
    <mergeCell ref="F235:G235"/>
    <mergeCell ref="N12:T12"/>
    <mergeCell ref="N18:P18"/>
    <mergeCell ref="N27:P27"/>
    <mergeCell ref="S51:T51"/>
    <mergeCell ref="N63:O63"/>
    <mergeCell ref="F190:G190"/>
    <mergeCell ref="N8:P8"/>
    <mergeCell ref="A2:A3"/>
    <mergeCell ref="B2:D2"/>
    <mergeCell ref="E2:G2"/>
    <mergeCell ref="H2:H3"/>
    <mergeCell ref="I2:I3"/>
    <mergeCell ref="J2:J3"/>
    <mergeCell ref="K2:M3"/>
    <mergeCell ref="A4:G4"/>
    <mergeCell ref="N5:P5"/>
    <mergeCell ref="N6:P6"/>
    <mergeCell ref="N7:P7"/>
  </mergeCells>
  <phoneticPr fontId="15" type="noConversion"/>
  <conditionalFormatting sqref="J2:J3">
    <cfRule type="containsText" dxfId="509" priority="241" operator="containsText" text="허하나로">
      <formula>NOT(ISERROR(SEARCH("허하나로",H711)))</formula>
    </cfRule>
    <cfRule type="containsText" dxfId="508" priority="242" operator="containsText" text="한별">
      <formula>NOT(ISERROR(SEARCH("한별",H711)))</formula>
    </cfRule>
    <cfRule type="containsText" dxfId="507" priority="243" operator="containsText" text="정홍조">
      <formula>NOT(ISERROR(SEARCH("정홍조",H711)))</formula>
    </cfRule>
    <cfRule type="containsText" dxfId="506" priority="244" operator="containsText" text="김지윤">
      <formula>NOT(ISERROR(SEARCH("김지윤",H711)))</formula>
    </cfRule>
    <cfRule type="containsText" dxfId="505" priority="245" operator="containsText" text="전준영">
      <formula>NOT(ISERROR(SEARCH("전준영",H711)))</formula>
    </cfRule>
    <cfRule type="containsText" dxfId="504" priority="246" operator="containsText" text="차재성">
      <formula>NOT(ISERROR(SEARCH("차재성",H711)))</formula>
    </cfRule>
  </conditionalFormatting>
  <conditionalFormatting sqref="J250">
    <cfRule type="containsText" dxfId="503" priority="187" operator="containsText" text="허하나로">
      <formula>NOT(ISERROR(SEARCH("허하나로",H1186)))</formula>
    </cfRule>
    <cfRule type="containsText" dxfId="502" priority="188" operator="containsText" text="한별">
      <formula>NOT(ISERROR(SEARCH("한별",H1186)))</formula>
    </cfRule>
    <cfRule type="containsText" dxfId="501" priority="189" operator="containsText" text="정홍조">
      <formula>NOT(ISERROR(SEARCH("정홍조",H1186)))</formula>
    </cfRule>
    <cfRule type="containsText" dxfId="500" priority="190" operator="containsText" text="김지윤">
      <formula>NOT(ISERROR(SEARCH("김지윤",H1186)))</formula>
    </cfRule>
    <cfRule type="containsText" dxfId="499" priority="191" operator="containsText" text="전준영">
      <formula>NOT(ISERROR(SEARCH("전준영",H1186)))</formula>
    </cfRule>
    <cfRule type="containsText" dxfId="498" priority="192" operator="containsText" text="차재성">
      <formula>NOT(ISERROR(SEARCH("차재성",H1186)))</formula>
    </cfRule>
  </conditionalFormatting>
  <conditionalFormatting sqref="J249">
    <cfRule type="containsText" dxfId="497" priority="181" operator="containsText" text="허하나로">
      <formula>NOT(ISERROR(SEARCH("허하나로",H1185)))</formula>
    </cfRule>
    <cfRule type="containsText" dxfId="496" priority="182" operator="containsText" text="한별">
      <formula>NOT(ISERROR(SEARCH("한별",H1185)))</formula>
    </cfRule>
    <cfRule type="containsText" dxfId="495" priority="183" operator="containsText" text="정홍조">
      <formula>NOT(ISERROR(SEARCH("정홍조",H1185)))</formula>
    </cfRule>
    <cfRule type="containsText" dxfId="494" priority="184" operator="containsText" text="김지윤">
      <formula>NOT(ISERROR(SEARCH("김지윤",H1185)))</formula>
    </cfRule>
    <cfRule type="containsText" dxfId="493" priority="185" operator="containsText" text="전준영">
      <formula>NOT(ISERROR(SEARCH("전준영",H1185)))</formula>
    </cfRule>
    <cfRule type="containsText" dxfId="492" priority="186" operator="containsText" text="차재성">
      <formula>NOT(ISERROR(SEARCH("차재성",H1185)))</formula>
    </cfRule>
  </conditionalFormatting>
  <conditionalFormatting sqref="J254">
    <cfRule type="containsText" dxfId="491" priority="133" operator="containsText" text="허하나로">
      <formula>NOT(ISERROR(SEARCH("허하나로",H1013)))</formula>
    </cfRule>
    <cfRule type="containsText" dxfId="490" priority="134" operator="containsText" text="한별">
      <formula>NOT(ISERROR(SEARCH("한별",H1013)))</formula>
    </cfRule>
    <cfRule type="containsText" dxfId="489" priority="135" operator="containsText" text="정홍조">
      <formula>NOT(ISERROR(SEARCH("정홍조",H1013)))</formula>
    </cfRule>
    <cfRule type="containsText" dxfId="488" priority="136" operator="containsText" text="김지윤">
      <formula>NOT(ISERROR(SEARCH("김지윤",H1013)))</formula>
    </cfRule>
    <cfRule type="containsText" dxfId="487" priority="137" operator="containsText" text="전준영">
      <formula>NOT(ISERROR(SEARCH("전준영",H1013)))</formula>
    </cfRule>
    <cfRule type="containsText" dxfId="486" priority="138" operator="containsText" text="차재성">
      <formula>NOT(ISERROR(SEARCH("차재성",H1013)))</formula>
    </cfRule>
  </conditionalFormatting>
  <conditionalFormatting sqref="J256">
    <cfRule type="containsText" dxfId="485" priority="145" operator="containsText" text="허하나로">
      <formula>NOT(ISERROR(SEARCH("허하나로",H1189)))</formula>
    </cfRule>
    <cfRule type="containsText" dxfId="484" priority="146" operator="containsText" text="한별">
      <formula>NOT(ISERROR(SEARCH("한별",H1189)))</formula>
    </cfRule>
    <cfRule type="containsText" dxfId="483" priority="147" operator="containsText" text="정홍조">
      <formula>NOT(ISERROR(SEARCH("정홍조",H1189)))</formula>
    </cfRule>
    <cfRule type="containsText" dxfId="482" priority="148" operator="containsText" text="김지윤">
      <formula>NOT(ISERROR(SEARCH("김지윤",H1189)))</formula>
    </cfRule>
    <cfRule type="containsText" dxfId="481" priority="149" operator="containsText" text="전준영">
      <formula>NOT(ISERROR(SEARCH("전준영",H1189)))</formula>
    </cfRule>
    <cfRule type="containsText" dxfId="480" priority="150" operator="containsText" text="차재성">
      <formula>NOT(ISERROR(SEARCH("차재성",H1189)))</formula>
    </cfRule>
  </conditionalFormatting>
  <conditionalFormatting sqref="J255">
    <cfRule type="containsText" dxfId="479" priority="139" operator="containsText" text="허하나로">
      <formula>NOT(ISERROR(SEARCH("허하나로",H1188)))</formula>
    </cfRule>
    <cfRule type="containsText" dxfId="478" priority="140" operator="containsText" text="한별">
      <formula>NOT(ISERROR(SEARCH("한별",H1188)))</formula>
    </cfRule>
    <cfRule type="containsText" dxfId="477" priority="141" operator="containsText" text="정홍조">
      <formula>NOT(ISERROR(SEARCH("정홍조",H1188)))</formula>
    </cfRule>
    <cfRule type="containsText" dxfId="476" priority="142" operator="containsText" text="김지윤">
      <formula>NOT(ISERROR(SEARCH("김지윤",H1188)))</formula>
    </cfRule>
    <cfRule type="containsText" dxfId="475" priority="143" operator="containsText" text="전준영">
      <formula>NOT(ISERROR(SEARCH("전준영",H1188)))</formula>
    </cfRule>
    <cfRule type="containsText" dxfId="474" priority="144" operator="containsText" text="차재성">
      <formula>NOT(ISERROR(SEARCH("차재성",H1188)))</formula>
    </cfRule>
  </conditionalFormatting>
  <conditionalFormatting sqref="J5:J6">
    <cfRule type="containsText" dxfId="473" priority="67" operator="containsText" text="허하나로">
      <formula>NOT(ISERROR(SEARCH("허하나로",H706)))</formula>
    </cfRule>
    <cfRule type="containsText" dxfId="472" priority="68" operator="containsText" text="한별">
      <formula>NOT(ISERROR(SEARCH("한별",H706)))</formula>
    </cfRule>
    <cfRule type="containsText" dxfId="471" priority="69" operator="containsText" text="정홍조">
      <formula>NOT(ISERROR(SEARCH("정홍조",H706)))</formula>
    </cfRule>
    <cfRule type="containsText" dxfId="470" priority="70" operator="containsText" text="김지윤">
      <formula>NOT(ISERROR(SEARCH("김지윤",H706)))</formula>
    </cfRule>
    <cfRule type="containsText" dxfId="469" priority="71" operator="containsText" text="전준영">
      <formula>NOT(ISERROR(SEARCH("전준영",H706)))</formula>
    </cfRule>
    <cfRule type="containsText" dxfId="468" priority="72" operator="containsText" text="차재성">
      <formula>NOT(ISERROR(SEARCH("차재성",H706)))</formula>
    </cfRule>
  </conditionalFormatting>
  <conditionalFormatting sqref="J7">
    <cfRule type="containsText" dxfId="467" priority="61" operator="containsText" text="허하나로">
      <formula>NOT(ISERROR(SEARCH("허하나로",H707)))</formula>
    </cfRule>
    <cfRule type="containsText" dxfId="466" priority="62" operator="containsText" text="한별">
      <formula>NOT(ISERROR(SEARCH("한별",H707)))</formula>
    </cfRule>
    <cfRule type="containsText" dxfId="465" priority="63" operator="containsText" text="정홍조">
      <formula>NOT(ISERROR(SEARCH("정홍조",H707)))</formula>
    </cfRule>
    <cfRule type="containsText" dxfId="464" priority="64" operator="containsText" text="김지윤">
      <formula>NOT(ISERROR(SEARCH("김지윤",H707)))</formula>
    </cfRule>
    <cfRule type="containsText" dxfId="463" priority="65" operator="containsText" text="전준영">
      <formula>NOT(ISERROR(SEARCH("전준영",H707)))</formula>
    </cfRule>
    <cfRule type="containsText" dxfId="462" priority="66" operator="containsText" text="차재성">
      <formula>NOT(ISERROR(SEARCH("차재성",H707)))</formula>
    </cfRule>
  </conditionalFormatting>
  <conditionalFormatting sqref="J9">
    <cfRule type="containsText" dxfId="461" priority="73" operator="containsText" text="허하나로">
      <formula>NOT(ISERROR(SEARCH("허하나로",H905)))</formula>
    </cfRule>
    <cfRule type="containsText" dxfId="460" priority="74" operator="containsText" text="한별">
      <formula>NOT(ISERROR(SEARCH("한별",H905)))</formula>
    </cfRule>
    <cfRule type="containsText" dxfId="459" priority="75" operator="containsText" text="정홍조">
      <formula>NOT(ISERROR(SEARCH("정홍조",H905)))</formula>
    </cfRule>
    <cfRule type="containsText" dxfId="458" priority="76" operator="containsText" text="김지윤">
      <formula>NOT(ISERROR(SEARCH("김지윤",H905)))</formula>
    </cfRule>
    <cfRule type="containsText" dxfId="457" priority="77" operator="containsText" text="전준영">
      <formula>NOT(ISERROR(SEARCH("전준영",H905)))</formula>
    </cfRule>
    <cfRule type="containsText" dxfId="456" priority="78" operator="containsText" text="차재성">
      <formula>NOT(ISERROR(SEARCH("차재성",H905)))</formula>
    </cfRule>
  </conditionalFormatting>
  <conditionalFormatting sqref="J174:J175">
    <cfRule type="containsText" dxfId="455" priority="55" operator="containsText" text="허하나로">
      <formula>NOT(ISERROR(SEARCH("허하나로",H1149)))</formula>
    </cfRule>
    <cfRule type="containsText" dxfId="454" priority="56" operator="containsText" text="한별">
      <formula>NOT(ISERROR(SEARCH("한별",H1149)))</formula>
    </cfRule>
    <cfRule type="containsText" dxfId="453" priority="57" operator="containsText" text="정홍조">
      <formula>NOT(ISERROR(SEARCH("정홍조",H1149)))</formula>
    </cfRule>
    <cfRule type="containsText" dxfId="452" priority="58" operator="containsText" text="김지윤">
      <formula>NOT(ISERROR(SEARCH("김지윤",H1149)))</formula>
    </cfRule>
    <cfRule type="containsText" dxfId="451" priority="59" operator="containsText" text="전준영">
      <formula>NOT(ISERROR(SEARCH("전준영",H1149)))</formula>
    </cfRule>
    <cfRule type="containsText" dxfId="450" priority="60" operator="containsText" text="차재성">
      <formula>NOT(ISERROR(SEARCH("차재성",H1149)))</formula>
    </cfRule>
  </conditionalFormatting>
  <conditionalFormatting sqref="J180:J185">
    <cfRule type="containsText" dxfId="449" priority="79" operator="containsText" text="허하나로">
      <formula>NOT(ISERROR(SEARCH("허하나로",H1158)))</formula>
    </cfRule>
    <cfRule type="containsText" dxfId="448" priority="80" operator="containsText" text="한별">
      <formula>NOT(ISERROR(SEARCH("한별",H1158)))</formula>
    </cfRule>
    <cfRule type="containsText" dxfId="447" priority="81" operator="containsText" text="정홍조">
      <formula>NOT(ISERROR(SEARCH("정홍조",H1158)))</formula>
    </cfRule>
    <cfRule type="containsText" dxfId="446" priority="82" operator="containsText" text="김지윤">
      <formula>NOT(ISERROR(SEARCH("김지윤",H1158)))</formula>
    </cfRule>
    <cfRule type="containsText" dxfId="445" priority="83" operator="containsText" text="전준영">
      <formula>NOT(ISERROR(SEARCH("전준영",H1158)))</formula>
    </cfRule>
    <cfRule type="containsText" dxfId="444" priority="84" operator="containsText" text="차재성">
      <formula>NOT(ISERROR(SEARCH("차재성",H1158)))</formula>
    </cfRule>
  </conditionalFormatting>
  <conditionalFormatting sqref="J186 J179">
    <cfRule type="containsText" dxfId="443" priority="49" operator="containsText" text="허하나로">
      <formula>NOT(ISERROR(SEARCH("허하나로",H1156)))</formula>
    </cfRule>
    <cfRule type="containsText" dxfId="442" priority="50" operator="containsText" text="한별">
      <formula>NOT(ISERROR(SEARCH("한별",H1156)))</formula>
    </cfRule>
    <cfRule type="containsText" dxfId="441" priority="51" operator="containsText" text="정홍조">
      <formula>NOT(ISERROR(SEARCH("정홍조",H1156)))</formula>
    </cfRule>
    <cfRule type="containsText" dxfId="440" priority="52" operator="containsText" text="김지윤">
      <formula>NOT(ISERROR(SEARCH("김지윤",H1156)))</formula>
    </cfRule>
    <cfRule type="containsText" dxfId="439" priority="53" operator="containsText" text="전준영">
      <formula>NOT(ISERROR(SEARCH("전준영",H1156)))</formula>
    </cfRule>
    <cfRule type="containsText" dxfId="438" priority="54" operator="containsText" text="차재성">
      <formula>NOT(ISERROR(SEARCH("차재성",H1156)))</formula>
    </cfRule>
  </conditionalFormatting>
  <conditionalFormatting sqref="J178">
    <cfRule type="containsText" dxfId="437" priority="43" operator="containsText" text="허하나로">
      <formula>NOT(ISERROR(SEARCH("허하나로",H1155)))</formula>
    </cfRule>
    <cfRule type="containsText" dxfId="436" priority="44" operator="containsText" text="한별">
      <formula>NOT(ISERROR(SEARCH("한별",H1155)))</formula>
    </cfRule>
    <cfRule type="containsText" dxfId="435" priority="45" operator="containsText" text="정홍조">
      <formula>NOT(ISERROR(SEARCH("정홍조",H1155)))</formula>
    </cfRule>
    <cfRule type="containsText" dxfId="434" priority="46" operator="containsText" text="김지윤">
      <formula>NOT(ISERROR(SEARCH("김지윤",H1155)))</formula>
    </cfRule>
    <cfRule type="containsText" dxfId="433" priority="47" operator="containsText" text="전준영">
      <formula>NOT(ISERROR(SEARCH("전준영",H1155)))</formula>
    </cfRule>
    <cfRule type="containsText" dxfId="432" priority="48" operator="containsText" text="차재성">
      <formula>NOT(ISERROR(SEARCH("차재성",H1155)))</formula>
    </cfRule>
  </conditionalFormatting>
  <conditionalFormatting sqref="J176:J177">
    <cfRule type="containsText" dxfId="431" priority="85" operator="containsText" text="허하나로">
      <formula>NOT(ISERROR(SEARCH("허하나로",H1151)))</formula>
    </cfRule>
    <cfRule type="containsText" dxfId="430" priority="86" operator="containsText" text="한별">
      <formula>NOT(ISERROR(SEARCH("한별",H1151)))</formula>
    </cfRule>
    <cfRule type="containsText" dxfId="429" priority="87" operator="containsText" text="정홍조">
      <formula>NOT(ISERROR(SEARCH("정홍조",H1151)))</formula>
    </cfRule>
    <cfRule type="containsText" dxfId="428" priority="88" operator="containsText" text="김지윤">
      <formula>NOT(ISERROR(SEARCH("김지윤",H1151)))</formula>
    </cfRule>
    <cfRule type="containsText" dxfId="427" priority="89" operator="containsText" text="전준영">
      <formula>NOT(ISERROR(SEARCH("전준영",H1151)))</formula>
    </cfRule>
    <cfRule type="containsText" dxfId="426" priority="90" operator="containsText" text="차재성">
      <formula>NOT(ISERROR(SEARCH("차재성",H1151)))</formula>
    </cfRule>
  </conditionalFormatting>
  <conditionalFormatting sqref="J240">
    <cfRule type="containsText" dxfId="425" priority="37" operator="containsText" text="허하나로">
      <formula>NOT(ISERROR(SEARCH("허하나로",H979)))</formula>
    </cfRule>
    <cfRule type="containsText" dxfId="424" priority="38" operator="containsText" text="한별">
      <formula>NOT(ISERROR(SEARCH("한별",H979)))</formula>
    </cfRule>
    <cfRule type="containsText" dxfId="423" priority="39" operator="containsText" text="정홍조">
      <formula>NOT(ISERROR(SEARCH("정홍조",H979)))</formula>
    </cfRule>
    <cfRule type="containsText" dxfId="422" priority="40" operator="containsText" text="김지윤">
      <formula>NOT(ISERROR(SEARCH("김지윤",H979)))</formula>
    </cfRule>
    <cfRule type="containsText" dxfId="421" priority="41" operator="containsText" text="전준영">
      <formula>NOT(ISERROR(SEARCH("전준영",H979)))</formula>
    </cfRule>
    <cfRule type="containsText" dxfId="420" priority="42" operator="containsText" text="차재성">
      <formula>NOT(ISERROR(SEARCH("차재성",H979)))</formula>
    </cfRule>
  </conditionalFormatting>
  <conditionalFormatting sqref="J242">
    <cfRule type="containsText" dxfId="419" priority="31" operator="containsText" text="허하나로">
      <formula>NOT(ISERROR(SEARCH("허하나로",H1172)))</formula>
    </cfRule>
    <cfRule type="containsText" dxfId="418" priority="32" operator="containsText" text="한별">
      <formula>NOT(ISERROR(SEARCH("한별",H1172)))</formula>
    </cfRule>
    <cfRule type="containsText" dxfId="417" priority="33" operator="containsText" text="정홍조">
      <formula>NOT(ISERROR(SEARCH("정홍조",H1172)))</formula>
    </cfRule>
    <cfRule type="containsText" dxfId="416" priority="34" operator="containsText" text="김지윤">
      <formula>NOT(ISERROR(SEARCH("김지윤",H1172)))</formula>
    </cfRule>
    <cfRule type="containsText" dxfId="415" priority="35" operator="containsText" text="전준영">
      <formula>NOT(ISERROR(SEARCH("전준영",H1172)))</formula>
    </cfRule>
    <cfRule type="containsText" dxfId="414" priority="36" operator="containsText" text="차재성">
      <formula>NOT(ISERROR(SEARCH("차재성",H1172)))</formula>
    </cfRule>
  </conditionalFormatting>
  <conditionalFormatting sqref="J239">
    <cfRule type="containsText" dxfId="413" priority="25" operator="containsText" text="허하나로">
      <formula>NOT(ISERROR(SEARCH("허하나로",H978)))</formula>
    </cfRule>
    <cfRule type="containsText" dxfId="412" priority="26" operator="containsText" text="한별">
      <formula>NOT(ISERROR(SEARCH("한별",H978)))</formula>
    </cfRule>
    <cfRule type="containsText" dxfId="411" priority="27" operator="containsText" text="정홍조">
      <formula>NOT(ISERROR(SEARCH("정홍조",H978)))</formula>
    </cfRule>
    <cfRule type="containsText" dxfId="410" priority="28" operator="containsText" text="김지윤">
      <formula>NOT(ISERROR(SEARCH("김지윤",H978)))</formula>
    </cfRule>
    <cfRule type="containsText" dxfId="409" priority="29" operator="containsText" text="전준영">
      <formula>NOT(ISERROR(SEARCH("전준영",H978)))</formula>
    </cfRule>
    <cfRule type="containsText" dxfId="408" priority="30" operator="containsText" text="차재성">
      <formula>NOT(ISERROR(SEARCH("차재성",H978)))</formula>
    </cfRule>
  </conditionalFormatting>
  <conditionalFormatting sqref="J238">
    <cfRule type="containsText" dxfId="407" priority="19" operator="containsText" text="허하나로">
      <formula>NOT(ISERROR(SEARCH("허하나로",H977)))</formula>
    </cfRule>
    <cfRule type="containsText" dxfId="406" priority="20" operator="containsText" text="한별">
      <formula>NOT(ISERROR(SEARCH("한별",H977)))</formula>
    </cfRule>
    <cfRule type="containsText" dxfId="405" priority="21" operator="containsText" text="정홍조">
      <formula>NOT(ISERROR(SEARCH("정홍조",H977)))</formula>
    </cfRule>
    <cfRule type="containsText" dxfId="404" priority="22" operator="containsText" text="김지윤">
      <formula>NOT(ISERROR(SEARCH("김지윤",H977)))</formula>
    </cfRule>
    <cfRule type="containsText" dxfId="403" priority="23" operator="containsText" text="전준영">
      <formula>NOT(ISERROR(SEARCH("전준영",H977)))</formula>
    </cfRule>
    <cfRule type="containsText" dxfId="402" priority="24" operator="containsText" text="차재성">
      <formula>NOT(ISERROR(SEARCH("차재성",H977)))</formula>
    </cfRule>
  </conditionalFormatting>
  <conditionalFormatting sqref="J92">
    <cfRule type="containsText" dxfId="401" priority="91" operator="containsText" text="허하나로">
      <formula>NOT(ISERROR(SEARCH("허하나로",H1148)))</formula>
    </cfRule>
    <cfRule type="containsText" dxfId="400" priority="92" operator="containsText" text="한별">
      <formula>NOT(ISERROR(SEARCH("한별",H1148)))</formula>
    </cfRule>
    <cfRule type="containsText" dxfId="399" priority="93" operator="containsText" text="정홍조">
      <formula>NOT(ISERROR(SEARCH("정홍조",H1148)))</formula>
    </cfRule>
    <cfRule type="containsText" dxfId="398" priority="94" operator="containsText" text="김지윤">
      <formula>NOT(ISERROR(SEARCH("김지윤",H1148)))</formula>
    </cfRule>
    <cfRule type="containsText" dxfId="397" priority="95" operator="containsText" text="전준영">
      <formula>NOT(ISERROR(SEARCH("전준영",H1148)))</formula>
    </cfRule>
    <cfRule type="containsText" dxfId="396" priority="96" operator="containsText" text="차재성">
      <formula>NOT(ISERROR(SEARCH("차재성",H1148)))</formula>
    </cfRule>
  </conditionalFormatting>
  <conditionalFormatting sqref="J173">
    <cfRule type="containsText" dxfId="395" priority="97" operator="containsText" text="허하나로">
      <formula>NOT(ISERROR(SEARCH("허하나로",H1146)))</formula>
    </cfRule>
    <cfRule type="containsText" dxfId="394" priority="98" operator="containsText" text="한별">
      <formula>NOT(ISERROR(SEARCH("한별",H1146)))</formula>
    </cfRule>
    <cfRule type="containsText" dxfId="393" priority="99" operator="containsText" text="정홍조">
      <formula>NOT(ISERROR(SEARCH("정홍조",H1146)))</formula>
    </cfRule>
    <cfRule type="containsText" dxfId="392" priority="100" operator="containsText" text="김지윤">
      <formula>NOT(ISERROR(SEARCH("김지윤",H1146)))</formula>
    </cfRule>
    <cfRule type="containsText" dxfId="391" priority="101" operator="containsText" text="전준영">
      <formula>NOT(ISERROR(SEARCH("전준영",H1146)))</formula>
    </cfRule>
    <cfRule type="containsText" dxfId="390" priority="102" operator="containsText" text="차재성">
      <formula>NOT(ISERROR(SEARCH("차재성",H1146)))</formula>
    </cfRule>
  </conditionalFormatting>
  <conditionalFormatting sqref="J147:J149">
    <cfRule type="containsText" dxfId="389" priority="103" operator="containsText" text="허하나로">
      <formula>NOT(ISERROR(SEARCH("허하나로",H1115)))</formula>
    </cfRule>
    <cfRule type="containsText" dxfId="388" priority="104" operator="containsText" text="한별">
      <formula>NOT(ISERROR(SEARCH("한별",H1115)))</formula>
    </cfRule>
    <cfRule type="containsText" dxfId="387" priority="105" operator="containsText" text="정홍조">
      <formula>NOT(ISERROR(SEARCH("정홍조",H1115)))</formula>
    </cfRule>
    <cfRule type="containsText" dxfId="386" priority="106" operator="containsText" text="김지윤">
      <formula>NOT(ISERROR(SEARCH("김지윤",H1115)))</formula>
    </cfRule>
    <cfRule type="containsText" dxfId="385" priority="107" operator="containsText" text="전준영">
      <formula>NOT(ISERROR(SEARCH("전준영",H1115)))</formula>
    </cfRule>
    <cfRule type="containsText" dxfId="384" priority="108" operator="containsText" text="차재성">
      <formula>NOT(ISERROR(SEARCH("차재성",H1115)))</formula>
    </cfRule>
  </conditionalFormatting>
  <conditionalFormatting sqref="J150:J164">
    <cfRule type="containsText" dxfId="383" priority="109" operator="containsText" text="허하나로">
      <formula>NOT(ISERROR(SEARCH("허하나로",H1117)))</formula>
    </cfRule>
    <cfRule type="containsText" dxfId="382" priority="110" operator="containsText" text="한별">
      <formula>NOT(ISERROR(SEARCH("한별",H1117)))</formula>
    </cfRule>
    <cfRule type="containsText" dxfId="381" priority="111" operator="containsText" text="정홍조">
      <formula>NOT(ISERROR(SEARCH("정홍조",H1117)))</formula>
    </cfRule>
    <cfRule type="containsText" dxfId="380" priority="112" operator="containsText" text="김지윤">
      <formula>NOT(ISERROR(SEARCH("김지윤",H1117)))</formula>
    </cfRule>
    <cfRule type="containsText" dxfId="379" priority="113" operator="containsText" text="전준영">
      <formula>NOT(ISERROR(SEARCH("전준영",H1117)))</formula>
    </cfRule>
    <cfRule type="containsText" dxfId="378" priority="114" operator="containsText" text="차재성">
      <formula>NOT(ISERROR(SEARCH("차재성",H1117)))</formula>
    </cfRule>
  </conditionalFormatting>
  <conditionalFormatting sqref="J172">
    <cfRule type="containsText" dxfId="377" priority="115" operator="containsText" text="허하나로">
      <formula>NOT(ISERROR(SEARCH("허하나로",H1142)))</formula>
    </cfRule>
    <cfRule type="containsText" dxfId="376" priority="116" operator="containsText" text="한별">
      <formula>NOT(ISERROR(SEARCH("한별",H1142)))</formula>
    </cfRule>
    <cfRule type="containsText" dxfId="375" priority="117" operator="containsText" text="정홍조">
      <formula>NOT(ISERROR(SEARCH("정홍조",H1142)))</formula>
    </cfRule>
    <cfRule type="containsText" dxfId="374" priority="118" operator="containsText" text="김지윤">
      <formula>NOT(ISERROR(SEARCH("김지윤",H1142)))</formula>
    </cfRule>
    <cfRule type="containsText" dxfId="373" priority="119" operator="containsText" text="전준영">
      <formula>NOT(ISERROR(SEARCH("전준영",H1142)))</formula>
    </cfRule>
    <cfRule type="containsText" dxfId="372" priority="120" operator="containsText" text="차재성">
      <formula>NOT(ISERROR(SEARCH("차재성",H1142)))</formula>
    </cfRule>
  </conditionalFormatting>
  <conditionalFormatting sqref="J165:J171">
    <cfRule type="containsText" dxfId="371" priority="121" operator="containsText" text="허하나로">
      <formula>NOT(ISERROR(SEARCH("허하나로",H1134)))</formula>
    </cfRule>
    <cfRule type="containsText" dxfId="370" priority="122" operator="containsText" text="한별">
      <formula>NOT(ISERROR(SEARCH("한별",H1134)))</formula>
    </cfRule>
    <cfRule type="containsText" dxfId="369" priority="123" operator="containsText" text="정홍조">
      <formula>NOT(ISERROR(SEARCH("정홍조",H1134)))</formula>
    </cfRule>
    <cfRule type="containsText" dxfId="368" priority="124" operator="containsText" text="김지윤">
      <formula>NOT(ISERROR(SEARCH("김지윤",H1134)))</formula>
    </cfRule>
    <cfRule type="containsText" dxfId="367" priority="125" operator="containsText" text="전준영">
      <formula>NOT(ISERROR(SEARCH("전준영",H1134)))</formula>
    </cfRule>
    <cfRule type="containsText" dxfId="366" priority="126" operator="containsText" text="차재성">
      <formula>NOT(ISERROR(SEARCH("차재성",H1134)))</formula>
    </cfRule>
  </conditionalFormatting>
  <conditionalFormatting sqref="J189">
    <cfRule type="containsText" dxfId="365" priority="13" operator="containsText" text="허하나로">
      <formula>NOT(ISERROR(SEARCH("허하나로",H1178)))</formula>
    </cfRule>
    <cfRule type="containsText" dxfId="364" priority="14" operator="containsText" text="한별">
      <formula>NOT(ISERROR(SEARCH("한별",H1178)))</formula>
    </cfRule>
    <cfRule type="containsText" dxfId="363" priority="15" operator="containsText" text="정홍조">
      <formula>NOT(ISERROR(SEARCH("정홍조",H1178)))</formula>
    </cfRule>
    <cfRule type="containsText" dxfId="362" priority="16" operator="containsText" text="김지윤">
      <formula>NOT(ISERROR(SEARCH("김지윤",H1178)))</formula>
    </cfRule>
    <cfRule type="containsText" dxfId="361" priority="17" operator="containsText" text="전준영">
      <formula>NOT(ISERROR(SEARCH("전준영",H1178)))</formula>
    </cfRule>
    <cfRule type="containsText" dxfId="360" priority="18" operator="containsText" text="차재성">
      <formula>NOT(ISERROR(SEARCH("차재성",H1178)))</formula>
    </cfRule>
  </conditionalFormatting>
  <conditionalFormatting sqref="J188">
    <cfRule type="containsText" dxfId="359" priority="7" operator="containsText" text="허하나로">
      <formula>NOT(ISERROR(SEARCH("허하나로",H1177)))</formula>
    </cfRule>
    <cfRule type="containsText" dxfId="358" priority="8" operator="containsText" text="한별">
      <formula>NOT(ISERROR(SEARCH("한별",H1177)))</formula>
    </cfRule>
    <cfRule type="containsText" dxfId="357" priority="9" operator="containsText" text="정홍조">
      <formula>NOT(ISERROR(SEARCH("정홍조",H1177)))</formula>
    </cfRule>
    <cfRule type="containsText" dxfId="356" priority="10" operator="containsText" text="김지윤">
      <formula>NOT(ISERROR(SEARCH("김지윤",H1177)))</formula>
    </cfRule>
    <cfRule type="containsText" dxfId="355" priority="11" operator="containsText" text="전준영">
      <formula>NOT(ISERROR(SEARCH("전준영",H1177)))</formula>
    </cfRule>
    <cfRule type="containsText" dxfId="354" priority="12" operator="containsText" text="차재성">
      <formula>NOT(ISERROR(SEARCH("차재성",H1177)))</formula>
    </cfRule>
  </conditionalFormatting>
  <conditionalFormatting sqref="J187">
    <cfRule type="containsText" dxfId="353" priority="1" operator="containsText" text="허하나로">
      <formula>NOT(ISERROR(SEARCH("허하나로",H935)))</formula>
    </cfRule>
    <cfRule type="containsText" dxfId="352" priority="2" operator="containsText" text="한별">
      <formula>NOT(ISERROR(SEARCH("한별",H935)))</formula>
    </cfRule>
    <cfRule type="containsText" dxfId="351" priority="3" operator="containsText" text="정홍조">
      <formula>NOT(ISERROR(SEARCH("정홍조",H935)))</formula>
    </cfRule>
    <cfRule type="containsText" dxfId="350" priority="4" operator="containsText" text="김지윤">
      <formula>NOT(ISERROR(SEARCH("김지윤",H935)))</formula>
    </cfRule>
    <cfRule type="containsText" dxfId="349" priority="5" operator="containsText" text="전준영">
      <formula>NOT(ISERROR(SEARCH("전준영",H935)))</formula>
    </cfRule>
    <cfRule type="containsText" dxfId="348" priority="6" operator="containsText" text="차재성">
      <formula>NOT(ISERROR(SEARCH("차재성",H935)))</formula>
    </cfRule>
  </conditionalFormatting>
  <pageMargins left="0.94488188976377963" right="0.78740157480314965" top="0.6692913385826772" bottom="0.98425196850393704" header="0.51181102362204722" footer="0.51181102362204722"/>
  <pageSetup paperSize="9" scale="59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CD54-D7DA-4DC5-96D1-BA45DEB97D30}">
  <sheetPr>
    <pageSetUpPr fitToPage="1"/>
  </sheetPr>
  <dimension ref="A1:BR331"/>
  <sheetViews>
    <sheetView view="pageBreakPreview" zoomScale="95" zoomScaleNormal="95" zoomScaleSheetLayoutView="95" workbookViewId="0">
      <selection activeCell="J20" sqref="J20"/>
    </sheetView>
  </sheetViews>
  <sheetFormatPr defaultColWidth="9" defaultRowHeight="13.5"/>
  <cols>
    <col min="1" max="6" width="3.875" style="2428" customWidth="1"/>
    <col min="7" max="7" width="20.75" style="2428" customWidth="1"/>
    <col min="8" max="8" width="13.25" style="2429" customWidth="1"/>
    <col min="9" max="9" width="13" style="2429" customWidth="1"/>
    <col min="10" max="10" width="12.375" style="2430" customWidth="1"/>
    <col min="11" max="11" width="58.375" style="2431" customWidth="1"/>
    <col min="12" max="12" width="3.875" style="2432" customWidth="1"/>
    <col min="13" max="13" width="14.625" style="2429" customWidth="1"/>
    <col min="14" max="14" width="50" style="2433" customWidth="1"/>
    <col min="15" max="15" width="14" style="2077" customWidth="1"/>
    <col min="16" max="16" width="16" style="2415" customWidth="1"/>
    <col min="17" max="17" width="10" style="2415" customWidth="1"/>
    <col min="18" max="18" width="12.75" style="2415" customWidth="1"/>
    <col min="19" max="19" width="12.5" style="2415" customWidth="1"/>
    <col min="20" max="20" width="11.75" style="2415" customWidth="1"/>
    <col min="21" max="21" width="10" style="2415" customWidth="1"/>
    <col min="22" max="24" width="9" style="2415" customWidth="1"/>
    <col min="25" max="29" width="9" style="2077" customWidth="1"/>
    <col min="30" max="16384" width="9" style="2077"/>
  </cols>
  <sheetData>
    <row r="1" spans="1:29" ht="21.75" customHeight="1" thickBot="1">
      <c r="A1" s="2071" t="s">
        <v>1845</v>
      </c>
      <c r="B1" s="2072"/>
      <c r="C1" s="2071"/>
      <c r="D1" s="2071"/>
      <c r="E1" s="2071"/>
      <c r="F1" s="2071"/>
      <c r="G1" s="2073"/>
      <c r="H1" s="2074"/>
      <c r="I1" s="2074"/>
      <c r="J1" s="2073"/>
      <c r="K1" s="2073"/>
      <c r="L1" s="2073"/>
      <c r="M1" s="2075" t="s">
        <v>1846</v>
      </c>
      <c r="N1" s="2076"/>
      <c r="O1" s="2076"/>
      <c r="P1" s="2076"/>
      <c r="Q1" s="2076"/>
      <c r="R1" s="2076"/>
      <c r="S1" s="2076"/>
      <c r="T1" s="2076"/>
      <c r="U1" s="2076"/>
      <c r="V1" s="2076"/>
      <c r="W1" s="2076"/>
      <c r="X1" s="2076"/>
      <c r="Y1" s="2076"/>
      <c r="Z1" s="2076"/>
      <c r="AA1" s="2076"/>
      <c r="AB1" s="2076"/>
      <c r="AC1" s="2076"/>
    </row>
    <row r="2" spans="1:29" s="2" customFormat="1" ht="18" customHeight="1">
      <c r="A2" s="3021" t="s">
        <v>1847</v>
      </c>
      <c r="B2" s="3023" t="s">
        <v>1848</v>
      </c>
      <c r="C2" s="3024"/>
      <c r="D2" s="3007"/>
      <c r="E2" s="3023" t="s">
        <v>1849</v>
      </c>
      <c r="F2" s="3024"/>
      <c r="G2" s="3007"/>
      <c r="H2" s="3025" t="s">
        <v>33</v>
      </c>
      <c r="I2" s="3027" t="s">
        <v>35</v>
      </c>
      <c r="J2" s="3027" t="s">
        <v>73</v>
      </c>
      <c r="K2" s="3007" t="s">
        <v>105</v>
      </c>
      <c r="L2" s="3008"/>
      <c r="M2" s="3009"/>
      <c r="N2" s="2078"/>
      <c r="O2" s="6"/>
      <c r="P2" s="39"/>
      <c r="Q2" s="6"/>
      <c r="R2" s="6"/>
      <c r="S2" s="6"/>
      <c r="T2" s="14"/>
      <c r="U2" s="5"/>
    </row>
    <row r="3" spans="1:29" s="2" customFormat="1" ht="18" customHeight="1" thickBot="1">
      <c r="A3" s="3022"/>
      <c r="B3" s="2079" t="s">
        <v>1850</v>
      </c>
      <c r="C3" s="2079" t="s">
        <v>18</v>
      </c>
      <c r="D3" s="2079" t="s">
        <v>1851</v>
      </c>
      <c r="E3" s="2079" t="s">
        <v>1852</v>
      </c>
      <c r="F3" s="2079" t="s">
        <v>1853</v>
      </c>
      <c r="G3" s="2079" t="s">
        <v>1854</v>
      </c>
      <c r="H3" s="3026"/>
      <c r="I3" s="3028"/>
      <c r="J3" s="3028"/>
      <c r="K3" s="3010"/>
      <c r="L3" s="3011"/>
      <c r="M3" s="3012"/>
      <c r="N3" s="2080"/>
      <c r="O3" s="6"/>
      <c r="P3" s="39"/>
      <c r="Q3" s="6"/>
      <c r="R3" s="6"/>
      <c r="S3" s="6"/>
      <c r="T3" s="14"/>
      <c r="U3" s="5"/>
    </row>
    <row r="4" spans="1:29" s="2091" customFormat="1" ht="18" customHeight="1" thickBot="1">
      <c r="A4" s="3013" t="s">
        <v>1855</v>
      </c>
      <c r="B4" s="3014"/>
      <c r="C4" s="3014"/>
      <c r="D4" s="3014"/>
      <c r="E4" s="3014"/>
      <c r="F4" s="3014"/>
      <c r="G4" s="3015"/>
      <c r="H4" s="2081">
        <f>H5+H306</f>
        <v>1998382</v>
      </c>
      <c r="I4" s="2081">
        <f>I5+I306</f>
        <v>2024994</v>
      </c>
      <c r="J4" s="2081">
        <f t="shared" ref="J4:J11" si="0">H4-I4</f>
        <v>-26612</v>
      </c>
      <c r="K4" s="2082"/>
      <c r="L4" s="2083"/>
      <c r="M4" s="2084"/>
      <c r="N4" s="2085"/>
      <c r="O4" s="2086"/>
      <c r="P4" s="2087"/>
      <c r="Q4" s="2088"/>
      <c r="R4" s="2089"/>
      <c r="S4" s="2089"/>
      <c r="T4" s="2090"/>
      <c r="X4" s="2090"/>
      <c r="Y4" s="2090"/>
      <c r="Z4" s="2090"/>
      <c r="AA4" s="2090"/>
      <c r="AB4" s="2090"/>
    </row>
    <row r="5" spans="1:29" s="2" customFormat="1" ht="18" customHeight="1">
      <c r="A5" s="1709" t="s">
        <v>1856</v>
      </c>
      <c r="B5" s="1019"/>
      <c r="C5" s="1020"/>
      <c r="D5" s="1020"/>
      <c r="E5" s="1020"/>
      <c r="F5" s="1020"/>
      <c r="G5" s="1021"/>
      <c r="H5" s="2092">
        <f>H6</f>
        <v>1977742</v>
      </c>
      <c r="I5" s="2092">
        <f>I6</f>
        <v>1999638</v>
      </c>
      <c r="J5" s="2092">
        <f t="shared" si="0"/>
        <v>-21896</v>
      </c>
      <c r="K5" s="2093"/>
      <c r="L5" s="2094"/>
      <c r="M5" s="2095"/>
      <c r="N5" s="2096"/>
      <c r="O5" s="3"/>
      <c r="P5" s="68"/>
      <c r="Q5" s="1023"/>
      <c r="R5" s="1023"/>
      <c r="S5" s="1023"/>
      <c r="T5" s="1024"/>
      <c r="U5" s="1025"/>
    </row>
    <row r="6" spans="1:29" s="2" customFormat="1" ht="18" customHeight="1">
      <c r="A6" s="64"/>
      <c r="B6" s="1026" t="s">
        <v>1857</v>
      </c>
      <c r="C6" s="1026"/>
      <c r="D6" s="1027"/>
      <c r="E6" s="1027"/>
      <c r="F6" s="1027"/>
      <c r="G6" s="1028"/>
      <c r="H6" s="2092">
        <f>H7+H134+H229</f>
        <v>1977742</v>
      </c>
      <c r="I6" s="2092">
        <f>I7+I134+I229</f>
        <v>1999638</v>
      </c>
      <c r="J6" s="2092">
        <f t="shared" si="0"/>
        <v>-21896</v>
      </c>
      <c r="K6" s="2093"/>
      <c r="L6" s="2094"/>
      <c r="M6" s="2095"/>
      <c r="N6" s="2096"/>
      <c r="O6" s="3"/>
      <c r="P6" s="68"/>
      <c r="Q6" s="1023"/>
      <c r="R6" s="1023"/>
      <c r="S6" s="1023"/>
      <c r="T6" s="1024"/>
      <c r="U6" s="1025"/>
    </row>
    <row r="7" spans="1:29" s="2" customFormat="1" ht="18" customHeight="1">
      <c r="A7" s="64"/>
      <c r="B7" s="22"/>
      <c r="C7" s="2704" t="s">
        <v>1858</v>
      </c>
      <c r="D7" s="1027"/>
      <c r="E7" s="1027"/>
      <c r="F7" s="1027"/>
      <c r="G7" s="1028"/>
      <c r="H7" s="2092">
        <f>H8+H100</f>
        <v>1004886</v>
      </c>
      <c r="I7" s="2092">
        <f>I8+I100</f>
        <v>1029364</v>
      </c>
      <c r="J7" s="2092">
        <f t="shared" si="0"/>
        <v>-24478</v>
      </c>
      <c r="K7" s="2093"/>
      <c r="L7" s="2094"/>
      <c r="M7" s="2095"/>
      <c r="N7" s="2098"/>
      <c r="O7" s="2099"/>
      <c r="P7" s="2099"/>
      <c r="Q7" s="2099"/>
      <c r="R7" s="2099"/>
      <c r="S7" s="2099"/>
      <c r="T7" s="2099"/>
      <c r="U7" s="2099"/>
    </row>
    <row r="8" spans="1:29" s="2" customFormat="1" ht="18" customHeight="1">
      <c r="A8" s="64"/>
      <c r="B8" s="22"/>
      <c r="C8" s="25"/>
      <c r="D8" s="1026" t="s">
        <v>1859</v>
      </c>
      <c r="E8" s="1027"/>
      <c r="F8" s="1027"/>
      <c r="G8" s="1028"/>
      <c r="H8" s="2100">
        <f>H9+H20</f>
        <v>950032</v>
      </c>
      <c r="I8" s="2100">
        <f>I9+I20</f>
        <v>958110</v>
      </c>
      <c r="J8" s="51">
        <f t="shared" si="0"/>
        <v>-8078</v>
      </c>
      <c r="K8" s="1022"/>
      <c r="L8" s="849"/>
      <c r="M8" s="2095"/>
      <c r="N8" s="2096"/>
      <c r="O8" s="3"/>
      <c r="P8" s="68"/>
      <c r="Q8" s="1023"/>
      <c r="R8" s="1023"/>
      <c r="S8" s="1023"/>
      <c r="T8" s="1024"/>
      <c r="U8" s="1025"/>
    </row>
    <row r="9" spans="1:29" s="2" customFormat="1" ht="18" customHeight="1">
      <c r="A9" s="64"/>
      <c r="B9" s="22"/>
      <c r="C9" s="2101"/>
      <c r="D9" s="1032"/>
      <c r="E9" s="1026" t="s">
        <v>98</v>
      </c>
      <c r="F9" s="1027"/>
      <c r="G9" s="1028"/>
      <c r="H9" s="51">
        <f>H10</f>
        <v>147745</v>
      </c>
      <c r="I9" s="51">
        <f>I10</f>
        <v>171587</v>
      </c>
      <c r="J9" s="51">
        <f t="shared" si="0"/>
        <v>-23842</v>
      </c>
      <c r="K9" s="2102"/>
      <c r="L9" s="2103"/>
      <c r="M9" s="2104"/>
      <c r="N9" s="2096"/>
      <c r="O9" s="3"/>
      <c r="P9" s="68"/>
      <c r="Q9" s="1023"/>
      <c r="R9" s="1023"/>
      <c r="S9" s="1023"/>
      <c r="T9" s="76"/>
      <c r="U9" s="1025"/>
    </row>
    <row r="10" spans="1:29" s="2091" customFormat="1" ht="18" customHeight="1">
      <c r="A10" s="2105"/>
      <c r="B10" s="2106"/>
      <c r="C10" s="2107"/>
      <c r="D10" s="2108"/>
      <c r="E10" s="2109"/>
      <c r="F10" s="2110" t="s">
        <v>81</v>
      </c>
      <c r="G10" s="2111"/>
      <c r="H10" s="2112">
        <f>H11</f>
        <v>147745</v>
      </c>
      <c r="I10" s="2112">
        <f>I11</f>
        <v>171587</v>
      </c>
      <c r="J10" s="2113">
        <f t="shared" si="0"/>
        <v>-23842</v>
      </c>
      <c r="K10" s="2114"/>
      <c r="L10" s="2115"/>
      <c r="M10" s="2116"/>
      <c r="N10" s="2681"/>
    </row>
    <row r="11" spans="1:29" s="2091" customFormat="1" ht="18" customHeight="1">
      <c r="A11" s="2105"/>
      <c r="B11" s="2106"/>
      <c r="C11" s="2106"/>
      <c r="D11" s="2118"/>
      <c r="E11" s="2119"/>
      <c r="F11" s="2119"/>
      <c r="G11" s="2120" t="s">
        <v>39</v>
      </c>
      <c r="H11" s="2121">
        <f>M11</f>
        <v>147745</v>
      </c>
      <c r="I11" s="2121">
        <v>171587</v>
      </c>
      <c r="J11" s="2121">
        <f t="shared" si="0"/>
        <v>-23842</v>
      </c>
      <c r="K11" s="2122" t="s">
        <v>1860</v>
      </c>
      <c r="L11" s="2123"/>
      <c r="M11" s="2124">
        <f>M12</f>
        <v>147745</v>
      </c>
      <c r="N11" s="2125"/>
      <c r="O11" s="2090"/>
    </row>
    <row r="12" spans="1:29" s="2091" customFormat="1" ht="18" customHeight="1">
      <c r="A12" s="2105"/>
      <c r="B12" s="2106"/>
      <c r="C12" s="2106"/>
      <c r="D12" s="2118"/>
      <c r="E12" s="2119"/>
      <c r="F12" s="2119"/>
      <c r="G12" s="2126"/>
      <c r="H12" s="2127"/>
      <c r="I12" s="2127"/>
      <c r="J12" s="2127"/>
      <c r="K12" s="2705" t="s">
        <v>1813</v>
      </c>
      <c r="L12" s="2262" t="s">
        <v>6</v>
      </c>
      <c r="M12" s="2706">
        <f>SUM(M13:M19)</f>
        <v>147745</v>
      </c>
      <c r="N12" s="2117" t="s">
        <v>1816</v>
      </c>
      <c r="O12" s="2090"/>
      <c r="P12" s="2129"/>
    </row>
    <row r="13" spans="1:29" s="2091" customFormat="1" ht="18" customHeight="1">
      <c r="A13" s="2105"/>
      <c r="B13" s="2106"/>
      <c r="C13" s="2106"/>
      <c r="D13" s="2118"/>
      <c r="E13" s="2119"/>
      <c r="F13" s="2119"/>
      <c r="G13" s="2126"/>
      <c r="H13" s="2127"/>
      <c r="I13" s="2127"/>
      <c r="J13" s="2127"/>
      <c r="K13" s="1316" t="s">
        <v>2285</v>
      </c>
      <c r="L13" s="2707" t="s">
        <v>6</v>
      </c>
      <c r="M13" s="2708">
        <f>ROUND(P13*Q13*R13*S13*T13/1000,0)</f>
        <v>94248</v>
      </c>
      <c r="N13" s="2117"/>
      <c r="O13" s="2131"/>
      <c r="P13" s="2063">
        <v>10710</v>
      </c>
      <c r="Q13" s="2064">
        <v>8</v>
      </c>
      <c r="R13" s="2641">
        <v>5</v>
      </c>
      <c r="S13" s="2064">
        <v>5</v>
      </c>
      <c r="T13" s="2064">
        <v>44</v>
      </c>
    </row>
    <row r="14" spans="1:29" s="2091" customFormat="1" ht="18" customHeight="1">
      <c r="A14" s="2105"/>
      <c r="B14" s="2106"/>
      <c r="C14" s="2106"/>
      <c r="D14" s="2118"/>
      <c r="E14" s="2119"/>
      <c r="F14" s="2119"/>
      <c r="G14" s="2126"/>
      <c r="H14" s="2127"/>
      <c r="I14" s="2127"/>
      <c r="J14" s="2127"/>
      <c r="K14" s="1316" t="s">
        <v>2286</v>
      </c>
      <c r="L14" s="2707" t="s">
        <v>6</v>
      </c>
      <c r="M14" s="2708">
        <f>ROUND(P14*Q14*R14*S14*T14/1000,0)</f>
        <v>28274</v>
      </c>
      <c r="N14" s="2117"/>
      <c r="O14" s="2131"/>
      <c r="P14" s="2063">
        <v>10710</v>
      </c>
      <c r="Q14" s="2064">
        <v>8</v>
      </c>
      <c r="R14" s="2064">
        <v>1.5</v>
      </c>
      <c r="S14" s="2641">
        <v>5</v>
      </c>
      <c r="T14" s="2064">
        <v>44</v>
      </c>
    </row>
    <row r="15" spans="1:29" s="2091" customFormat="1" ht="18" customHeight="1">
      <c r="A15" s="2105"/>
      <c r="B15" s="2106"/>
      <c r="C15" s="2106"/>
      <c r="D15" s="2118"/>
      <c r="E15" s="2119"/>
      <c r="F15" s="2119"/>
      <c r="G15" s="2126"/>
      <c r="H15" s="2127"/>
      <c r="I15" s="2127"/>
      <c r="J15" s="2127"/>
      <c r="K15" s="1316" t="s">
        <v>2287</v>
      </c>
      <c r="L15" s="2707" t="s">
        <v>6</v>
      </c>
      <c r="M15" s="2708">
        <f>ROUND(P15*Q15*R15*S15*T15/1000,0)</f>
        <v>589</v>
      </c>
      <c r="N15" s="2117"/>
      <c r="O15" s="2131"/>
      <c r="P15" s="2063">
        <v>10710</v>
      </c>
      <c r="Q15" s="2064">
        <v>0.5</v>
      </c>
      <c r="R15" s="2064">
        <v>0.5</v>
      </c>
      <c r="S15" s="2641">
        <v>5</v>
      </c>
      <c r="T15" s="2064">
        <v>44</v>
      </c>
    </row>
    <row r="16" spans="1:29" s="2091" customFormat="1" ht="18" customHeight="1">
      <c r="A16" s="2105"/>
      <c r="B16" s="2106"/>
      <c r="C16" s="2106"/>
      <c r="D16" s="2118"/>
      <c r="E16" s="2119"/>
      <c r="F16" s="2119"/>
      <c r="G16" s="2126"/>
      <c r="H16" s="2127"/>
      <c r="I16" s="2127"/>
      <c r="J16" s="2127"/>
      <c r="K16" s="2709" t="s">
        <v>2288</v>
      </c>
      <c r="L16" s="2707" t="s">
        <v>6</v>
      </c>
      <c r="M16" s="2708">
        <f>ROUND(P16*Q16*R16*S16/1000,0)</f>
        <v>4284</v>
      </c>
      <c r="N16" s="2117"/>
      <c r="O16" s="2131"/>
      <c r="P16" s="2063">
        <v>10710</v>
      </c>
      <c r="Q16" s="2064">
        <v>8</v>
      </c>
      <c r="R16" s="2641">
        <v>5</v>
      </c>
      <c r="S16" s="2064">
        <v>10</v>
      </c>
      <c r="T16" s="2064"/>
    </row>
    <row r="17" spans="1:24" s="2091" customFormat="1" ht="18" customHeight="1">
      <c r="A17" s="2105"/>
      <c r="B17" s="2106"/>
      <c r="C17" s="2106"/>
      <c r="D17" s="2118"/>
      <c r="E17" s="2119"/>
      <c r="F17" s="2119"/>
      <c r="G17" s="2126"/>
      <c r="H17" s="2127"/>
      <c r="I17" s="2127"/>
      <c r="J17" s="2127"/>
      <c r="K17" s="1316" t="s">
        <v>2289</v>
      </c>
      <c r="L17" s="2707" t="s">
        <v>6</v>
      </c>
      <c r="M17" s="2708">
        <f>ROUND(P17*Q17*R17*S17/1000,0)</f>
        <v>18850</v>
      </c>
      <c r="N17" s="2117"/>
      <c r="O17" s="2131"/>
      <c r="P17" s="2063">
        <v>10710</v>
      </c>
      <c r="Q17" s="2064">
        <v>8</v>
      </c>
      <c r="R17" s="2064">
        <v>5</v>
      </c>
      <c r="S17" s="2064">
        <v>44</v>
      </c>
      <c r="T17" s="2064"/>
    </row>
    <row r="18" spans="1:24" s="2091" customFormat="1" ht="18" customHeight="1">
      <c r="A18" s="2105"/>
      <c r="B18" s="2106"/>
      <c r="C18" s="2106"/>
      <c r="D18" s="2118"/>
      <c r="E18" s="2119"/>
      <c r="F18" s="2119"/>
      <c r="G18" s="2126"/>
      <c r="H18" s="2127"/>
      <c r="I18" s="2127"/>
      <c r="J18" s="2127"/>
      <c r="K18" s="1316" t="s">
        <v>1814</v>
      </c>
      <c r="L18" s="2707" t="s">
        <v>6</v>
      </c>
      <c r="M18" s="2708">
        <f>ROUND(P18*Q18*R18/1000,0)</f>
        <v>500</v>
      </c>
      <c r="N18" s="2117"/>
      <c r="O18" s="2131"/>
      <c r="P18" s="2063">
        <v>50000</v>
      </c>
      <c r="Q18" s="2064">
        <v>1</v>
      </c>
      <c r="R18" s="2064">
        <v>10</v>
      </c>
      <c r="S18" s="2064"/>
      <c r="T18" s="2064"/>
    </row>
    <row r="19" spans="1:24" s="2091" customFormat="1" ht="18" customHeight="1">
      <c r="A19" s="2105"/>
      <c r="B19" s="2106"/>
      <c r="C19" s="2106"/>
      <c r="D19" s="2118"/>
      <c r="E19" s="2119"/>
      <c r="F19" s="2119"/>
      <c r="G19" s="2126"/>
      <c r="H19" s="2127"/>
      <c r="I19" s="2127"/>
      <c r="J19" s="2127"/>
      <c r="K19" s="2062" t="s">
        <v>1815</v>
      </c>
      <c r="L19" s="2130" t="s">
        <v>6</v>
      </c>
      <c r="M19" s="2061">
        <f>ROUND(P19*Q19*R19/1000,0)</f>
        <v>1000</v>
      </c>
      <c r="N19" s="2117" t="s">
        <v>1817</v>
      </c>
      <c r="O19" s="2131"/>
      <c r="P19" s="2063">
        <v>50000</v>
      </c>
      <c r="Q19" s="2064">
        <v>2</v>
      </c>
      <c r="R19" s="2064">
        <v>10</v>
      </c>
      <c r="S19" s="2064"/>
      <c r="T19" s="2064"/>
    </row>
    <row r="20" spans="1:24" s="2" customFormat="1" ht="18" customHeight="1">
      <c r="A20" s="64"/>
      <c r="B20" s="22"/>
      <c r="C20" s="832"/>
      <c r="D20" s="832"/>
      <c r="E20" s="1027" t="s">
        <v>1861</v>
      </c>
      <c r="F20" s="1027"/>
      <c r="G20" s="1028"/>
      <c r="H20" s="51">
        <f>H21+H90+H94</f>
        <v>802287</v>
      </c>
      <c r="I20" s="51">
        <f>I21+I90+I94</f>
        <v>786523</v>
      </c>
      <c r="J20" s="51">
        <f>H20-I20</f>
        <v>15764</v>
      </c>
      <c r="K20" s="2102"/>
      <c r="L20" s="2103"/>
      <c r="M20" s="2104">
        <f>M21+M142+M147+M150+M205</f>
        <v>584182</v>
      </c>
      <c r="N20" s="2096"/>
      <c r="O20" s="3"/>
      <c r="P20" s="68"/>
      <c r="Q20" s="1023"/>
      <c r="R20" s="1023"/>
      <c r="S20" s="1023"/>
      <c r="T20" s="76"/>
      <c r="U20" s="1025"/>
    </row>
    <row r="21" spans="1:24" s="2091" customFormat="1" ht="18" customHeight="1">
      <c r="A21" s="2105"/>
      <c r="B21" s="2106"/>
      <c r="C21" s="2106"/>
      <c r="D21" s="2106"/>
      <c r="E21" s="2132"/>
      <c r="F21" s="2110" t="s">
        <v>49</v>
      </c>
      <c r="G21" s="2133"/>
      <c r="H21" s="2134">
        <f>H22+H39+H63+H69+H79</f>
        <v>767007</v>
      </c>
      <c r="I21" s="2134">
        <v>751243</v>
      </c>
      <c r="J21" s="2121">
        <f>H21-I21</f>
        <v>15764</v>
      </c>
      <c r="K21" s="2135"/>
      <c r="L21" s="2123"/>
      <c r="M21" s="2136"/>
      <c r="N21" s="2681"/>
      <c r="O21" s="2682"/>
      <c r="P21" s="2137"/>
      <c r="Q21" s="2137"/>
      <c r="R21" s="2137"/>
      <c r="S21" s="2137"/>
      <c r="T21" s="2137"/>
      <c r="U21" s="2137"/>
      <c r="V21" s="2137"/>
      <c r="W21" s="2137"/>
      <c r="X21" s="2137"/>
    </row>
    <row r="22" spans="1:24" s="2091" customFormat="1" ht="18" customHeight="1">
      <c r="A22" s="2105"/>
      <c r="B22" s="2106"/>
      <c r="C22" s="2106"/>
      <c r="D22" s="2106"/>
      <c r="E22" s="2106"/>
      <c r="F22" s="2106"/>
      <c r="G22" s="2106" t="s">
        <v>32</v>
      </c>
      <c r="H22" s="2121">
        <f>M22</f>
        <v>21658</v>
      </c>
      <c r="I22" s="2121">
        <v>23800</v>
      </c>
      <c r="J22" s="2121">
        <f>H22-I22</f>
        <v>-2142</v>
      </c>
      <c r="K22" s="2138" t="s">
        <v>1818</v>
      </c>
      <c r="L22" s="2139"/>
      <c r="M22" s="2140">
        <f>SUM(M23:M30)+M35+M36+M37+M38</f>
        <v>21658</v>
      </c>
      <c r="N22" s="2125"/>
      <c r="O22" s="2137"/>
      <c r="P22" s="2137"/>
      <c r="Q22" s="2137"/>
      <c r="R22" s="2137"/>
      <c r="S22" s="2137"/>
      <c r="T22" s="2137"/>
      <c r="U22" s="2137"/>
      <c r="V22" s="2137"/>
      <c r="W22" s="2137"/>
      <c r="X22" s="2137"/>
    </row>
    <row r="23" spans="1:24" s="2091" customFormat="1" ht="18" customHeight="1">
      <c r="A23" s="2105"/>
      <c r="B23" s="2106"/>
      <c r="C23" s="2106"/>
      <c r="D23" s="2118"/>
      <c r="E23" s="2118"/>
      <c r="F23" s="2118"/>
      <c r="G23" s="2118"/>
      <c r="H23" s="2141"/>
      <c r="I23" s="2141"/>
      <c r="J23" s="2127"/>
      <c r="K23" s="2142" t="s">
        <v>1819</v>
      </c>
      <c r="L23" s="2130" t="s">
        <v>6</v>
      </c>
      <c r="M23" s="2143">
        <f>ROUNDUP(P23*Q23/1000,0)</f>
        <v>546</v>
      </c>
      <c r="N23" s="2065" t="s">
        <v>1820</v>
      </c>
      <c r="O23" s="2137"/>
      <c r="P23" s="2066">
        <v>26000</v>
      </c>
      <c r="Q23" s="2066">
        <v>21</v>
      </c>
      <c r="R23" s="2066"/>
      <c r="S23" s="2137"/>
      <c r="T23" s="2137"/>
      <c r="U23" s="2137"/>
      <c r="V23" s="2137"/>
      <c r="W23" s="2137"/>
      <c r="X23" s="2137"/>
    </row>
    <row r="24" spans="1:24" s="2091" customFormat="1" ht="18" customHeight="1">
      <c r="A24" s="2105"/>
      <c r="B24" s="2106"/>
      <c r="C24" s="2106"/>
      <c r="D24" s="2118"/>
      <c r="E24" s="2118"/>
      <c r="F24" s="2118"/>
      <c r="G24" s="2118"/>
      <c r="H24" s="2141"/>
      <c r="I24" s="2141"/>
      <c r="J24" s="2127"/>
      <c r="K24" s="2142" t="s">
        <v>1821</v>
      </c>
      <c r="L24" s="2067" t="s">
        <v>6</v>
      </c>
      <c r="M24" s="2143">
        <f>ROUNDUP(P24*Q24/1000,0)</f>
        <v>800</v>
      </c>
      <c r="N24" s="2068" t="s">
        <v>1822</v>
      </c>
      <c r="O24" s="2137"/>
      <c r="P24" s="2647">
        <v>2000</v>
      </c>
      <c r="Q24" s="2647">
        <v>400</v>
      </c>
      <c r="R24" s="2647"/>
      <c r="S24" s="2137"/>
      <c r="T24" s="2137"/>
      <c r="U24" s="2137"/>
      <c r="V24" s="2137"/>
      <c r="W24" s="2137"/>
      <c r="X24" s="2137"/>
    </row>
    <row r="25" spans="1:24" s="2091" customFormat="1" ht="18" customHeight="1">
      <c r="A25" s="2105"/>
      <c r="B25" s="2106"/>
      <c r="C25" s="2106"/>
      <c r="D25" s="2118"/>
      <c r="E25" s="2118"/>
      <c r="F25" s="2118"/>
      <c r="G25" s="2118"/>
      <c r="H25" s="2141"/>
      <c r="I25" s="2141"/>
      <c r="J25" s="2127"/>
      <c r="K25" s="2142" t="s">
        <v>1823</v>
      </c>
      <c r="L25" s="2067" t="s">
        <v>6</v>
      </c>
      <c r="M25" s="2143">
        <f>ROUNDUP(P25*Q25*R25/1000,0)</f>
        <v>540</v>
      </c>
      <c r="N25" s="2068" t="s">
        <v>1824</v>
      </c>
      <c r="O25" s="2137"/>
      <c r="P25" s="2683">
        <v>45000</v>
      </c>
      <c r="Q25" s="2647">
        <v>12</v>
      </c>
      <c r="R25" s="2647">
        <v>1</v>
      </c>
      <c r="S25" s="2137"/>
      <c r="T25" s="2137"/>
      <c r="U25" s="2137"/>
      <c r="V25" s="2137"/>
      <c r="W25" s="2137"/>
      <c r="X25" s="2137"/>
    </row>
    <row r="26" spans="1:24" s="2091" customFormat="1" ht="18" customHeight="1">
      <c r="A26" s="2105"/>
      <c r="B26" s="2106"/>
      <c r="C26" s="2106"/>
      <c r="D26" s="2118"/>
      <c r="E26" s="2118"/>
      <c r="F26" s="2118"/>
      <c r="G26" s="2118"/>
      <c r="H26" s="2141"/>
      <c r="I26" s="2141"/>
      <c r="J26" s="2127"/>
      <c r="K26" s="2142" t="s">
        <v>1825</v>
      </c>
      <c r="L26" s="2067" t="s">
        <v>6</v>
      </c>
      <c r="M26" s="2143">
        <f>ROUNDUP(P26*Q26*R26/1000,0)</f>
        <v>540</v>
      </c>
      <c r="N26" s="2068" t="s">
        <v>1826</v>
      </c>
      <c r="O26" s="2137"/>
      <c r="P26" s="2647">
        <v>45000</v>
      </c>
      <c r="Q26" s="2647">
        <v>12</v>
      </c>
      <c r="R26" s="2647">
        <v>1</v>
      </c>
      <c r="S26" s="2137"/>
      <c r="T26" s="2137"/>
      <c r="U26" s="2137"/>
      <c r="V26" s="2137"/>
      <c r="W26" s="2137"/>
      <c r="X26" s="2137"/>
    </row>
    <row r="27" spans="1:24" s="2091" customFormat="1" ht="18" customHeight="1">
      <c r="A27" s="2105"/>
      <c r="B27" s="2106"/>
      <c r="C27" s="2106"/>
      <c r="D27" s="2118"/>
      <c r="E27" s="2118"/>
      <c r="F27" s="2118"/>
      <c r="G27" s="2118"/>
      <c r="H27" s="2141"/>
      <c r="I27" s="2141"/>
      <c r="J27" s="2127"/>
      <c r="K27" s="2142" t="s">
        <v>1827</v>
      </c>
      <c r="L27" s="2067" t="s">
        <v>6</v>
      </c>
      <c r="M27" s="2143">
        <f>ROUNDUP(P27*Q27/1000,0)</f>
        <v>3600</v>
      </c>
      <c r="N27" s="2068" t="s">
        <v>1828</v>
      </c>
      <c r="O27" s="2137"/>
      <c r="P27" s="2647">
        <v>300000</v>
      </c>
      <c r="Q27" s="2647">
        <v>12</v>
      </c>
      <c r="R27" s="2647"/>
      <c r="S27" s="2137"/>
      <c r="T27" s="2137"/>
      <c r="U27" s="2137"/>
      <c r="V27" s="2137"/>
      <c r="W27" s="2137"/>
      <c r="X27" s="2137"/>
    </row>
    <row r="28" spans="1:24" s="2091" customFormat="1" ht="18" customHeight="1">
      <c r="A28" s="2105"/>
      <c r="B28" s="2106"/>
      <c r="C28" s="2106"/>
      <c r="D28" s="2118"/>
      <c r="E28" s="2118"/>
      <c r="F28" s="2118"/>
      <c r="G28" s="2118"/>
      <c r="H28" s="2141"/>
      <c r="I28" s="2141"/>
      <c r="J28" s="2127"/>
      <c r="K28" s="2142" t="s">
        <v>1829</v>
      </c>
      <c r="L28" s="2067" t="s">
        <v>6</v>
      </c>
      <c r="M28" s="2143">
        <f>ROUNDUP(P28*Q28/1000,0)</f>
        <v>500</v>
      </c>
      <c r="N28" s="2068" t="s">
        <v>1830</v>
      </c>
      <c r="O28" s="2137"/>
      <c r="P28" s="2647">
        <v>250000</v>
      </c>
      <c r="Q28" s="2647">
        <v>2</v>
      </c>
      <c r="R28" s="2647"/>
      <c r="S28" s="2137"/>
      <c r="T28" s="2137"/>
      <c r="U28" s="2137"/>
      <c r="V28" s="2137"/>
      <c r="W28" s="2137"/>
      <c r="X28" s="2137"/>
    </row>
    <row r="29" spans="1:24" s="2150" customFormat="1" ht="18" customHeight="1">
      <c r="A29" s="2144"/>
      <c r="B29" s="2145"/>
      <c r="C29" s="2145"/>
      <c r="D29" s="2146"/>
      <c r="E29" s="2146"/>
      <c r="F29" s="2146"/>
      <c r="G29" s="2146"/>
      <c r="H29" s="2147"/>
      <c r="I29" s="2147"/>
      <c r="J29" s="2113"/>
      <c r="K29" s="2148" t="s">
        <v>1831</v>
      </c>
      <c r="L29" s="2069" t="s">
        <v>6</v>
      </c>
      <c r="M29" s="2149">
        <f>ROUNDUP(P29*Q29*R29/1000,0)</f>
        <v>1440</v>
      </c>
      <c r="N29" s="2070" t="s">
        <v>362</v>
      </c>
      <c r="P29" s="2684">
        <v>100</v>
      </c>
      <c r="Q29" s="2684">
        <v>1200</v>
      </c>
      <c r="R29" s="2684">
        <v>12</v>
      </c>
    </row>
    <row r="30" spans="1:24" s="2137" customFormat="1" ht="18" customHeight="1">
      <c r="A30" s="2105"/>
      <c r="B30" s="2106"/>
      <c r="C30" s="2106"/>
      <c r="D30" s="2118"/>
      <c r="E30" s="2118"/>
      <c r="F30" s="2118"/>
      <c r="G30" s="2118"/>
      <c r="H30" s="2141"/>
      <c r="I30" s="2141"/>
      <c r="J30" s="2141"/>
      <c r="K30" s="2142" t="s">
        <v>1832</v>
      </c>
      <c r="L30" s="2067" t="s">
        <v>6</v>
      </c>
      <c r="M30" s="2151">
        <f>SUM(M31:M34)</f>
        <v>3000</v>
      </c>
      <c r="N30" s="2068" t="s">
        <v>1833</v>
      </c>
      <c r="P30" s="2647"/>
      <c r="Q30" s="2647"/>
      <c r="R30" s="2647"/>
    </row>
    <row r="31" spans="1:24" s="2137" customFormat="1" ht="18" customHeight="1">
      <c r="A31" s="2105"/>
      <c r="B31" s="2106"/>
      <c r="C31" s="2106"/>
      <c r="D31" s="2118"/>
      <c r="E31" s="2118"/>
      <c r="F31" s="2118"/>
      <c r="G31" s="2118"/>
      <c r="H31" s="2141"/>
      <c r="I31" s="2141"/>
      <c r="J31" s="2141"/>
      <c r="K31" s="2142" t="s">
        <v>1834</v>
      </c>
      <c r="L31" s="2067"/>
      <c r="M31" s="2151">
        <f>ROUNDUP(P31*Q31*R31/1000,0)</f>
        <v>1000</v>
      </c>
      <c r="N31" s="2068"/>
      <c r="P31" s="2647">
        <v>250000</v>
      </c>
      <c r="Q31" s="2647">
        <v>2</v>
      </c>
      <c r="R31" s="2647">
        <v>2</v>
      </c>
    </row>
    <row r="32" spans="1:24" s="2137" customFormat="1" ht="18" customHeight="1">
      <c r="A32" s="2105"/>
      <c r="B32" s="2106"/>
      <c r="C32" s="2106"/>
      <c r="D32" s="2118"/>
      <c r="E32" s="2118"/>
      <c r="F32" s="2118"/>
      <c r="G32" s="2118"/>
      <c r="H32" s="2141"/>
      <c r="I32" s="2141"/>
      <c r="J32" s="2141"/>
      <c r="K32" s="2142" t="s">
        <v>1835</v>
      </c>
      <c r="L32" s="2067"/>
      <c r="M32" s="2151">
        <f t="shared" ref="M32:M34" si="1">ROUNDUP(P32*Q32*R32/1000,0)</f>
        <v>1200</v>
      </c>
      <c r="N32" s="2068"/>
      <c r="P32" s="2647">
        <v>200000</v>
      </c>
      <c r="Q32" s="2647">
        <v>2</v>
      </c>
      <c r="R32" s="2647">
        <v>3</v>
      </c>
    </row>
    <row r="33" spans="1:24" s="2137" customFormat="1" ht="18" customHeight="1">
      <c r="A33" s="2105"/>
      <c r="B33" s="2106"/>
      <c r="C33" s="2106"/>
      <c r="D33" s="2118"/>
      <c r="E33" s="2118"/>
      <c r="F33" s="2118"/>
      <c r="G33" s="2118"/>
      <c r="H33" s="2141"/>
      <c r="I33" s="2141"/>
      <c r="J33" s="2141"/>
      <c r="K33" s="2142" t="s">
        <v>1836</v>
      </c>
      <c r="L33" s="2067"/>
      <c r="M33" s="2151">
        <f t="shared" si="1"/>
        <v>600</v>
      </c>
      <c r="N33" s="2068"/>
      <c r="P33" s="2647">
        <v>300000</v>
      </c>
      <c r="Q33" s="2647">
        <v>2</v>
      </c>
      <c r="R33" s="2647">
        <v>1</v>
      </c>
    </row>
    <row r="34" spans="1:24" s="2137" customFormat="1" ht="18" customHeight="1">
      <c r="A34" s="2105"/>
      <c r="B34" s="2106"/>
      <c r="C34" s="2106"/>
      <c r="D34" s="2118"/>
      <c r="E34" s="2118"/>
      <c r="F34" s="2118"/>
      <c r="G34" s="2118"/>
      <c r="H34" s="2141"/>
      <c r="I34" s="2141"/>
      <c r="J34" s="2141"/>
      <c r="K34" s="2142" t="s">
        <v>1837</v>
      </c>
      <c r="L34" s="2067"/>
      <c r="M34" s="2151">
        <f t="shared" si="1"/>
        <v>200</v>
      </c>
      <c r="N34" s="2068"/>
      <c r="P34" s="2647">
        <v>100000</v>
      </c>
      <c r="Q34" s="2647">
        <v>2</v>
      </c>
      <c r="R34" s="2647">
        <v>1</v>
      </c>
    </row>
    <row r="35" spans="1:24" s="2137" customFormat="1" ht="18" customHeight="1">
      <c r="A35" s="2105"/>
      <c r="B35" s="2106"/>
      <c r="C35" s="2106"/>
      <c r="D35" s="2118"/>
      <c r="E35" s="2118"/>
      <c r="F35" s="2118"/>
      <c r="G35" s="2118"/>
      <c r="H35" s="2141"/>
      <c r="I35" s="2141"/>
      <c r="J35" s="2141"/>
      <c r="K35" s="2142" t="s">
        <v>1838</v>
      </c>
      <c r="L35" s="2067" t="s">
        <v>6</v>
      </c>
      <c r="M35" s="2143">
        <f>ROUNDUP(P35*Q35*R35/1000,0)</f>
        <v>792</v>
      </c>
      <c r="N35" s="2068" t="s">
        <v>1839</v>
      </c>
      <c r="P35" s="2683">
        <v>66000</v>
      </c>
      <c r="Q35" s="2647">
        <v>1</v>
      </c>
      <c r="R35" s="2647">
        <v>12</v>
      </c>
    </row>
    <row r="36" spans="1:24" s="2137" customFormat="1" ht="18" customHeight="1">
      <c r="A36" s="2105"/>
      <c r="B36" s="2106"/>
      <c r="C36" s="2106"/>
      <c r="D36" s="2106"/>
      <c r="E36" s="2106"/>
      <c r="F36" s="2106"/>
      <c r="G36" s="2106"/>
      <c r="H36" s="2127"/>
      <c r="I36" s="2127"/>
      <c r="J36" s="2141"/>
      <c r="K36" s="2142" t="s">
        <v>2384</v>
      </c>
      <c r="L36" s="2067" t="s">
        <v>6</v>
      </c>
      <c r="M36" s="2143">
        <f>ROUNDUP(P36*Q36/1000,0)</f>
        <v>9000</v>
      </c>
      <c r="N36" s="2068" t="s">
        <v>1840</v>
      </c>
      <c r="P36" s="2683">
        <v>750000</v>
      </c>
      <c r="Q36" s="2647">
        <v>12</v>
      </c>
      <c r="R36" s="2647"/>
    </row>
    <row r="37" spans="1:24" s="2137" customFormat="1" ht="18" customHeight="1">
      <c r="A37" s="2105"/>
      <c r="B37" s="2106"/>
      <c r="C37" s="2106"/>
      <c r="D37" s="2118"/>
      <c r="E37" s="2118"/>
      <c r="F37" s="2118"/>
      <c r="G37" s="2118"/>
      <c r="H37" s="2141"/>
      <c r="I37" s="2141"/>
      <c r="J37" s="2141"/>
      <c r="K37" s="2142" t="s">
        <v>1841</v>
      </c>
      <c r="L37" s="2067" t="s">
        <v>6</v>
      </c>
      <c r="M37" s="2143">
        <f>ROUNDUP(P37*Q37/1000,0)</f>
        <v>900</v>
      </c>
      <c r="N37" s="2068" t="s">
        <v>1842</v>
      </c>
      <c r="P37" s="2683">
        <v>75000</v>
      </c>
      <c r="Q37" s="2647">
        <v>12</v>
      </c>
      <c r="R37" s="2647"/>
    </row>
    <row r="38" spans="1:24" s="2137" customFormat="1" ht="18" hidden="1" customHeight="1">
      <c r="A38" s="2105"/>
      <c r="B38" s="2106"/>
      <c r="C38" s="2106"/>
      <c r="D38" s="2118"/>
      <c r="E38" s="2118"/>
      <c r="F38" s="2118"/>
      <c r="G38" s="2118"/>
      <c r="H38" s="2141"/>
      <c r="I38" s="2141"/>
      <c r="J38" s="2141"/>
      <c r="K38" s="2314" t="s">
        <v>1843</v>
      </c>
      <c r="L38" s="1042" t="s">
        <v>6</v>
      </c>
      <c r="M38" s="2665">
        <f>ROUNDUP(P38*Q38/1000,0)</f>
        <v>0</v>
      </c>
      <c r="N38" s="2068" t="s">
        <v>1844</v>
      </c>
      <c r="P38" s="2683">
        <v>0</v>
      </c>
      <c r="Q38" s="2647">
        <v>1</v>
      </c>
      <c r="R38" s="2647"/>
    </row>
    <row r="39" spans="1:24" s="2137" customFormat="1" ht="18" customHeight="1">
      <c r="A39" s="2105"/>
      <c r="B39" s="2106"/>
      <c r="C39" s="2106"/>
      <c r="D39" s="2106"/>
      <c r="E39" s="2106"/>
      <c r="F39" s="2106"/>
      <c r="G39" s="2152" t="s">
        <v>31</v>
      </c>
      <c r="H39" s="2121">
        <f>M39</f>
        <v>123460</v>
      </c>
      <c r="I39" s="2121">
        <v>122198</v>
      </c>
      <c r="J39" s="2121">
        <f>H39-I39</f>
        <v>1262</v>
      </c>
      <c r="K39" s="2138" t="s">
        <v>31</v>
      </c>
      <c r="L39" s="2139"/>
      <c r="M39" s="2140">
        <f>SUM(M40:M62)</f>
        <v>123460</v>
      </c>
      <c r="N39" s="2153"/>
      <c r="P39" s="2685"/>
      <c r="Q39" s="2686"/>
      <c r="R39" s="2686"/>
    </row>
    <row r="40" spans="1:24" s="2137" customFormat="1" ht="18" customHeight="1">
      <c r="A40" s="2105"/>
      <c r="B40" s="2106"/>
      <c r="C40" s="2106"/>
      <c r="D40" s="2118"/>
      <c r="E40" s="2118"/>
      <c r="F40" s="2118"/>
      <c r="G40" s="2118"/>
      <c r="H40" s="2127"/>
      <c r="I40" s="2127"/>
      <c r="J40" s="2127"/>
      <c r="K40" s="2142" t="s">
        <v>1862</v>
      </c>
      <c r="L40" s="2067" t="s">
        <v>6</v>
      </c>
      <c r="M40" s="2143">
        <v>4000</v>
      </c>
      <c r="N40" s="1049" t="s">
        <v>1863</v>
      </c>
      <c r="P40" s="2644">
        <v>2000000</v>
      </c>
      <c r="Q40" s="2645">
        <v>2</v>
      </c>
      <c r="R40" s="2645"/>
    </row>
    <row r="41" spans="1:24" s="2137" customFormat="1" ht="18" customHeight="1">
      <c r="A41" s="2105"/>
      <c r="B41" s="2106"/>
      <c r="C41" s="2106"/>
      <c r="D41" s="2118"/>
      <c r="E41" s="2118"/>
      <c r="F41" s="2118"/>
      <c r="G41" s="2118"/>
      <c r="H41" s="2127"/>
      <c r="I41" s="2127"/>
      <c r="J41" s="2127"/>
      <c r="K41" s="2142" t="s">
        <v>1864</v>
      </c>
      <c r="L41" s="2156" t="s">
        <v>6</v>
      </c>
      <c r="M41" s="2143">
        <f t="shared" ref="M41:M62" si="2">ROUNDUP(P41*Q41/1000,0)</f>
        <v>1920</v>
      </c>
      <c r="N41" s="1049" t="s">
        <v>363</v>
      </c>
      <c r="P41" s="2644">
        <v>160000</v>
      </c>
      <c r="Q41" s="2645">
        <v>12</v>
      </c>
      <c r="R41" s="2645"/>
    </row>
    <row r="42" spans="1:24" s="2137" customFormat="1" ht="18" customHeight="1">
      <c r="A42" s="2105"/>
      <c r="B42" s="2106"/>
      <c r="C42" s="2106"/>
      <c r="D42" s="2118"/>
      <c r="E42" s="2118"/>
      <c r="F42" s="2118"/>
      <c r="G42" s="2118"/>
      <c r="H42" s="2127"/>
      <c r="I42" s="2127"/>
      <c r="J42" s="2127"/>
      <c r="K42" s="2142" t="s">
        <v>1865</v>
      </c>
      <c r="L42" s="2067" t="s">
        <v>6</v>
      </c>
      <c r="M42" s="2143">
        <f t="shared" si="2"/>
        <v>4400</v>
      </c>
      <c r="N42" s="2157" t="s">
        <v>1866</v>
      </c>
      <c r="P42" s="2644">
        <v>880000</v>
      </c>
      <c r="Q42" s="2645">
        <v>5</v>
      </c>
      <c r="R42" s="2645"/>
    </row>
    <row r="43" spans="1:24" s="2137" customFormat="1" ht="18" customHeight="1">
      <c r="A43" s="2105"/>
      <c r="B43" s="2106"/>
      <c r="C43" s="2106"/>
      <c r="D43" s="2118"/>
      <c r="E43" s="2118"/>
      <c r="F43" s="2118"/>
      <c r="G43" s="2118"/>
      <c r="H43" s="2127"/>
      <c r="I43" s="2127"/>
      <c r="J43" s="2127"/>
      <c r="K43" s="2142" t="s">
        <v>1867</v>
      </c>
      <c r="L43" s="2067" t="s">
        <v>6</v>
      </c>
      <c r="M43" s="2143">
        <f t="shared" si="2"/>
        <v>500</v>
      </c>
      <c r="N43" s="1049" t="s">
        <v>364</v>
      </c>
      <c r="P43" s="2644">
        <v>500000</v>
      </c>
      <c r="Q43" s="2645">
        <v>1</v>
      </c>
      <c r="R43" s="2645"/>
    </row>
    <row r="44" spans="1:24" s="2137" customFormat="1" ht="18" customHeight="1">
      <c r="A44" s="2105"/>
      <c r="B44" s="2106"/>
      <c r="C44" s="2106"/>
      <c r="D44" s="2118"/>
      <c r="E44" s="2118"/>
      <c r="F44" s="2118"/>
      <c r="G44" s="2118"/>
      <c r="H44" s="2127"/>
      <c r="I44" s="2127"/>
      <c r="J44" s="2127"/>
      <c r="K44" s="2142" t="s">
        <v>1868</v>
      </c>
      <c r="L44" s="2067" t="s">
        <v>6</v>
      </c>
      <c r="M44" s="2143">
        <f t="shared" si="2"/>
        <v>200</v>
      </c>
      <c r="N44" s="1049" t="s">
        <v>365</v>
      </c>
      <c r="P44" s="2644">
        <v>50000</v>
      </c>
      <c r="Q44" s="2645">
        <v>4</v>
      </c>
      <c r="R44" s="2645"/>
    </row>
    <row r="45" spans="1:24" s="2137" customFormat="1" ht="18" customHeight="1">
      <c r="A45" s="2105"/>
      <c r="B45" s="2106"/>
      <c r="C45" s="2106"/>
      <c r="D45" s="2118"/>
      <c r="E45" s="2118"/>
      <c r="F45" s="2118"/>
      <c r="G45" s="2118"/>
      <c r="H45" s="2127"/>
      <c r="I45" s="2127"/>
      <c r="J45" s="2127"/>
      <c r="K45" s="2142" t="s">
        <v>1869</v>
      </c>
      <c r="L45" s="2067" t="s">
        <v>6</v>
      </c>
      <c r="M45" s="2143">
        <f t="shared" si="2"/>
        <v>4560</v>
      </c>
      <c r="N45" s="2065" t="s">
        <v>366</v>
      </c>
      <c r="P45" s="2644">
        <v>380000</v>
      </c>
      <c r="Q45" s="2645">
        <v>12</v>
      </c>
      <c r="R45" s="2645"/>
    </row>
    <row r="46" spans="1:24" s="2158" customFormat="1" ht="18" customHeight="1">
      <c r="A46" s="2105"/>
      <c r="B46" s="2106"/>
      <c r="C46" s="2106"/>
      <c r="D46" s="2118"/>
      <c r="E46" s="2119"/>
      <c r="F46" s="2119"/>
      <c r="G46" s="2119"/>
      <c r="H46" s="2127"/>
      <c r="I46" s="2127"/>
      <c r="J46" s="2127"/>
      <c r="K46" s="2142" t="s">
        <v>1870</v>
      </c>
      <c r="L46" s="2067" t="s">
        <v>6</v>
      </c>
      <c r="M46" s="2143">
        <f t="shared" si="2"/>
        <v>1200</v>
      </c>
      <c r="N46" s="2157" t="s">
        <v>367</v>
      </c>
      <c r="P46" s="2687">
        <v>1200000</v>
      </c>
      <c r="Q46" s="1976">
        <v>1</v>
      </c>
      <c r="R46" s="1976"/>
    </row>
    <row r="47" spans="1:24" s="2158" customFormat="1" ht="18" customHeight="1">
      <c r="A47" s="2105"/>
      <c r="B47" s="2106"/>
      <c r="C47" s="2106"/>
      <c r="D47" s="2118"/>
      <c r="E47" s="2119"/>
      <c r="F47" s="2119"/>
      <c r="G47" s="2119"/>
      <c r="H47" s="2127"/>
      <c r="I47" s="2127"/>
      <c r="J47" s="2127"/>
      <c r="K47" s="2142" t="s">
        <v>1871</v>
      </c>
      <c r="L47" s="2067" t="s">
        <v>6</v>
      </c>
      <c r="M47" s="2143">
        <f t="shared" si="2"/>
        <v>22800</v>
      </c>
      <c r="N47" s="2065" t="s">
        <v>368</v>
      </c>
      <c r="P47" s="2687">
        <v>1900000</v>
      </c>
      <c r="Q47" s="1976">
        <v>12</v>
      </c>
      <c r="R47" s="1976"/>
    </row>
    <row r="48" spans="1:24" s="2137" customFormat="1" ht="18" customHeight="1">
      <c r="A48" s="2159"/>
      <c r="B48" s="2160"/>
      <c r="C48" s="2160"/>
      <c r="D48" s="2161"/>
      <c r="E48" s="2162"/>
      <c r="F48" s="2162"/>
      <c r="G48" s="2162"/>
      <c r="H48" s="2127"/>
      <c r="I48" s="2127"/>
      <c r="J48" s="2127"/>
      <c r="K48" s="2314" t="s">
        <v>1872</v>
      </c>
      <c r="L48" s="1046" t="s">
        <v>6</v>
      </c>
      <c r="M48" s="2665">
        <f t="shared" si="2"/>
        <v>25000</v>
      </c>
      <c r="N48" s="2065" t="s">
        <v>1873</v>
      </c>
      <c r="O48" s="2163"/>
      <c r="P48" s="2644">
        <v>25000000</v>
      </c>
      <c r="Q48" s="2645">
        <v>1</v>
      </c>
      <c r="R48" s="2645"/>
      <c r="S48" s="2163"/>
      <c r="T48" s="2163"/>
      <c r="U48" s="2163"/>
      <c r="V48" s="2163"/>
      <c r="W48" s="2163"/>
      <c r="X48" s="2163"/>
    </row>
    <row r="49" spans="1:41" s="2137" customFormat="1" ht="18" customHeight="1">
      <c r="A49" s="2105"/>
      <c r="B49" s="2106"/>
      <c r="C49" s="2106"/>
      <c r="D49" s="2118"/>
      <c r="E49" s="2119"/>
      <c r="F49" s="2119"/>
      <c r="G49" s="2119"/>
      <c r="H49" s="2127"/>
      <c r="I49" s="2127"/>
      <c r="J49" s="2127"/>
      <c r="K49" s="2314" t="s">
        <v>1874</v>
      </c>
      <c r="L49" s="1046" t="s">
        <v>6</v>
      </c>
      <c r="M49" s="2665">
        <f t="shared" si="2"/>
        <v>4500</v>
      </c>
      <c r="N49" s="1049" t="s">
        <v>1875</v>
      </c>
      <c r="P49" s="2644">
        <v>4500000</v>
      </c>
      <c r="Q49" s="2645">
        <v>1</v>
      </c>
      <c r="R49" s="2645"/>
    </row>
    <row r="50" spans="1:41" s="2137" customFormat="1" ht="18" customHeight="1">
      <c r="A50" s="2105"/>
      <c r="B50" s="2106"/>
      <c r="C50" s="2106"/>
      <c r="D50" s="2118"/>
      <c r="E50" s="2119"/>
      <c r="F50" s="2119"/>
      <c r="G50" s="2119"/>
      <c r="H50" s="2127"/>
      <c r="I50" s="2127"/>
      <c r="J50" s="2127"/>
      <c r="K50" s="2314" t="s">
        <v>1876</v>
      </c>
      <c r="L50" s="1046" t="s">
        <v>6</v>
      </c>
      <c r="M50" s="2665">
        <f t="shared" si="2"/>
        <v>2000</v>
      </c>
      <c r="N50" s="1049" t="s">
        <v>1877</v>
      </c>
      <c r="P50" s="2644">
        <v>1000000</v>
      </c>
      <c r="Q50" s="2645">
        <v>2</v>
      </c>
      <c r="R50" s="2645"/>
    </row>
    <row r="51" spans="1:41" s="2137" customFormat="1" ht="18" customHeight="1">
      <c r="A51" s="2105"/>
      <c r="B51" s="2106"/>
      <c r="C51" s="2106"/>
      <c r="D51" s="2118"/>
      <c r="E51" s="2119"/>
      <c r="F51" s="2119"/>
      <c r="G51" s="2119"/>
      <c r="H51" s="2127"/>
      <c r="I51" s="2127"/>
      <c r="J51" s="2127"/>
      <c r="K51" s="2314" t="s">
        <v>1878</v>
      </c>
      <c r="L51" s="1046" t="s">
        <v>6</v>
      </c>
      <c r="M51" s="2665">
        <f t="shared" si="2"/>
        <v>140</v>
      </c>
      <c r="N51" s="1049" t="s">
        <v>369</v>
      </c>
      <c r="P51" s="2644">
        <v>140000</v>
      </c>
      <c r="Q51" s="2645">
        <v>1</v>
      </c>
      <c r="R51" s="2645"/>
    </row>
    <row r="52" spans="1:41" s="2137" customFormat="1" ht="18" customHeight="1">
      <c r="A52" s="2159"/>
      <c r="B52" s="2160"/>
      <c r="C52" s="2160"/>
      <c r="D52" s="2161"/>
      <c r="E52" s="2162"/>
      <c r="F52" s="2162"/>
      <c r="G52" s="2162"/>
      <c r="H52" s="2127"/>
      <c r="I52" s="2127"/>
      <c r="J52" s="2127"/>
      <c r="K52" s="2314" t="s">
        <v>1879</v>
      </c>
      <c r="L52" s="1046" t="s">
        <v>6</v>
      </c>
      <c r="M52" s="2665">
        <f t="shared" si="2"/>
        <v>7900</v>
      </c>
      <c r="N52" s="1049" t="s">
        <v>370</v>
      </c>
      <c r="O52" s="2163"/>
      <c r="P52" s="2644">
        <v>7900000</v>
      </c>
      <c r="Q52" s="2645">
        <v>1</v>
      </c>
      <c r="R52" s="2645"/>
      <c r="S52" s="2163"/>
      <c r="T52" s="2163"/>
      <c r="U52" s="2163"/>
      <c r="V52" s="2163"/>
      <c r="W52" s="2163"/>
      <c r="X52" s="2163"/>
    </row>
    <row r="53" spans="1:41" s="2137" customFormat="1" ht="18" customHeight="1">
      <c r="A53" s="2105"/>
      <c r="B53" s="2106"/>
      <c r="C53" s="2106"/>
      <c r="D53" s="2118"/>
      <c r="E53" s="2119"/>
      <c r="F53" s="2119"/>
      <c r="G53" s="2119"/>
      <c r="H53" s="2127"/>
      <c r="I53" s="2127"/>
      <c r="J53" s="2127"/>
      <c r="K53" s="2314" t="s">
        <v>1880</v>
      </c>
      <c r="L53" s="1046" t="s">
        <v>6</v>
      </c>
      <c r="M53" s="2665">
        <f t="shared" si="2"/>
        <v>2000</v>
      </c>
      <c r="N53" s="1049" t="s">
        <v>371</v>
      </c>
      <c r="P53" s="2644">
        <v>2000000</v>
      </c>
      <c r="Q53" s="2645">
        <v>1</v>
      </c>
      <c r="R53" s="2645"/>
    </row>
    <row r="54" spans="1:41" s="2137" customFormat="1" ht="18" customHeight="1">
      <c r="A54" s="2105"/>
      <c r="B54" s="2106"/>
      <c r="C54" s="2106"/>
      <c r="D54" s="2118"/>
      <c r="E54" s="2119"/>
      <c r="F54" s="2119"/>
      <c r="G54" s="2119"/>
      <c r="H54" s="2127"/>
      <c r="I54" s="2127"/>
      <c r="J54" s="2164"/>
      <c r="K54" s="2314" t="s">
        <v>1881</v>
      </c>
      <c r="L54" s="1046" t="s">
        <v>6</v>
      </c>
      <c r="M54" s="2665">
        <f t="shared" si="2"/>
        <v>4440</v>
      </c>
      <c r="N54" s="1049" t="s">
        <v>372</v>
      </c>
      <c r="P54" s="2644">
        <v>370000</v>
      </c>
      <c r="Q54" s="2645">
        <v>12</v>
      </c>
      <c r="R54" s="2645"/>
    </row>
    <row r="55" spans="1:41" s="2137" customFormat="1" ht="18" customHeight="1">
      <c r="A55" s="2105"/>
      <c r="B55" s="2106"/>
      <c r="C55" s="2106"/>
      <c r="D55" s="2118"/>
      <c r="E55" s="2119"/>
      <c r="F55" s="2119"/>
      <c r="G55" s="2119"/>
      <c r="H55" s="2164"/>
      <c r="I55" s="2164"/>
      <c r="J55" s="2127"/>
      <c r="K55" s="2314" t="s">
        <v>1882</v>
      </c>
      <c r="L55" s="1046" t="s">
        <v>6</v>
      </c>
      <c r="M55" s="2665">
        <f t="shared" si="2"/>
        <v>10200</v>
      </c>
      <c r="N55" s="1049" t="s">
        <v>373</v>
      </c>
      <c r="P55" s="2644">
        <v>850000</v>
      </c>
      <c r="Q55" s="2645">
        <v>12</v>
      </c>
      <c r="R55" s="2645"/>
    </row>
    <row r="56" spans="1:41" s="2163" customFormat="1" ht="18" customHeight="1">
      <c r="A56" s="2105"/>
      <c r="B56" s="2106"/>
      <c r="C56" s="2106"/>
      <c r="D56" s="2118"/>
      <c r="E56" s="2119"/>
      <c r="F56" s="2119"/>
      <c r="G56" s="2119"/>
      <c r="H56" s="2164"/>
      <c r="I56" s="2164"/>
      <c r="J56" s="2127"/>
      <c r="K56" s="2314" t="s">
        <v>1883</v>
      </c>
      <c r="L56" s="1046" t="s">
        <v>6</v>
      </c>
      <c r="M56" s="2665">
        <f t="shared" si="2"/>
        <v>1400</v>
      </c>
      <c r="N56" s="1049" t="s">
        <v>374</v>
      </c>
      <c r="O56" s="2137"/>
      <c r="P56" s="2644">
        <v>1400000</v>
      </c>
      <c r="Q56" s="2645">
        <v>1</v>
      </c>
      <c r="R56" s="2645"/>
      <c r="S56" s="2137"/>
      <c r="T56" s="2137"/>
      <c r="U56" s="2137"/>
      <c r="V56" s="2137"/>
      <c r="W56" s="2137"/>
      <c r="X56" s="2137"/>
      <c r="Y56" s="2137"/>
      <c r="Z56" s="2137"/>
      <c r="AA56" s="2137"/>
      <c r="AB56" s="2137"/>
      <c r="AC56" s="2137"/>
      <c r="AD56" s="2137"/>
      <c r="AE56" s="2137"/>
      <c r="AF56" s="2137"/>
      <c r="AG56" s="2137"/>
      <c r="AH56" s="2137"/>
      <c r="AI56" s="2137"/>
      <c r="AJ56" s="2137"/>
      <c r="AK56" s="2137"/>
      <c r="AL56" s="2137"/>
      <c r="AM56" s="2137"/>
      <c r="AN56" s="2137"/>
      <c r="AO56" s="2137"/>
    </row>
    <row r="57" spans="1:41" s="2137" customFormat="1" ht="18" customHeight="1">
      <c r="A57" s="2105"/>
      <c r="B57" s="2106"/>
      <c r="C57" s="2106"/>
      <c r="D57" s="2118"/>
      <c r="E57" s="2119"/>
      <c r="F57" s="2119"/>
      <c r="G57" s="2119"/>
      <c r="H57" s="2164"/>
      <c r="I57" s="2164"/>
      <c r="J57" s="2164"/>
      <c r="K57" s="2314" t="s">
        <v>1884</v>
      </c>
      <c r="L57" s="1046" t="s">
        <v>6</v>
      </c>
      <c r="M57" s="2665">
        <f t="shared" si="2"/>
        <v>1200</v>
      </c>
      <c r="N57" s="1049" t="s">
        <v>375</v>
      </c>
      <c r="P57" s="2644">
        <v>300000</v>
      </c>
      <c r="Q57" s="2645">
        <v>4</v>
      </c>
      <c r="R57" s="2645"/>
    </row>
    <row r="58" spans="1:41" s="2137" customFormat="1" ht="18" customHeight="1">
      <c r="A58" s="2105"/>
      <c r="B58" s="2106"/>
      <c r="C58" s="2106"/>
      <c r="D58" s="2118"/>
      <c r="E58" s="2119"/>
      <c r="F58" s="2119"/>
      <c r="G58" s="2119"/>
      <c r="H58" s="2164"/>
      <c r="I58" s="2164"/>
      <c r="J58" s="2164"/>
      <c r="K58" s="2314" t="s">
        <v>1885</v>
      </c>
      <c r="L58" s="1046" t="s">
        <v>6</v>
      </c>
      <c r="M58" s="2665">
        <f t="shared" si="2"/>
        <v>2400</v>
      </c>
      <c r="N58" s="1049" t="s">
        <v>376</v>
      </c>
      <c r="P58" s="2644">
        <v>1200000</v>
      </c>
      <c r="Q58" s="2645">
        <v>2</v>
      </c>
      <c r="R58" s="2645"/>
    </row>
    <row r="59" spans="1:41" s="2137" customFormat="1" ht="18" customHeight="1">
      <c r="A59" s="2105"/>
      <c r="B59" s="2106"/>
      <c r="C59" s="2106"/>
      <c r="D59" s="2118"/>
      <c r="E59" s="2119"/>
      <c r="F59" s="2119"/>
      <c r="G59" s="2119"/>
      <c r="H59" s="2164"/>
      <c r="I59" s="2164"/>
      <c r="J59" s="2164"/>
      <c r="K59" s="2314" t="s">
        <v>1886</v>
      </c>
      <c r="L59" s="1046" t="s">
        <v>6</v>
      </c>
      <c r="M59" s="2665">
        <f t="shared" si="2"/>
        <v>16900</v>
      </c>
      <c r="N59" s="2065" t="s">
        <v>1887</v>
      </c>
      <c r="P59" s="2644">
        <v>1300000</v>
      </c>
      <c r="Q59" s="2645">
        <v>13</v>
      </c>
      <c r="R59" s="2645"/>
    </row>
    <row r="60" spans="1:41" s="2163" customFormat="1" ht="18" customHeight="1">
      <c r="A60" s="2105"/>
      <c r="B60" s="2106"/>
      <c r="C60" s="2106"/>
      <c r="D60" s="2165"/>
      <c r="E60" s="2165"/>
      <c r="F60" s="2165"/>
      <c r="G60" s="2118"/>
      <c r="H60" s="2164"/>
      <c r="I60" s="2164"/>
      <c r="J60" s="2164"/>
      <c r="K60" s="2688" t="s">
        <v>1888</v>
      </c>
      <c r="L60" s="1046" t="s">
        <v>6</v>
      </c>
      <c r="M60" s="2665">
        <f>ROUNDUP(P60*Q60/1000,0)</f>
        <v>300</v>
      </c>
      <c r="N60" s="2068" t="s">
        <v>1889</v>
      </c>
      <c r="O60" s="2090"/>
      <c r="P60" s="2687">
        <v>300000</v>
      </c>
      <c r="Q60" s="1976">
        <v>1</v>
      </c>
      <c r="R60" s="2645"/>
      <c r="S60" s="2091"/>
      <c r="T60" s="2091"/>
      <c r="U60" s="2091"/>
      <c r="V60" s="2091"/>
      <c r="W60" s="2091"/>
      <c r="X60" s="2091"/>
      <c r="Y60" s="2091"/>
      <c r="Z60" s="2091"/>
      <c r="AA60" s="2091"/>
      <c r="AB60" s="2091"/>
      <c r="AC60" s="2091"/>
      <c r="AD60" s="2091"/>
      <c r="AE60" s="2091"/>
      <c r="AF60" s="2091"/>
      <c r="AG60" s="2091"/>
      <c r="AH60" s="2091"/>
      <c r="AI60" s="2091"/>
      <c r="AJ60" s="2091"/>
      <c r="AK60" s="2091"/>
      <c r="AL60" s="2091"/>
      <c r="AM60" s="2091"/>
      <c r="AN60" s="2091"/>
      <c r="AO60" s="2091"/>
    </row>
    <row r="61" spans="1:41" s="2163" customFormat="1" ht="18" customHeight="1">
      <c r="A61" s="2105"/>
      <c r="B61" s="2106"/>
      <c r="C61" s="2106"/>
      <c r="D61" s="2165"/>
      <c r="E61" s="2165"/>
      <c r="F61" s="2165"/>
      <c r="G61" s="2118"/>
      <c r="H61" s="2164"/>
      <c r="I61" s="2164"/>
      <c r="J61" s="2164"/>
      <c r="K61" s="2688" t="s">
        <v>1890</v>
      </c>
      <c r="L61" s="1046" t="s">
        <v>6</v>
      </c>
      <c r="M61" s="2665">
        <f>ROUNDUP(P61*Q61/1000,0)</f>
        <v>2000</v>
      </c>
      <c r="N61" s="2068" t="s">
        <v>1891</v>
      </c>
      <c r="O61" s="2090"/>
      <c r="P61" s="2687">
        <v>2000000</v>
      </c>
      <c r="Q61" s="1976">
        <v>1</v>
      </c>
      <c r="R61" s="2645"/>
      <c r="S61" s="2091"/>
      <c r="T61" s="2091"/>
      <c r="U61" s="2091"/>
      <c r="V61" s="2091"/>
      <c r="W61" s="2091"/>
      <c r="X61" s="2091"/>
      <c r="Y61" s="2091"/>
      <c r="Z61" s="2091"/>
      <c r="AA61" s="2091"/>
      <c r="AB61" s="2091"/>
      <c r="AC61" s="2091"/>
      <c r="AD61" s="2091"/>
      <c r="AE61" s="2091"/>
      <c r="AF61" s="2091"/>
      <c r="AG61" s="2091"/>
      <c r="AH61" s="2091"/>
      <c r="AI61" s="2091"/>
      <c r="AJ61" s="2091"/>
      <c r="AK61" s="2091"/>
      <c r="AL61" s="2091"/>
      <c r="AM61" s="2091"/>
      <c r="AN61" s="2091"/>
      <c r="AO61" s="2091"/>
    </row>
    <row r="62" spans="1:41" s="2169" customFormat="1" ht="18" customHeight="1">
      <c r="A62" s="2105"/>
      <c r="B62" s="2106"/>
      <c r="C62" s="2106"/>
      <c r="D62" s="2165"/>
      <c r="E62" s="2165"/>
      <c r="F62" s="2118"/>
      <c r="G62" s="2146"/>
      <c r="H62" s="2166"/>
      <c r="I62" s="2166"/>
      <c r="J62" s="2166"/>
      <c r="K62" s="2689" t="s">
        <v>1892</v>
      </c>
      <c r="L62" s="1050" t="s">
        <v>6</v>
      </c>
      <c r="M62" s="2425">
        <f t="shared" si="2"/>
        <v>3500</v>
      </c>
      <c r="N62" s="2070" t="s">
        <v>1893</v>
      </c>
      <c r="O62" s="2167"/>
      <c r="P62" s="2687">
        <v>3500000</v>
      </c>
      <c r="Q62" s="2690">
        <v>1</v>
      </c>
      <c r="R62" s="2690"/>
      <c r="S62" s="2167"/>
      <c r="T62" s="2167"/>
      <c r="U62" s="2167"/>
      <c r="V62" s="2167"/>
      <c r="W62" s="2167"/>
      <c r="X62" s="2167"/>
      <c r="Y62" s="2167"/>
      <c r="Z62" s="2167"/>
      <c r="AA62" s="2167"/>
      <c r="AB62" s="2167"/>
      <c r="AC62" s="2167"/>
      <c r="AD62" s="2167"/>
      <c r="AE62" s="2167"/>
      <c r="AF62" s="2167"/>
      <c r="AG62" s="2167"/>
      <c r="AH62" s="2167"/>
      <c r="AI62" s="2167"/>
      <c r="AJ62" s="2167"/>
      <c r="AK62" s="2167"/>
      <c r="AL62" s="2167"/>
      <c r="AM62" s="2167"/>
      <c r="AN62" s="2167"/>
      <c r="AO62" s="2167"/>
    </row>
    <row r="63" spans="1:41" s="2137" customFormat="1" ht="18" customHeight="1">
      <c r="A63" s="2105"/>
      <c r="B63" s="2106"/>
      <c r="C63" s="2106"/>
      <c r="D63" s="2106"/>
      <c r="E63" s="2106"/>
      <c r="F63" s="2106"/>
      <c r="G63" s="2106" t="s">
        <v>76</v>
      </c>
      <c r="H63" s="2127">
        <f>M63</f>
        <v>14808</v>
      </c>
      <c r="I63" s="2127">
        <v>8100</v>
      </c>
      <c r="J63" s="2127">
        <f>H63-I63</f>
        <v>6708</v>
      </c>
      <c r="K63" s="2170" t="s">
        <v>76</v>
      </c>
      <c r="L63" s="2171"/>
      <c r="M63" s="2172">
        <f>SUM(M64:M68)</f>
        <v>14808</v>
      </c>
      <c r="N63" s="2703"/>
      <c r="P63" s="2685"/>
      <c r="Q63" s="2686"/>
      <c r="R63" s="2686"/>
    </row>
    <row r="64" spans="1:41" s="2158" customFormat="1" ht="18" customHeight="1">
      <c r="A64" s="2105"/>
      <c r="B64" s="2106"/>
      <c r="C64" s="2106"/>
      <c r="D64" s="2118"/>
      <c r="E64" s="2118"/>
      <c r="F64" s="2119"/>
      <c r="G64" s="2118"/>
      <c r="H64" s="2127"/>
      <c r="I64" s="2127"/>
      <c r="J64" s="2141"/>
      <c r="K64" s="2173" t="s">
        <v>1894</v>
      </c>
      <c r="L64" s="2156" t="s">
        <v>6</v>
      </c>
      <c r="M64" s="2143">
        <f>ROUNDUP(P64*Q64*R64/1000,0)</f>
        <v>5400</v>
      </c>
      <c r="N64" s="2068" t="s">
        <v>1895</v>
      </c>
      <c r="P64" s="2644">
        <v>90000</v>
      </c>
      <c r="Q64" s="2645">
        <v>5</v>
      </c>
      <c r="R64" s="2645">
        <v>12</v>
      </c>
    </row>
    <row r="65" spans="1:24" s="2137" customFormat="1" ht="18" customHeight="1">
      <c r="A65" s="2105"/>
      <c r="B65" s="2106"/>
      <c r="C65" s="2106"/>
      <c r="D65" s="2106"/>
      <c r="E65" s="2106"/>
      <c r="F65" s="2106"/>
      <c r="G65" s="2106"/>
      <c r="H65" s="2127"/>
      <c r="I65" s="2127"/>
      <c r="J65" s="2127"/>
      <c r="K65" s="2314" t="s">
        <v>1896</v>
      </c>
      <c r="L65" s="1046" t="s">
        <v>6</v>
      </c>
      <c r="M65" s="2665">
        <f>ROUNDUP(P65*Q65*R65/1000,0)</f>
        <v>2700</v>
      </c>
      <c r="N65" s="1049" t="s">
        <v>1897</v>
      </c>
      <c r="P65" s="2644">
        <v>225000</v>
      </c>
      <c r="Q65" s="2645">
        <v>1</v>
      </c>
      <c r="R65" s="2645">
        <v>12</v>
      </c>
    </row>
    <row r="66" spans="1:24" s="2137" customFormat="1" ht="18" customHeight="1">
      <c r="A66" s="2105"/>
      <c r="B66" s="2106"/>
      <c r="C66" s="2106"/>
      <c r="D66" s="2118"/>
      <c r="E66" s="2118"/>
      <c r="F66" s="2118"/>
      <c r="G66" s="2118"/>
      <c r="H66" s="2127"/>
      <c r="I66" s="2127"/>
      <c r="J66" s="2127"/>
      <c r="K66" s="2314" t="s">
        <v>1898</v>
      </c>
      <c r="L66" s="1046" t="s">
        <v>6</v>
      </c>
      <c r="M66" s="2665">
        <f t="shared" ref="M66:M68" si="3">ROUNDUP(P66*Q66/1000,0)</f>
        <v>3420</v>
      </c>
      <c r="N66" s="2065" t="s">
        <v>1899</v>
      </c>
      <c r="P66" s="2644">
        <v>285000</v>
      </c>
      <c r="Q66" s="2645">
        <v>12</v>
      </c>
      <c r="R66" s="2645"/>
    </row>
    <row r="67" spans="1:24" s="2137" customFormat="1" ht="18" customHeight="1">
      <c r="A67" s="2105"/>
      <c r="B67" s="2106"/>
      <c r="C67" s="2106"/>
      <c r="D67" s="2118"/>
      <c r="E67" s="2118"/>
      <c r="F67" s="2118"/>
      <c r="G67" s="2118"/>
      <c r="H67" s="2127"/>
      <c r="I67" s="2127"/>
      <c r="J67" s="2127"/>
      <c r="K67" s="2314" t="s">
        <v>2385</v>
      </c>
      <c r="L67" s="1046" t="s">
        <v>6</v>
      </c>
      <c r="M67" s="2665">
        <f t="shared" si="3"/>
        <v>600</v>
      </c>
      <c r="N67" s="2065" t="s">
        <v>2386</v>
      </c>
      <c r="P67" s="2644">
        <v>50000</v>
      </c>
      <c r="Q67" s="2645">
        <v>12</v>
      </c>
      <c r="R67" s="2645"/>
    </row>
    <row r="68" spans="1:24" s="2137" customFormat="1" ht="18" customHeight="1">
      <c r="A68" s="2105"/>
      <c r="B68" s="2106"/>
      <c r="C68" s="2106"/>
      <c r="D68" s="2118"/>
      <c r="E68" s="2119"/>
      <c r="F68" s="2119"/>
      <c r="G68" s="2119"/>
      <c r="H68" s="2164"/>
      <c r="I68" s="2164"/>
      <c r="J68" s="2164"/>
      <c r="K68" s="2691" t="s">
        <v>2387</v>
      </c>
      <c r="L68" s="1046" t="s">
        <v>6</v>
      </c>
      <c r="M68" s="2665">
        <f t="shared" si="3"/>
        <v>2688</v>
      </c>
      <c r="N68" s="2068" t="s">
        <v>1900</v>
      </c>
      <c r="P68" s="2644">
        <v>224000</v>
      </c>
      <c r="Q68" s="2645">
        <v>12</v>
      </c>
      <c r="R68" s="2645"/>
    </row>
    <row r="69" spans="1:24" s="2137" customFormat="1" ht="18" customHeight="1">
      <c r="A69" s="2105"/>
      <c r="B69" s="2106"/>
      <c r="C69" s="2106"/>
      <c r="D69" s="2106"/>
      <c r="E69" s="2106"/>
      <c r="F69" s="2106"/>
      <c r="G69" s="2152" t="s">
        <v>37</v>
      </c>
      <c r="H69" s="2121">
        <f>M69</f>
        <v>33806</v>
      </c>
      <c r="I69" s="2121">
        <v>33470</v>
      </c>
      <c r="J69" s="2121">
        <f>H69-I69</f>
        <v>336</v>
      </c>
      <c r="K69" s="2295" t="s">
        <v>37</v>
      </c>
      <c r="L69" s="2256"/>
      <c r="M69" s="2692">
        <f>M70+M71+M72+M74+M76+M78</f>
        <v>33806</v>
      </c>
      <c r="N69" s="2598"/>
      <c r="P69" s="2685"/>
      <c r="Q69" s="2686"/>
      <c r="R69" s="2686"/>
    </row>
    <row r="70" spans="1:24" s="2137" customFormat="1" ht="18" customHeight="1">
      <c r="A70" s="2105"/>
      <c r="B70" s="2106"/>
      <c r="C70" s="2106"/>
      <c r="D70" s="2106"/>
      <c r="E70" s="2106"/>
      <c r="F70" s="2106"/>
      <c r="G70" s="2106"/>
      <c r="H70" s="2127"/>
      <c r="I70" s="2127"/>
      <c r="J70" s="2127"/>
      <c r="K70" s="2642" t="s">
        <v>2388</v>
      </c>
      <c r="L70" s="853" t="s">
        <v>6</v>
      </c>
      <c r="M70" s="2643">
        <f>ROUNDUP(P70*Q70*R70/1000,0)</f>
        <v>6840</v>
      </c>
      <c r="N70" s="1049" t="s">
        <v>1901</v>
      </c>
      <c r="P70" s="2644">
        <v>60000</v>
      </c>
      <c r="Q70" s="2645">
        <v>2</v>
      </c>
      <c r="R70" s="2645">
        <v>57</v>
      </c>
    </row>
    <row r="71" spans="1:24" s="2091" customFormat="1" ht="18" customHeight="1">
      <c r="A71" s="2105"/>
      <c r="B71" s="2106"/>
      <c r="C71" s="2106"/>
      <c r="D71" s="2106"/>
      <c r="E71" s="2106"/>
      <c r="F71" s="2126"/>
      <c r="G71" s="2126"/>
      <c r="H71" s="2127"/>
      <c r="I71" s="2127"/>
      <c r="J71" s="2127"/>
      <c r="K71" s="1167" t="s">
        <v>2389</v>
      </c>
      <c r="L71" s="853" t="s">
        <v>6</v>
      </c>
      <c r="M71" s="2646">
        <f>ROUNDUP(P71*Q71*R71/1000,0)</f>
        <v>12000</v>
      </c>
      <c r="N71" s="1049" t="s">
        <v>2290</v>
      </c>
      <c r="O71" s="2137"/>
      <c r="P71" s="2644">
        <v>300000</v>
      </c>
      <c r="Q71" s="2645">
        <v>2</v>
      </c>
      <c r="R71" s="2645">
        <v>20</v>
      </c>
      <c r="S71" s="2647"/>
      <c r="T71" s="2648"/>
      <c r="U71" s="2137"/>
      <c r="V71" s="2137"/>
      <c r="W71" s="2137"/>
      <c r="X71" s="2137"/>
    </row>
    <row r="72" spans="1:24" s="2137" customFormat="1" ht="17.25" customHeight="1">
      <c r="A72" s="2105"/>
      <c r="B72" s="2106"/>
      <c r="C72" s="2106"/>
      <c r="D72" s="2106"/>
      <c r="E72" s="2106"/>
      <c r="F72" s="2126"/>
      <c r="G72" s="2126"/>
      <c r="H72" s="2127"/>
      <c r="I72" s="2127"/>
      <c r="J72" s="2127"/>
      <c r="K72" s="1167" t="s">
        <v>1902</v>
      </c>
      <c r="L72" s="853" t="s">
        <v>6</v>
      </c>
      <c r="M72" s="2649">
        <f>SUM(M73:M73)</f>
        <v>7776</v>
      </c>
      <c r="N72" s="1049"/>
      <c r="P72" s="2644"/>
      <c r="Q72" s="2645"/>
      <c r="R72" s="2645"/>
      <c r="S72" s="2647"/>
      <c r="T72" s="2648"/>
    </row>
    <row r="73" spans="1:24" s="2137" customFormat="1" ht="18" customHeight="1">
      <c r="A73" s="2105"/>
      <c r="B73" s="2106"/>
      <c r="C73" s="2106"/>
      <c r="D73" s="2106"/>
      <c r="E73" s="2106"/>
      <c r="F73" s="2126"/>
      <c r="G73" s="2126"/>
      <c r="H73" s="2127"/>
      <c r="I73" s="2127"/>
      <c r="J73" s="2127"/>
      <c r="K73" s="1114" t="s">
        <v>1903</v>
      </c>
      <c r="L73" s="853"/>
      <c r="M73" s="2649">
        <f>ROUNDUP(P73*Q73*R73*S73/1000,0)</f>
        <v>7776</v>
      </c>
      <c r="N73" s="1049" t="s">
        <v>1904</v>
      </c>
      <c r="P73" s="2644">
        <v>9000</v>
      </c>
      <c r="Q73" s="2645">
        <v>9</v>
      </c>
      <c r="R73" s="2645">
        <v>8</v>
      </c>
      <c r="S73" s="2647">
        <v>12</v>
      </c>
      <c r="T73" s="2648"/>
    </row>
    <row r="74" spans="1:24" s="2137" customFormat="1" ht="18" customHeight="1">
      <c r="A74" s="2105"/>
      <c r="B74" s="2106"/>
      <c r="C74" s="2106"/>
      <c r="D74" s="2106"/>
      <c r="E74" s="2106"/>
      <c r="F74" s="2126"/>
      <c r="G74" s="2126"/>
      <c r="H74" s="2127"/>
      <c r="I74" s="2127"/>
      <c r="J74" s="2127"/>
      <c r="K74" s="2650" t="s">
        <v>1905</v>
      </c>
      <c r="L74" s="853" t="s">
        <v>6</v>
      </c>
      <c r="M74" s="2649">
        <f>SUM(M75:M75)</f>
        <v>6240</v>
      </c>
      <c r="N74" s="1049"/>
      <c r="P74" s="2644"/>
      <c r="Q74" s="2645"/>
      <c r="R74" s="2645"/>
      <c r="S74" s="2647"/>
      <c r="T74" s="2648"/>
    </row>
    <row r="75" spans="1:24" s="2137" customFormat="1" ht="18" customHeight="1">
      <c r="A75" s="2105"/>
      <c r="B75" s="2106"/>
      <c r="C75" s="2106"/>
      <c r="D75" s="2106"/>
      <c r="E75" s="2106"/>
      <c r="F75" s="2106"/>
      <c r="G75" s="2106"/>
      <c r="H75" s="2127"/>
      <c r="I75" s="2127"/>
      <c r="J75" s="2127"/>
      <c r="K75" s="2176" t="s">
        <v>1906</v>
      </c>
      <c r="L75" s="2067"/>
      <c r="M75" s="2151">
        <f>ROUNDUP(P75*Q75*R75*S75/1000,0)</f>
        <v>6240</v>
      </c>
      <c r="N75" s="1049" t="s">
        <v>1907</v>
      </c>
      <c r="P75" s="2644">
        <v>3000</v>
      </c>
      <c r="Q75" s="2645">
        <v>8</v>
      </c>
      <c r="R75" s="2645">
        <v>5</v>
      </c>
      <c r="S75" s="2647">
        <v>52</v>
      </c>
      <c r="T75" s="2648"/>
    </row>
    <row r="76" spans="1:24" s="2137" customFormat="1" ht="18" customHeight="1">
      <c r="A76" s="2105"/>
      <c r="B76" s="2106"/>
      <c r="C76" s="2106"/>
      <c r="D76" s="2106"/>
      <c r="E76" s="2106"/>
      <c r="F76" s="2106"/>
      <c r="G76" s="2106"/>
      <c r="H76" s="2127"/>
      <c r="I76" s="2127"/>
      <c r="J76" s="2127"/>
      <c r="K76" s="2175" t="s">
        <v>1908</v>
      </c>
      <c r="L76" s="2067" t="s">
        <v>6</v>
      </c>
      <c r="M76" s="2151">
        <f>SUM(M77:M77)</f>
        <v>450</v>
      </c>
      <c r="N76" s="1049"/>
      <c r="P76" s="2644"/>
      <c r="Q76" s="2645"/>
      <c r="R76" s="2645"/>
      <c r="S76" s="2647"/>
      <c r="T76" s="2648"/>
    </row>
    <row r="77" spans="1:24" s="2137" customFormat="1" ht="18" customHeight="1">
      <c r="A77" s="2105"/>
      <c r="B77" s="2106"/>
      <c r="C77" s="2106"/>
      <c r="D77" s="2106"/>
      <c r="E77" s="2106"/>
      <c r="F77" s="2106"/>
      <c r="G77" s="2106"/>
      <c r="H77" s="2127"/>
      <c r="I77" s="2127"/>
      <c r="J77" s="2127"/>
      <c r="K77" s="2177" t="s">
        <v>1909</v>
      </c>
      <c r="L77" s="2067"/>
      <c r="M77" s="2143">
        <f>ROUNDUP(P77*Q77/1000,0)</f>
        <v>450</v>
      </c>
      <c r="N77" s="1049" t="s">
        <v>1910</v>
      </c>
      <c r="P77" s="2644">
        <v>150000</v>
      </c>
      <c r="Q77" s="2645">
        <v>3</v>
      </c>
      <c r="R77" s="2645"/>
      <c r="S77" s="2647"/>
      <c r="T77" s="2648"/>
    </row>
    <row r="78" spans="1:24" s="2137" customFormat="1" ht="18" customHeight="1">
      <c r="A78" s="2105"/>
      <c r="B78" s="2106"/>
      <c r="C78" s="2106"/>
      <c r="D78" s="2106"/>
      <c r="E78" s="2106"/>
      <c r="F78" s="2106"/>
      <c r="G78" s="2145"/>
      <c r="H78" s="2113"/>
      <c r="I78" s="2113"/>
      <c r="J78" s="2113"/>
      <c r="K78" s="2148" t="s">
        <v>1911</v>
      </c>
      <c r="L78" s="2178" t="s">
        <v>6</v>
      </c>
      <c r="M78" s="2149">
        <f>ROUNDUP(P78*Q78/1000,0)</f>
        <v>500</v>
      </c>
      <c r="N78" s="2070" t="s">
        <v>1912</v>
      </c>
      <c r="P78" s="2644">
        <v>250000</v>
      </c>
      <c r="Q78" s="2645">
        <v>2</v>
      </c>
      <c r="R78" s="2645"/>
      <c r="S78" s="2066"/>
    </row>
    <row r="79" spans="1:24" s="2137" customFormat="1" ht="18" customHeight="1">
      <c r="A79" s="2105"/>
      <c r="B79" s="2106"/>
      <c r="C79" s="2106"/>
      <c r="D79" s="2106"/>
      <c r="E79" s="2106"/>
      <c r="F79" s="2106"/>
      <c r="G79" s="2152" t="s">
        <v>392</v>
      </c>
      <c r="H79" s="2121">
        <f>M79</f>
        <v>573275</v>
      </c>
      <c r="I79" s="2121">
        <v>563675</v>
      </c>
      <c r="J79" s="2121">
        <f>H79-I79</f>
        <v>9600</v>
      </c>
      <c r="K79" s="2138" t="s">
        <v>392</v>
      </c>
      <c r="L79" s="2123"/>
      <c r="M79" s="2140">
        <f>SUM(M80:M89)</f>
        <v>573275</v>
      </c>
      <c r="N79" s="2703"/>
      <c r="P79" s="2685"/>
      <c r="Q79" s="2686"/>
      <c r="R79" s="2686"/>
    </row>
    <row r="80" spans="1:24" s="2137" customFormat="1" ht="18" customHeight="1">
      <c r="A80" s="2105"/>
      <c r="B80" s="2106"/>
      <c r="C80" s="2106"/>
      <c r="D80" s="2106"/>
      <c r="E80" s="2106"/>
      <c r="F80" s="2126"/>
      <c r="G80" s="2126"/>
      <c r="H80" s="2127"/>
      <c r="I80" s="2127"/>
      <c r="J80" s="2127"/>
      <c r="K80" s="2142" t="s">
        <v>1913</v>
      </c>
      <c r="L80" s="2067" t="s">
        <v>6</v>
      </c>
      <c r="M80" s="2151">
        <v>1624</v>
      </c>
      <c r="N80" s="2065" t="s">
        <v>1914</v>
      </c>
      <c r="P80" s="2685"/>
      <c r="Q80" s="2686"/>
      <c r="R80" s="2686"/>
    </row>
    <row r="81" spans="1:24" s="2137" customFormat="1" ht="18" customHeight="1">
      <c r="A81" s="2105"/>
      <c r="B81" s="2106"/>
      <c r="C81" s="2106"/>
      <c r="D81" s="2106"/>
      <c r="E81" s="2106"/>
      <c r="F81" s="2126"/>
      <c r="G81" s="2126"/>
      <c r="H81" s="2127"/>
      <c r="I81" s="2127"/>
      <c r="J81" s="2127"/>
      <c r="K81" s="2314" t="s">
        <v>1915</v>
      </c>
      <c r="L81" s="1046" t="s">
        <v>6</v>
      </c>
      <c r="M81" s="2665">
        <f t="shared" ref="M81:M89" si="4">ROUNDUP(P81*Q81/1000,0)</f>
        <v>216000</v>
      </c>
      <c r="N81" s="2065" t="s">
        <v>1916</v>
      </c>
      <c r="O81" s="2179"/>
      <c r="P81" s="2644">
        <v>18000000</v>
      </c>
      <c r="Q81" s="2645">
        <v>12</v>
      </c>
      <c r="R81" s="2645"/>
    </row>
    <row r="82" spans="1:24" s="2137" customFormat="1" ht="18" customHeight="1">
      <c r="A82" s="2105"/>
      <c r="B82" s="2106"/>
      <c r="C82" s="2106"/>
      <c r="D82" s="2106"/>
      <c r="E82" s="2106"/>
      <c r="F82" s="2126"/>
      <c r="G82" s="2126"/>
      <c r="H82" s="2127"/>
      <c r="I82" s="2127"/>
      <c r="J82" s="2127"/>
      <c r="K82" s="2314" t="s">
        <v>1917</v>
      </c>
      <c r="L82" s="1046" t="s">
        <v>6</v>
      </c>
      <c r="M82" s="2665">
        <f t="shared" si="4"/>
        <v>240000</v>
      </c>
      <c r="N82" s="2065" t="s">
        <v>1916</v>
      </c>
      <c r="P82" s="2644">
        <v>20000000</v>
      </c>
      <c r="Q82" s="2645">
        <v>12</v>
      </c>
      <c r="R82" s="2645"/>
    </row>
    <row r="83" spans="1:24" s="2137" customFormat="1" ht="18" customHeight="1">
      <c r="A83" s="2105"/>
      <c r="B83" s="2106"/>
      <c r="C83" s="2106"/>
      <c r="D83" s="2106"/>
      <c r="E83" s="2106"/>
      <c r="F83" s="2126"/>
      <c r="G83" s="2126"/>
      <c r="H83" s="2127"/>
      <c r="I83" s="2127"/>
      <c r="J83" s="2127"/>
      <c r="K83" s="2314" t="s">
        <v>2390</v>
      </c>
      <c r="L83" s="1046" t="s">
        <v>6</v>
      </c>
      <c r="M83" s="2665">
        <f t="shared" si="4"/>
        <v>102000</v>
      </c>
      <c r="N83" s="2065" t="s">
        <v>1916</v>
      </c>
      <c r="P83" s="2644">
        <v>8500000</v>
      </c>
      <c r="Q83" s="2645">
        <v>12</v>
      </c>
      <c r="R83" s="2645"/>
    </row>
    <row r="84" spans="1:24" s="2137" customFormat="1" ht="18" customHeight="1">
      <c r="A84" s="2105"/>
      <c r="B84" s="2106"/>
      <c r="C84" s="2106"/>
      <c r="D84" s="2106"/>
      <c r="E84" s="2106"/>
      <c r="F84" s="2126"/>
      <c r="G84" s="2126"/>
      <c r="H84" s="2127"/>
      <c r="I84" s="2127"/>
      <c r="J84" s="2127"/>
      <c r="K84" s="2314" t="s">
        <v>1918</v>
      </c>
      <c r="L84" s="1046" t="s">
        <v>6</v>
      </c>
      <c r="M84" s="2665">
        <f t="shared" si="4"/>
        <v>6000</v>
      </c>
      <c r="N84" s="1049" t="s">
        <v>1919</v>
      </c>
      <c r="P84" s="2644">
        <v>500000</v>
      </c>
      <c r="Q84" s="2645">
        <v>12</v>
      </c>
      <c r="R84" s="2645"/>
    </row>
    <row r="85" spans="1:24" s="2137" customFormat="1" ht="18" customHeight="1">
      <c r="A85" s="2105"/>
      <c r="B85" s="2106"/>
      <c r="C85" s="2106"/>
      <c r="D85" s="2106"/>
      <c r="E85" s="2106"/>
      <c r="F85" s="2126"/>
      <c r="G85" s="2126"/>
      <c r="H85" s="2127"/>
      <c r="I85" s="2127"/>
      <c r="J85" s="2127"/>
      <c r="K85" s="2314" t="s">
        <v>1920</v>
      </c>
      <c r="L85" s="1046" t="s">
        <v>6</v>
      </c>
      <c r="M85" s="2665">
        <f t="shared" si="4"/>
        <v>20</v>
      </c>
      <c r="N85" s="1049" t="s">
        <v>377</v>
      </c>
      <c r="P85" s="2644">
        <v>20000</v>
      </c>
      <c r="Q85" s="2645">
        <v>1</v>
      </c>
      <c r="R85" s="2645"/>
    </row>
    <row r="86" spans="1:24" s="2137" customFormat="1" ht="18" customHeight="1">
      <c r="A86" s="2105"/>
      <c r="B86" s="2106"/>
      <c r="C86" s="2106"/>
      <c r="D86" s="2106"/>
      <c r="E86" s="2106"/>
      <c r="F86" s="2126"/>
      <c r="G86" s="2126"/>
      <c r="H86" s="2127"/>
      <c r="I86" s="2127"/>
      <c r="J86" s="2127"/>
      <c r="K86" s="2314" t="s">
        <v>1921</v>
      </c>
      <c r="L86" s="1046" t="s">
        <v>6</v>
      </c>
      <c r="M86" s="2665">
        <f t="shared" si="4"/>
        <v>35</v>
      </c>
      <c r="N86" s="1049" t="s">
        <v>377</v>
      </c>
      <c r="P86" s="2154">
        <v>35000</v>
      </c>
      <c r="Q86" s="2155">
        <v>1</v>
      </c>
      <c r="R86" s="2155"/>
    </row>
    <row r="87" spans="1:24" s="2137" customFormat="1" ht="18" customHeight="1">
      <c r="A87" s="2105"/>
      <c r="B87" s="2106"/>
      <c r="C87" s="2106"/>
      <c r="D87" s="2106"/>
      <c r="E87" s="2106"/>
      <c r="F87" s="2126"/>
      <c r="G87" s="2126"/>
      <c r="H87" s="2127"/>
      <c r="I87" s="2127"/>
      <c r="J87" s="2127"/>
      <c r="K87" s="2314" t="s">
        <v>1922</v>
      </c>
      <c r="L87" s="1046" t="s">
        <v>6</v>
      </c>
      <c r="M87" s="2665">
        <f t="shared" si="4"/>
        <v>396</v>
      </c>
      <c r="N87" s="1049" t="s">
        <v>1923</v>
      </c>
      <c r="P87" s="2154">
        <v>33000</v>
      </c>
      <c r="Q87" s="2155">
        <v>12</v>
      </c>
      <c r="R87" s="2155"/>
    </row>
    <row r="88" spans="1:24" s="2137" customFormat="1" ht="18" customHeight="1">
      <c r="A88" s="2105"/>
      <c r="B88" s="2106"/>
      <c r="C88" s="2106"/>
      <c r="D88" s="2106"/>
      <c r="E88" s="2106"/>
      <c r="F88" s="2126"/>
      <c r="G88" s="2126"/>
      <c r="H88" s="2127"/>
      <c r="I88" s="2127"/>
      <c r="J88" s="2127"/>
      <c r="K88" s="2693" t="s">
        <v>1924</v>
      </c>
      <c r="L88" s="1046" t="s">
        <v>6</v>
      </c>
      <c r="M88" s="2665">
        <f t="shared" si="4"/>
        <v>3000</v>
      </c>
      <c r="N88" s="1049" t="s">
        <v>1925</v>
      </c>
      <c r="P88" s="2154">
        <v>3000000</v>
      </c>
      <c r="Q88" s="2155">
        <v>1</v>
      </c>
      <c r="R88" s="2155"/>
    </row>
    <row r="89" spans="1:24" s="2150" customFormat="1" ht="18" customHeight="1">
      <c r="A89" s="2105"/>
      <c r="B89" s="2106"/>
      <c r="C89" s="2106"/>
      <c r="D89" s="2106"/>
      <c r="E89" s="2106"/>
      <c r="F89" s="2180"/>
      <c r="G89" s="2180"/>
      <c r="H89" s="2113"/>
      <c r="I89" s="2113"/>
      <c r="J89" s="2113"/>
      <c r="K89" s="2694" t="s">
        <v>1926</v>
      </c>
      <c r="L89" s="1050" t="s">
        <v>6</v>
      </c>
      <c r="M89" s="2425">
        <f t="shared" si="4"/>
        <v>4200</v>
      </c>
      <c r="N89" s="1051" t="s">
        <v>1927</v>
      </c>
      <c r="P89" s="2181">
        <v>350000</v>
      </c>
      <c r="Q89" s="2168">
        <v>12</v>
      </c>
      <c r="R89" s="2168"/>
    </row>
    <row r="90" spans="1:24" s="2150" customFormat="1" ht="18" customHeight="1">
      <c r="A90" s="2105"/>
      <c r="B90" s="2106"/>
      <c r="C90" s="2106"/>
      <c r="D90" s="2106"/>
      <c r="E90" s="2106"/>
      <c r="F90" s="2110" t="s">
        <v>88</v>
      </c>
      <c r="G90" s="2133"/>
      <c r="H90" s="2182">
        <f>H91</f>
        <v>23580</v>
      </c>
      <c r="I90" s="2182">
        <v>23580</v>
      </c>
      <c r="J90" s="2113">
        <f>H90-I90</f>
        <v>0</v>
      </c>
      <c r="K90" s="2183"/>
      <c r="L90" s="2184"/>
      <c r="M90" s="2185"/>
      <c r="N90" s="2186"/>
      <c r="O90" s="2167"/>
      <c r="P90" s="2187"/>
      <c r="Q90" s="2167"/>
      <c r="R90" s="2167"/>
      <c r="S90" s="2167"/>
      <c r="T90" s="2167"/>
      <c r="U90" s="2167"/>
      <c r="V90" s="2167"/>
      <c r="W90" s="2167"/>
      <c r="X90" s="2167"/>
    </row>
    <row r="91" spans="1:24" s="2137" customFormat="1" ht="18" customHeight="1">
      <c r="A91" s="2105"/>
      <c r="B91" s="2106"/>
      <c r="C91" s="2106"/>
      <c r="D91" s="2106"/>
      <c r="E91" s="2106"/>
      <c r="F91" s="2188"/>
      <c r="G91" s="2106" t="s">
        <v>77</v>
      </c>
      <c r="H91" s="2127">
        <f>M91</f>
        <v>23580</v>
      </c>
      <c r="I91" s="2127">
        <v>23580</v>
      </c>
      <c r="J91" s="2127">
        <f>H91-I91</f>
        <v>0</v>
      </c>
      <c r="K91" s="2170" t="s">
        <v>1928</v>
      </c>
      <c r="L91" s="2128"/>
      <c r="M91" s="2172">
        <f>SUM(M92:M93)</f>
        <v>23580</v>
      </c>
      <c r="N91" s="2117"/>
      <c r="O91" s="2091"/>
      <c r="P91" s="2685"/>
      <c r="Q91" s="2686"/>
      <c r="R91" s="2686"/>
      <c r="S91" s="2091"/>
      <c r="T91" s="2091"/>
      <c r="U91" s="2091"/>
      <c r="V91" s="2091"/>
      <c r="W91" s="2090"/>
      <c r="X91" s="2090"/>
    </row>
    <row r="92" spans="1:24" s="2137" customFormat="1" ht="18" customHeight="1">
      <c r="A92" s="2105"/>
      <c r="B92" s="2106"/>
      <c r="C92" s="2106"/>
      <c r="D92" s="2106"/>
      <c r="E92" s="2106"/>
      <c r="F92" s="2106"/>
      <c r="G92" s="2106"/>
      <c r="H92" s="2127"/>
      <c r="I92" s="2127"/>
      <c r="J92" s="2127"/>
      <c r="K92" s="2175" t="s">
        <v>2421</v>
      </c>
      <c r="L92" s="2067" t="s">
        <v>6</v>
      </c>
      <c r="M92" s="2151">
        <f>ROUNDUP(P92*Q92*R92*S92/1000,0)</f>
        <v>18480</v>
      </c>
      <c r="N92" s="2068" t="s">
        <v>1929</v>
      </c>
      <c r="O92" s="2091"/>
      <c r="P92" s="2644">
        <v>20000</v>
      </c>
      <c r="Q92" s="2645">
        <v>7</v>
      </c>
      <c r="R92" s="2645">
        <v>11</v>
      </c>
      <c r="S92" s="2091">
        <v>12</v>
      </c>
      <c r="T92" s="2091"/>
      <c r="U92" s="2091"/>
      <c r="V92" s="2091"/>
      <c r="W92" s="2090"/>
      <c r="X92" s="2090"/>
    </row>
    <row r="93" spans="1:24" s="2137" customFormat="1" ht="18" customHeight="1">
      <c r="A93" s="2105"/>
      <c r="B93" s="2106"/>
      <c r="C93" s="2106"/>
      <c r="D93" s="2106"/>
      <c r="E93" s="2106"/>
      <c r="F93" s="2106"/>
      <c r="G93" s="2106"/>
      <c r="H93" s="2127"/>
      <c r="I93" s="2127"/>
      <c r="J93" s="2127"/>
      <c r="K93" s="2175" t="s">
        <v>1930</v>
      </c>
      <c r="L93" s="2067" t="s">
        <v>6</v>
      </c>
      <c r="M93" s="2151">
        <f>ROUNDUP(P93*Q93*R93*S93/1000,0)</f>
        <v>5100</v>
      </c>
      <c r="N93" s="2068" t="s">
        <v>1929</v>
      </c>
      <c r="O93" s="2091"/>
      <c r="P93" s="2644">
        <v>85000</v>
      </c>
      <c r="Q93" s="2645">
        <v>5</v>
      </c>
      <c r="R93" s="2645">
        <v>3</v>
      </c>
      <c r="S93" s="2091">
        <v>4</v>
      </c>
      <c r="T93" s="2091"/>
      <c r="U93" s="2091"/>
      <c r="V93" s="2091"/>
      <c r="W93" s="2090"/>
      <c r="X93" s="2090"/>
    </row>
    <row r="94" spans="1:24" s="2179" customFormat="1" ht="18" customHeight="1">
      <c r="A94" s="2105"/>
      <c r="B94" s="2106"/>
      <c r="C94" s="2106"/>
      <c r="D94" s="2106"/>
      <c r="E94" s="2106"/>
      <c r="F94" s="2110" t="s">
        <v>53</v>
      </c>
      <c r="G94" s="2133"/>
      <c r="H94" s="2189">
        <f>H95</f>
        <v>11700</v>
      </c>
      <c r="I94" s="2189">
        <v>11700</v>
      </c>
      <c r="J94" s="2112">
        <f>H94-I94</f>
        <v>0</v>
      </c>
      <c r="K94" s="2190"/>
      <c r="L94" s="2191"/>
      <c r="M94" s="2116"/>
      <c r="N94" s="2192"/>
      <c r="O94" s="2090"/>
      <c r="P94" s="2710"/>
      <c r="Q94" s="2711"/>
      <c r="R94" s="2711"/>
      <c r="S94" s="2090"/>
      <c r="T94" s="2090"/>
      <c r="U94" s="2090"/>
      <c r="V94" s="2090"/>
      <c r="W94" s="2090"/>
      <c r="X94" s="2090"/>
    </row>
    <row r="95" spans="1:24" s="2179" customFormat="1" ht="18" customHeight="1">
      <c r="A95" s="2105"/>
      <c r="B95" s="2106"/>
      <c r="C95" s="2106"/>
      <c r="D95" s="2106"/>
      <c r="E95" s="2106"/>
      <c r="F95" s="2106"/>
      <c r="G95" s="2106" t="s">
        <v>50</v>
      </c>
      <c r="H95" s="2141">
        <f>M95</f>
        <v>11700</v>
      </c>
      <c r="I95" s="2141">
        <v>11700</v>
      </c>
      <c r="J95" s="2127">
        <f>H95-I95</f>
        <v>0</v>
      </c>
      <c r="K95" s="2170" t="s">
        <v>378</v>
      </c>
      <c r="L95" s="2128"/>
      <c r="M95" s="2172">
        <f>M96</f>
        <v>11700</v>
      </c>
      <c r="N95" s="3016" t="s">
        <v>499</v>
      </c>
      <c r="O95" s="2090"/>
      <c r="P95" s="2710"/>
      <c r="Q95" s="2711"/>
      <c r="R95" s="2711"/>
      <c r="S95" s="2090"/>
      <c r="T95" s="2090"/>
      <c r="U95" s="2090"/>
      <c r="V95" s="2090"/>
      <c r="W95" s="2090"/>
      <c r="X95" s="2090"/>
    </row>
    <row r="96" spans="1:24" s="2179" customFormat="1" ht="18" customHeight="1">
      <c r="A96" s="2105"/>
      <c r="B96" s="2106"/>
      <c r="C96" s="2106"/>
      <c r="D96" s="2106"/>
      <c r="E96" s="2106"/>
      <c r="F96" s="2106"/>
      <c r="G96" s="2106"/>
      <c r="H96" s="2141"/>
      <c r="I96" s="2141"/>
      <c r="J96" s="2127"/>
      <c r="K96" s="2170" t="s">
        <v>1931</v>
      </c>
      <c r="L96" s="2128"/>
      <c r="M96" s="2172">
        <f>SUM(M97:M99)</f>
        <v>11700</v>
      </c>
      <c r="N96" s="3017"/>
      <c r="O96" s="2090"/>
      <c r="P96" s="2710"/>
      <c r="Q96" s="2711"/>
      <c r="R96" s="2711"/>
      <c r="S96" s="2090"/>
      <c r="T96" s="2090"/>
      <c r="U96" s="2090"/>
      <c r="V96" s="2090"/>
      <c r="W96" s="2090"/>
      <c r="X96" s="2090"/>
    </row>
    <row r="97" spans="1:24" s="2179" customFormat="1" ht="18" customHeight="1">
      <c r="A97" s="2105"/>
      <c r="B97" s="2106"/>
      <c r="C97" s="2106"/>
      <c r="D97" s="2106"/>
      <c r="E97" s="2106"/>
      <c r="F97" s="2106"/>
      <c r="G97" s="2106"/>
      <c r="H97" s="2141"/>
      <c r="I97" s="2141"/>
      <c r="J97" s="2127"/>
      <c r="K97" s="2177" t="s">
        <v>1932</v>
      </c>
      <c r="L97" s="2067" t="s">
        <v>6</v>
      </c>
      <c r="M97" s="2143">
        <v>4800</v>
      </c>
      <c r="N97" s="2068" t="s">
        <v>1933</v>
      </c>
      <c r="O97" s="2090"/>
      <c r="P97" s="2193"/>
      <c r="Q97" s="2090"/>
      <c r="R97" s="2090"/>
      <c r="S97" s="2090"/>
      <c r="T97" s="2090"/>
      <c r="U97" s="2090"/>
      <c r="V97" s="2090"/>
      <c r="W97" s="2090"/>
      <c r="X97" s="2090"/>
    </row>
    <row r="98" spans="1:24" s="2179" customFormat="1" ht="18" customHeight="1">
      <c r="A98" s="2105"/>
      <c r="B98" s="2106"/>
      <c r="C98" s="2106"/>
      <c r="D98" s="2106"/>
      <c r="E98" s="2106"/>
      <c r="F98" s="2106"/>
      <c r="G98" s="2106"/>
      <c r="H98" s="2141"/>
      <c r="I98" s="2141"/>
      <c r="J98" s="2127"/>
      <c r="K98" s="2177" t="s">
        <v>1934</v>
      </c>
      <c r="L98" s="2194" t="s">
        <v>6</v>
      </c>
      <c r="M98" s="2195">
        <v>4800</v>
      </c>
      <c r="N98" s="2068" t="s">
        <v>1933</v>
      </c>
      <c r="O98" s="2090"/>
      <c r="P98" s="2091"/>
      <c r="Q98" s="2091"/>
      <c r="R98" s="2091"/>
      <c r="S98" s="2090"/>
      <c r="T98" s="2090"/>
      <c r="U98" s="2090"/>
      <c r="V98" s="2090"/>
      <c r="W98" s="2090"/>
      <c r="X98" s="2090"/>
    </row>
    <row r="99" spans="1:24" s="2199" customFormat="1" ht="18" customHeight="1">
      <c r="A99" s="2105"/>
      <c r="B99" s="2106"/>
      <c r="C99" s="2106"/>
      <c r="D99" s="2145"/>
      <c r="E99" s="2145"/>
      <c r="F99" s="2145"/>
      <c r="G99" s="2145"/>
      <c r="H99" s="2147"/>
      <c r="I99" s="2147"/>
      <c r="J99" s="2113"/>
      <c r="K99" s="2196" t="s">
        <v>1935</v>
      </c>
      <c r="L99" s="2197" t="s">
        <v>6</v>
      </c>
      <c r="M99" s="2198">
        <v>2100</v>
      </c>
      <c r="N99" s="2070" t="s">
        <v>1936</v>
      </c>
      <c r="O99" s="2167"/>
      <c r="P99" s="2167"/>
      <c r="Q99" s="2167"/>
      <c r="R99" s="2167"/>
      <c r="S99" s="2167"/>
      <c r="T99" s="2167"/>
      <c r="U99" s="2167"/>
      <c r="V99" s="2167"/>
      <c r="W99" s="2167"/>
      <c r="X99" s="2167"/>
    </row>
    <row r="100" spans="1:24" s="2" customFormat="1" ht="18" customHeight="1">
      <c r="A100" s="64"/>
      <c r="B100" s="22"/>
      <c r="C100" s="22"/>
      <c r="D100" s="1026" t="s">
        <v>1937</v>
      </c>
      <c r="E100" s="1027"/>
      <c r="F100" s="1027"/>
      <c r="G100" s="1028"/>
      <c r="H100" s="2100">
        <f>H101</f>
        <v>54854</v>
      </c>
      <c r="I100" s="2100">
        <f>I101</f>
        <v>71254</v>
      </c>
      <c r="J100" s="51">
        <f>H100-I100</f>
        <v>-16400</v>
      </c>
      <c r="K100" s="1022"/>
      <c r="L100" s="849"/>
      <c r="M100" s="2095"/>
      <c r="N100" s="2096"/>
      <c r="O100" s="3"/>
      <c r="P100" s="68"/>
      <c r="Q100" s="1023"/>
      <c r="R100" s="1023"/>
      <c r="S100" s="1023"/>
      <c r="T100" s="1024"/>
      <c r="U100" s="1025"/>
    </row>
    <row r="101" spans="1:24" s="2" customFormat="1" ht="18" customHeight="1">
      <c r="A101" s="64"/>
      <c r="B101" s="22"/>
      <c r="C101" s="832"/>
      <c r="D101" s="1032"/>
      <c r="E101" s="1026" t="s">
        <v>1861</v>
      </c>
      <c r="F101" s="1027"/>
      <c r="G101" s="1028"/>
      <c r="H101" s="51">
        <f>H102+H111</f>
        <v>54854</v>
      </c>
      <c r="I101" s="51">
        <f>I102+I111</f>
        <v>71254</v>
      </c>
      <c r="J101" s="51">
        <f>H101-I101</f>
        <v>-16400</v>
      </c>
      <c r="K101" s="2102"/>
      <c r="L101" s="2103"/>
      <c r="M101" s="2104">
        <f>M134+M258+M264+M267+M322</f>
        <v>9880</v>
      </c>
      <c r="N101" s="2096"/>
      <c r="O101" s="3"/>
      <c r="P101" s="68"/>
      <c r="Q101" s="1023"/>
      <c r="R101" s="1023"/>
      <c r="S101" s="1023"/>
      <c r="T101" s="76"/>
      <c r="U101" s="1025"/>
    </row>
    <row r="102" spans="1:24" s="2137" customFormat="1" ht="18" customHeight="1">
      <c r="A102" s="2105"/>
      <c r="B102" s="2106"/>
      <c r="C102" s="2106"/>
      <c r="D102" s="2106"/>
      <c r="E102" s="2106"/>
      <c r="F102" s="2110" t="s">
        <v>494</v>
      </c>
      <c r="G102" s="2133"/>
      <c r="H102" s="2112">
        <f>H103+H105</f>
        <v>10354</v>
      </c>
      <c r="I102" s="2112">
        <v>10354</v>
      </c>
      <c r="J102" s="2112">
        <f>H102-I102</f>
        <v>0</v>
      </c>
      <c r="K102" s="2200"/>
      <c r="L102" s="2201"/>
      <c r="M102" s="2202"/>
      <c r="N102" s="2203"/>
      <c r="O102" s="2179"/>
      <c r="P102" s="2179"/>
      <c r="Q102" s="2179"/>
      <c r="R102" s="2179"/>
      <c r="S102" s="2179"/>
      <c r="T102" s="2179"/>
      <c r="U102" s="2179"/>
      <c r="V102" s="2179"/>
      <c r="W102" s="2179"/>
      <c r="X102" s="2179"/>
    </row>
    <row r="103" spans="1:24" s="2137" customFormat="1" ht="18" customHeight="1">
      <c r="A103" s="2105"/>
      <c r="B103" s="2106"/>
      <c r="C103" s="2106"/>
      <c r="D103" s="2106"/>
      <c r="E103" s="2106"/>
      <c r="F103" s="2188"/>
      <c r="G103" s="2106" t="s">
        <v>379</v>
      </c>
      <c r="H103" s="2141">
        <f>M103</f>
        <v>1000</v>
      </c>
      <c r="I103" s="2141">
        <v>1000</v>
      </c>
      <c r="J103" s="2127">
        <f>H103-I103</f>
        <v>0</v>
      </c>
      <c r="K103" s="2204" t="s">
        <v>379</v>
      </c>
      <c r="L103" s="2205"/>
      <c r="M103" s="2206">
        <f>M104</f>
        <v>1000</v>
      </c>
      <c r="N103" s="2125"/>
      <c r="O103" s="2179"/>
      <c r="P103" s="2179"/>
      <c r="Q103" s="2179"/>
      <c r="R103" s="2179"/>
      <c r="S103" s="2179"/>
      <c r="T103" s="2179"/>
      <c r="U103" s="2179"/>
      <c r="V103" s="2179"/>
      <c r="W103" s="2179"/>
      <c r="X103" s="2179"/>
    </row>
    <row r="104" spans="1:24" s="2137" customFormat="1" ht="18" customHeight="1">
      <c r="A104" s="2105"/>
      <c r="B104" s="2106"/>
      <c r="C104" s="2106"/>
      <c r="D104" s="2106"/>
      <c r="E104" s="2106"/>
      <c r="F104" s="2188"/>
      <c r="G104" s="2145"/>
      <c r="H104" s="2147"/>
      <c r="I104" s="2147"/>
      <c r="J104" s="2113"/>
      <c r="K104" s="2207" t="s">
        <v>495</v>
      </c>
      <c r="L104" s="2184" t="s">
        <v>6</v>
      </c>
      <c r="M104" s="2208">
        <v>1000</v>
      </c>
      <c r="N104" s="2186" t="s">
        <v>496</v>
      </c>
      <c r="O104" s="2179"/>
      <c r="P104" s="2209">
        <v>500000</v>
      </c>
      <c r="Q104" s="2179">
        <v>2</v>
      </c>
      <c r="R104" s="2179"/>
      <c r="S104" s="2179"/>
      <c r="T104" s="2179"/>
      <c r="U104" s="2179"/>
      <c r="V104" s="2179"/>
      <c r="W104" s="2179"/>
      <c r="X104" s="2179"/>
    </row>
    <row r="105" spans="1:24" s="2137" customFormat="1" ht="18" customHeight="1">
      <c r="A105" s="2105"/>
      <c r="B105" s="2106"/>
      <c r="C105" s="2106"/>
      <c r="D105" s="2106"/>
      <c r="E105" s="2106"/>
      <c r="F105" s="2188"/>
      <c r="G105" s="2106" t="s">
        <v>497</v>
      </c>
      <c r="H105" s="2141">
        <f>M105</f>
        <v>9354</v>
      </c>
      <c r="I105" s="2141">
        <v>9354</v>
      </c>
      <c r="J105" s="2127">
        <f>H105-I105</f>
        <v>0</v>
      </c>
      <c r="K105" s="2210" t="s">
        <v>497</v>
      </c>
      <c r="L105" s="2211"/>
      <c r="M105" s="2212">
        <f>SUM(M106:M110)</f>
        <v>9354</v>
      </c>
      <c r="N105" s="2117"/>
      <c r="O105" s="2179"/>
      <c r="P105" s="2209"/>
      <c r="Q105" s="2179"/>
      <c r="R105" s="2179"/>
      <c r="S105" s="2179"/>
      <c r="T105" s="2179"/>
      <c r="U105" s="2179"/>
      <c r="V105" s="2179"/>
      <c r="W105" s="2179"/>
      <c r="X105" s="2179"/>
    </row>
    <row r="106" spans="1:24" s="2137" customFormat="1" ht="18" customHeight="1">
      <c r="A106" s="2105"/>
      <c r="B106" s="2106"/>
      <c r="C106" s="2106"/>
      <c r="D106" s="2118"/>
      <c r="E106" s="2118"/>
      <c r="F106" s="2165"/>
      <c r="G106" s="2118"/>
      <c r="H106" s="2141"/>
      <c r="I106" s="2141"/>
      <c r="J106" s="2127"/>
      <c r="K106" s="2142" t="s">
        <v>1938</v>
      </c>
      <c r="L106" s="2067" t="s">
        <v>6</v>
      </c>
      <c r="M106" s="2174">
        <f>ROUNDUP(P106*Q106*R106/1000,0)</f>
        <v>1584</v>
      </c>
      <c r="N106" s="2068" t="s">
        <v>1939</v>
      </c>
      <c r="O106" s="2179"/>
      <c r="P106" s="2695">
        <v>8800</v>
      </c>
      <c r="Q106" s="2654">
        <v>15</v>
      </c>
      <c r="R106" s="2213">
        <v>12</v>
      </c>
      <c r="S106" s="2179"/>
      <c r="T106" s="2179"/>
      <c r="U106" s="2179"/>
      <c r="V106" s="2179"/>
      <c r="W106" s="2179"/>
      <c r="X106" s="2179"/>
    </row>
    <row r="107" spans="1:24" s="2090" customFormat="1" ht="18" customHeight="1">
      <c r="A107" s="2105"/>
      <c r="B107" s="2106"/>
      <c r="C107" s="2106"/>
      <c r="D107" s="2118"/>
      <c r="E107" s="2118"/>
      <c r="F107" s="2165"/>
      <c r="G107" s="2118"/>
      <c r="H107" s="2141"/>
      <c r="I107" s="2141"/>
      <c r="J107" s="2127"/>
      <c r="K107" s="2142" t="s">
        <v>1940</v>
      </c>
      <c r="L107" s="2067" t="s">
        <v>6</v>
      </c>
      <c r="M107" s="2174">
        <f>ROUNDUP(P107*Q107*R107/1000,0)</f>
        <v>2160</v>
      </c>
      <c r="N107" s="2068" t="s">
        <v>1941</v>
      </c>
      <c r="O107" s="2179"/>
      <c r="P107" s="2695">
        <v>60000</v>
      </c>
      <c r="Q107" s="2654">
        <v>3</v>
      </c>
      <c r="R107" s="2213">
        <v>12</v>
      </c>
      <c r="S107" s="2179"/>
      <c r="T107" s="2179"/>
      <c r="U107" s="2179"/>
      <c r="V107" s="2179"/>
      <c r="W107" s="2179"/>
      <c r="X107" s="2179"/>
    </row>
    <row r="108" spans="1:24" s="2090" customFormat="1" ht="18" customHeight="1">
      <c r="A108" s="2105"/>
      <c r="B108" s="2106"/>
      <c r="C108" s="2106"/>
      <c r="D108" s="2118"/>
      <c r="E108" s="2118"/>
      <c r="F108" s="2165"/>
      <c r="G108" s="2118"/>
      <c r="H108" s="2141"/>
      <c r="I108" s="2141"/>
      <c r="J108" s="2127"/>
      <c r="K108" s="2142" t="s">
        <v>1942</v>
      </c>
      <c r="L108" s="2067" t="s">
        <v>6</v>
      </c>
      <c r="M108" s="2174">
        <f>ROUNDUP(P108*Q108*R108/1000,0)</f>
        <v>3168</v>
      </c>
      <c r="N108" s="2068" t="s">
        <v>1943</v>
      </c>
      <c r="O108" s="2179"/>
      <c r="P108" s="2695">
        <v>22000</v>
      </c>
      <c r="Q108" s="2654">
        <v>12</v>
      </c>
      <c r="R108" s="2213">
        <v>12</v>
      </c>
      <c r="S108" s="2179"/>
      <c r="T108" s="2179"/>
      <c r="U108" s="2179"/>
      <c r="V108" s="2179"/>
      <c r="W108" s="2179"/>
      <c r="X108" s="2179"/>
    </row>
    <row r="109" spans="1:24" s="2090" customFormat="1" ht="18" customHeight="1">
      <c r="A109" s="2105"/>
      <c r="B109" s="2106"/>
      <c r="C109" s="2106"/>
      <c r="D109" s="2106"/>
      <c r="E109" s="2106"/>
      <c r="F109" s="2126"/>
      <c r="G109" s="2126"/>
      <c r="H109" s="2141"/>
      <c r="I109" s="2141"/>
      <c r="J109" s="2127"/>
      <c r="K109" s="2142" t="s">
        <v>1944</v>
      </c>
      <c r="L109" s="2067" t="s">
        <v>6</v>
      </c>
      <c r="M109" s="2174">
        <f>ROUNDUP(P109*Q109*R109/1000,0)</f>
        <v>330</v>
      </c>
      <c r="N109" s="2068" t="s">
        <v>1945</v>
      </c>
      <c r="O109" s="2179"/>
      <c r="P109" s="2695">
        <v>33000</v>
      </c>
      <c r="Q109" s="2654">
        <v>10</v>
      </c>
      <c r="R109" s="2213">
        <v>1</v>
      </c>
      <c r="S109" s="2179"/>
      <c r="T109" s="2179"/>
      <c r="U109" s="2179"/>
      <c r="V109" s="2179"/>
      <c r="W109" s="2179"/>
      <c r="X109" s="2179"/>
    </row>
    <row r="110" spans="1:24" s="2090" customFormat="1" ht="18" customHeight="1">
      <c r="A110" s="2105"/>
      <c r="B110" s="2106"/>
      <c r="C110" s="2106"/>
      <c r="D110" s="2106"/>
      <c r="E110" s="2106"/>
      <c r="F110" s="2126"/>
      <c r="G110" s="2126"/>
      <c r="H110" s="2141"/>
      <c r="I110" s="2141"/>
      <c r="J110" s="2127"/>
      <c r="K110" s="2142" t="s">
        <v>1946</v>
      </c>
      <c r="L110" s="2067" t="s">
        <v>6</v>
      </c>
      <c r="M110" s="2174">
        <f>ROUNDUP(P110*Q110*R110/1000,0)</f>
        <v>2112</v>
      </c>
      <c r="N110" s="2068" t="s">
        <v>1947</v>
      </c>
      <c r="O110" s="2179"/>
      <c r="P110" s="2644">
        <v>22000</v>
      </c>
      <c r="Q110" s="2645">
        <v>8</v>
      </c>
      <c r="R110" s="2213">
        <v>12</v>
      </c>
      <c r="S110" s="2179"/>
      <c r="T110" s="2179"/>
      <c r="U110" s="2179"/>
      <c r="V110" s="2179"/>
      <c r="W110" s="2179"/>
      <c r="X110" s="2179"/>
    </row>
    <row r="111" spans="1:24" s="2090" customFormat="1" ht="18" customHeight="1">
      <c r="A111" s="2105"/>
      <c r="B111" s="2106"/>
      <c r="C111" s="2106"/>
      <c r="D111" s="2106"/>
      <c r="E111" s="2106"/>
      <c r="F111" s="2110" t="s">
        <v>46</v>
      </c>
      <c r="G111" s="2133"/>
      <c r="H111" s="2112">
        <f>H112</f>
        <v>44500</v>
      </c>
      <c r="I111" s="2112">
        <v>60900</v>
      </c>
      <c r="J111" s="2112">
        <f>H111-I111</f>
        <v>-16400</v>
      </c>
      <c r="K111" s="2214"/>
      <c r="L111" s="2215"/>
      <c r="M111" s="2216"/>
      <c r="N111" s="2681"/>
      <c r="O111" s="2696"/>
      <c r="P111" s="2179"/>
      <c r="Q111" s="2179"/>
      <c r="R111" s="2179"/>
      <c r="S111" s="2179"/>
      <c r="T111" s="2179"/>
      <c r="U111" s="2179"/>
      <c r="V111" s="2179"/>
      <c r="W111" s="2179"/>
      <c r="X111" s="2179"/>
    </row>
    <row r="112" spans="1:24" s="2179" customFormat="1" ht="18" customHeight="1">
      <c r="A112" s="2105"/>
      <c r="B112" s="2106"/>
      <c r="C112" s="2106"/>
      <c r="D112" s="2106"/>
      <c r="E112" s="2106"/>
      <c r="F112" s="2188"/>
      <c r="G112" s="2106" t="s">
        <v>498</v>
      </c>
      <c r="H112" s="2141">
        <f>M112</f>
        <v>44500</v>
      </c>
      <c r="I112" s="2141">
        <v>60900</v>
      </c>
      <c r="J112" s="2127">
        <f>H112-I112</f>
        <v>-16400</v>
      </c>
      <c r="K112" s="2170" t="s">
        <v>498</v>
      </c>
      <c r="L112" s="2128" t="s">
        <v>6</v>
      </c>
      <c r="M112" s="2172">
        <f>SUM(M113:M133)</f>
        <v>44500</v>
      </c>
      <c r="N112" s="2125"/>
    </row>
    <row r="113" spans="1:24" s="2179" customFormat="1" ht="18" customHeight="1">
      <c r="A113" s="2105"/>
      <c r="B113" s="2106"/>
      <c r="C113" s="2106"/>
      <c r="D113" s="2118"/>
      <c r="E113" s="2118"/>
      <c r="F113" s="2165"/>
      <c r="G113" s="2118"/>
      <c r="H113" s="2141"/>
      <c r="I113" s="2141"/>
      <c r="J113" s="2127"/>
      <c r="K113" s="2651" t="s">
        <v>1948</v>
      </c>
      <c r="L113" s="2652" t="s">
        <v>6</v>
      </c>
      <c r="M113" s="2143">
        <f t="shared" ref="M113:M133" si="5">ROUNDUP(P113*Q113/1000,0)</f>
        <v>3100</v>
      </c>
      <c r="N113" s="2068" t="s">
        <v>1949</v>
      </c>
      <c r="P113" s="2653">
        <v>100000</v>
      </c>
      <c r="Q113" s="2213">
        <v>31</v>
      </c>
    </row>
    <row r="114" spans="1:24" s="2179" customFormat="1" ht="18" customHeight="1">
      <c r="A114" s="2105"/>
      <c r="B114" s="2106"/>
      <c r="C114" s="2106"/>
      <c r="D114" s="2118"/>
      <c r="E114" s="2118"/>
      <c r="F114" s="2165"/>
      <c r="G114" s="2118"/>
      <c r="H114" s="2141"/>
      <c r="I114" s="2141"/>
      <c r="J114" s="2127"/>
      <c r="K114" s="2651" t="s">
        <v>1950</v>
      </c>
      <c r="L114" s="2652" t="s">
        <v>6</v>
      </c>
      <c r="M114" s="2143">
        <f t="shared" si="5"/>
        <v>1600</v>
      </c>
      <c r="N114" s="2068" t="s">
        <v>1951</v>
      </c>
      <c r="O114" s="2217"/>
      <c r="P114" s="2653">
        <v>800000</v>
      </c>
      <c r="Q114" s="2213">
        <v>2</v>
      </c>
    </row>
    <row r="115" spans="1:24" s="2179" customFormat="1" ht="18" customHeight="1">
      <c r="A115" s="2105"/>
      <c r="B115" s="2106"/>
      <c r="C115" s="2106"/>
      <c r="D115" s="2118"/>
      <c r="E115" s="2118"/>
      <c r="F115" s="2165"/>
      <c r="G115" s="2118"/>
      <c r="H115" s="2141"/>
      <c r="I115" s="2141"/>
      <c r="J115" s="2127"/>
      <c r="K115" s="2651" t="s">
        <v>1952</v>
      </c>
      <c r="L115" s="2652" t="s">
        <v>6</v>
      </c>
      <c r="M115" s="2143">
        <f t="shared" si="5"/>
        <v>2400</v>
      </c>
      <c r="N115" s="2068" t="s">
        <v>1953</v>
      </c>
      <c r="P115" s="2654">
        <v>200000</v>
      </c>
      <c r="Q115" s="2213">
        <v>12</v>
      </c>
    </row>
    <row r="116" spans="1:24" s="2179" customFormat="1" ht="18" customHeight="1">
      <c r="A116" s="2105"/>
      <c r="B116" s="2106"/>
      <c r="C116" s="2106"/>
      <c r="D116" s="2118"/>
      <c r="E116" s="2118"/>
      <c r="F116" s="2165"/>
      <c r="G116" s="2118"/>
      <c r="H116" s="2141"/>
      <c r="I116" s="2141"/>
      <c r="J116" s="2127"/>
      <c r="K116" s="2651" t="s">
        <v>1954</v>
      </c>
      <c r="L116" s="2652" t="s">
        <v>6</v>
      </c>
      <c r="M116" s="2143">
        <f t="shared" si="5"/>
        <v>3600</v>
      </c>
      <c r="N116" s="2068" t="s">
        <v>1955</v>
      </c>
      <c r="O116" s="2217"/>
      <c r="P116" s="2213">
        <v>300000</v>
      </c>
      <c r="Q116" s="2213">
        <v>12</v>
      </c>
    </row>
    <row r="117" spans="1:24" s="2179" customFormat="1" ht="18" customHeight="1">
      <c r="A117" s="2105"/>
      <c r="B117" s="2106"/>
      <c r="C117" s="2106"/>
      <c r="D117" s="2118"/>
      <c r="E117" s="2118"/>
      <c r="F117" s="2165"/>
      <c r="G117" s="2118"/>
      <c r="H117" s="2141"/>
      <c r="I117" s="2141"/>
      <c r="J117" s="2127"/>
      <c r="K117" s="2664" t="s">
        <v>1956</v>
      </c>
      <c r="L117" s="2640" t="s">
        <v>6</v>
      </c>
      <c r="M117" s="2665">
        <f t="shared" si="5"/>
        <v>800</v>
      </c>
      <c r="N117" s="2068" t="s">
        <v>1957</v>
      </c>
      <c r="O117" s="2217"/>
      <c r="P117" s="2213">
        <v>400000</v>
      </c>
      <c r="Q117" s="2213">
        <v>2</v>
      </c>
    </row>
    <row r="118" spans="1:24" s="2179" customFormat="1" ht="18" customHeight="1">
      <c r="A118" s="2105"/>
      <c r="B118" s="2106"/>
      <c r="C118" s="2106"/>
      <c r="D118" s="2118"/>
      <c r="E118" s="2118"/>
      <c r="F118" s="2165"/>
      <c r="G118" s="2118"/>
      <c r="H118" s="2141"/>
      <c r="I118" s="2141"/>
      <c r="J118" s="2127"/>
      <c r="K118" s="2664" t="s">
        <v>2291</v>
      </c>
      <c r="L118" s="2640" t="s">
        <v>6</v>
      </c>
      <c r="M118" s="2665">
        <f t="shared" si="5"/>
        <v>1000</v>
      </c>
      <c r="N118" s="2068" t="s">
        <v>1958</v>
      </c>
      <c r="O118" s="2655"/>
      <c r="P118" s="2656">
        <v>1000000</v>
      </c>
      <c r="Q118" s="2656">
        <v>1</v>
      </c>
    </row>
    <row r="119" spans="1:24" s="2179" customFormat="1" ht="18" customHeight="1">
      <c r="A119" s="2105"/>
      <c r="B119" s="2106"/>
      <c r="C119" s="2106"/>
      <c r="D119" s="2118"/>
      <c r="E119" s="2118"/>
      <c r="F119" s="2165"/>
      <c r="G119" s="2118"/>
      <c r="H119" s="2141"/>
      <c r="I119" s="2141"/>
      <c r="J119" s="2127"/>
      <c r="K119" s="2664" t="s">
        <v>2292</v>
      </c>
      <c r="L119" s="2640" t="s">
        <v>6</v>
      </c>
      <c r="M119" s="2665">
        <f t="shared" si="5"/>
        <v>2000</v>
      </c>
      <c r="N119" s="2068" t="s">
        <v>1959</v>
      </c>
      <c r="O119" s="2655"/>
      <c r="P119" s="2656">
        <v>2000000</v>
      </c>
      <c r="Q119" s="2656">
        <v>1</v>
      </c>
    </row>
    <row r="120" spans="1:24" s="2179" customFormat="1" ht="18" customHeight="1">
      <c r="A120" s="2105"/>
      <c r="B120" s="2106"/>
      <c r="C120" s="2106"/>
      <c r="D120" s="2118"/>
      <c r="E120" s="2118"/>
      <c r="F120" s="2165"/>
      <c r="G120" s="2118"/>
      <c r="H120" s="2141"/>
      <c r="I120" s="2141"/>
      <c r="J120" s="2127"/>
      <c r="K120" s="2664" t="s">
        <v>2293</v>
      </c>
      <c r="L120" s="2640" t="s">
        <v>6</v>
      </c>
      <c r="M120" s="2665">
        <f t="shared" si="5"/>
        <v>1000</v>
      </c>
      <c r="N120" s="2068" t="s">
        <v>1960</v>
      </c>
      <c r="O120" s="2655"/>
      <c r="P120" s="2656">
        <v>1000000</v>
      </c>
      <c r="Q120" s="2656">
        <v>1</v>
      </c>
    </row>
    <row r="121" spans="1:24" s="2218" customFormat="1" ht="18" customHeight="1">
      <c r="A121" s="2105"/>
      <c r="B121" s="2106"/>
      <c r="C121" s="2106"/>
      <c r="D121" s="2118"/>
      <c r="E121" s="2118"/>
      <c r="F121" s="2165"/>
      <c r="G121" s="2118"/>
      <c r="H121" s="2141"/>
      <c r="I121" s="2141"/>
      <c r="J121" s="2127"/>
      <c r="K121" s="2664" t="s">
        <v>2294</v>
      </c>
      <c r="L121" s="2640" t="s">
        <v>6</v>
      </c>
      <c r="M121" s="2665">
        <f t="shared" si="5"/>
        <v>1000</v>
      </c>
      <c r="N121" s="2068" t="s">
        <v>1961</v>
      </c>
      <c r="O121" s="2657"/>
      <c r="P121" s="2658">
        <v>1000000</v>
      </c>
      <c r="Q121" s="2659">
        <v>1</v>
      </c>
    </row>
    <row r="122" spans="1:24" s="2179" customFormat="1" ht="18" customHeight="1">
      <c r="A122" s="2105"/>
      <c r="B122" s="2106"/>
      <c r="C122" s="2106"/>
      <c r="D122" s="2118"/>
      <c r="E122" s="2118"/>
      <c r="F122" s="2165"/>
      <c r="G122" s="2118"/>
      <c r="H122" s="2141"/>
      <c r="I122" s="2141"/>
      <c r="J122" s="2127"/>
      <c r="K122" s="2697" t="s">
        <v>2295</v>
      </c>
      <c r="L122" s="2640" t="s">
        <v>6</v>
      </c>
      <c r="M122" s="2665">
        <f t="shared" si="5"/>
        <v>2000</v>
      </c>
      <c r="N122" s="2068" t="s">
        <v>1962</v>
      </c>
      <c r="O122" s="2217"/>
      <c r="P122" s="2660">
        <v>2000000</v>
      </c>
      <c r="Q122" s="2219">
        <v>1</v>
      </c>
    </row>
    <row r="123" spans="1:24" s="2179" customFormat="1" ht="18" customHeight="1">
      <c r="A123" s="2105"/>
      <c r="B123" s="2106"/>
      <c r="C123" s="2106"/>
      <c r="D123" s="2118"/>
      <c r="E123" s="2118"/>
      <c r="F123" s="2165"/>
      <c r="G123" s="2118"/>
      <c r="H123" s="2141"/>
      <c r="I123" s="2141"/>
      <c r="J123" s="2127"/>
      <c r="K123" s="2697" t="s">
        <v>2296</v>
      </c>
      <c r="L123" s="2640" t="s">
        <v>6</v>
      </c>
      <c r="M123" s="2665">
        <f t="shared" si="5"/>
        <v>4000</v>
      </c>
      <c r="N123" s="2068" t="s">
        <v>1963</v>
      </c>
      <c r="O123" s="2217"/>
      <c r="P123" s="2661">
        <v>4000000</v>
      </c>
      <c r="Q123" s="2661">
        <v>1</v>
      </c>
    </row>
    <row r="124" spans="1:24" s="2179" customFormat="1" ht="18" customHeight="1">
      <c r="A124" s="2105"/>
      <c r="B124" s="2106"/>
      <c r="C124" s="2106"/>
      <c r="D124" s="2118"/>
      <c r="E124" s="2118"/>
      <c r="F124" s="2118"/>
      <c r="G124" s="2119"/>
      <c r="H124" s="2141"/>
      <c r="I124" s="2141"/>
      <c r="J124" s="2127"/>
      <c r="K124" s="2697" t="s">
        <v>2297</v>
      </c>
      <c r="L124" s="2640" t="s">
        <v>6</v>
      </c>
      <c r="M124" s="2665">
        <f t="shared" si="5"/>
        <v>2000</v>
      </c>
      <c r="N124" s="2068" t="s">
        <v>1964</v>
      </c>
      <c r="O124" s="2217"/>
      <c r="P124" s="2661">
        <v>200000</v>
      </c>
      <c r="Q124" s="2661">
        <v>10</v>
      </c>
    </row>
    <row r="125" spans="1:24" s="2179" customFormat="1" ht="18" customHeight="1">
      <c r="A125" s="2159"/>
      <c r="B125" s="2160"/>
      <c r="C125" s="2160"/>
      <c r="D125" s="2161"/>
      <c r="E125" s="2161"/>
      <c r="F125" s="2161"/>
      <c r="G125" s="2162"/>
      <c r="H125" s="2141"/>
      <c r="I125" s="2141"/>
      <c r="J125" s="2127"/>
      <c r="K125" s="2697" t="s">
        <v>2391</v>
      </c>
      <c r="L125" s="2640" t="s">
        <v>6</v>
      </c>
      <c r="M125" s="2665">
        <f t="shared" si="5"/>
        <v>3000</v>
      </c>
      <c r="N125" s="2068" t="s">
        <v>1965</v>
      </c>
      <c r="O125" s="2220"/>
      <c r="P125" s="2662">
        <v>3000000</v>
      </c>
      <c r="Q125" s="2662">
        <v>1</v>
      </c>
      <c r="R125" s="2221"/>
      <c r="S125" s="2221"/>
      <c r="T125" s="2221"/>
      <c r="U125" s="2221"/>
      <c r="V125" s="2221"/>
      <c r="W125" s="2221"/>
      <c r="X125" s="2221"/>
    </row>
    <row r="126" spans="1:24" s="2179" customFormat="1" ht="18" customHeight="1">
      <c r="A126" s="2159"/>
      <c r="B126" s="2160"/>
      <c r="C126" s="2160"/>
      <c r="D126" s="2161"/>
      <c r="E126" s="2161"/>
      <c r="F126" s="2161"/>
      <c r="G126" s="2162"/>
      <c r="H126" s="2141"/>
      <c r="I126" s="2141"/>
      <c r="J126" s="2127"/>
      <c r="K126" s="2664" t="s">
        <v>2392</v>
      </c>
      <c r="L126" s="2640" t="s">
        <v>6</v>
      </c>
      <c r="M126" s="2665">
        <f t="shared" si="5"/>
        <v>2000</v>
      </c>
      <c r="N126" s="2068" t="s">
        <v>1966</v>
      </c>
      <c r="O126" s="2220"/>
      <c r="P126" s="2662">
        <v>2000000</v>
      </c>
      <c r="Q126" s="2662">
        <v>1</v>
      </c>
      <c r="R126" s="2221"/>
      <c r="S126" s="2221"/>
      <c r="T126" s="2221"/>
      <c r="U126" s="2221"/>
      <c r="V126" s="2221"/>
      <c r="W126" s="2221"/>
      <c r="X126" s="2221"/>
    </row>
    <row r="127" spans="1:24" s="2179" customFormat="1" ht="18" hidden="1" customHeight="1">
      <c r="A127" s="2159"/>
      <c r="B127" s="2160"/>
      <c r="C127" s="2160"/>
      <c r="D127" s="2161"/>
      <c r="E127" s="2161"/>
      <c r="F127" s="2161"/>
      <c r="G127" s="2162"/>
      <c r="H127" s="2141"/>
      <c r="I127" s="2141"/>
      <c r="J127" s="2127"/>
      <c r="K127" s="2664" t="s">
        <v>2298</v>
      </c>
      <c r="L127" s="2640" t="s">
        <v>6</v>
      </c>
      <c r="M127" s="2665">
        <f t="shared" si="5"/>
        <v>0</v>
      </c>
      <c r="N127" s="2068" t="s">
        <v>1967</v>
      </c>
      <c r="O127" s="2220"/>
      <c r="P127" s="2662">
        <v>0</v>
      </c>
      <c r="Q127" s="2662">
        <v>1</v>
      </c>
      <c r="R127" s="2221"/>
      <c r="S127" s="2221"/>
      <c r="T127" s="2221"/>
      <c r="U127" s="2221"/>
      <c r="V127" s="2221"/>
      <c r="W127" s="2221"/>
      <c r="X127" s="2221"/>
    </row>
    <row r="128" spans="1:24" s="2179" customFormat="1" ht="18" customHeight="1">
      <c r="A128" s="2159"/>
      <c r="B128" s="2160"/>
      <c r="C128" s="2160"/>
      <c r="D128" s="2161"/>
      <c r="E128" s="2161"/>
      <c r="F128" s="2161"/>
      <c r="G128" s="2162"/>
      <c r="H128" s="2141"/>
      <c r="I128" s="2141"/>
      <c r="J128" s="2127"/>
      <c r="K128" s="2664" t="s">
        <v>1968</v>
      </c>
      <c r="L128" s="2640" t="s">
        <v>6</v>
      </c>
      <c r="M128" s="2665">
        <f t="shared" si="5"/>
        <v>5000</v>
      </c>
      <c r="N128" s="2068" t="s">
        <v>1969</v>
      </c>
      <c r="O128" s="2220"/>
      <c r="P128" s="2663">
        <v>5000000</v>
      </c>
      <c r="Q128" s="2663">
        <v>1</v>
      </c>
      <c r="R128" s="2221"/>
      <c r="S128" s="2221"/>
      <c r="T128" s="2221"/>
      <c r="U128" s="2221"/>
      <c r="V128" s="2221"/>
      <c r="W128" s="2221"/>
      <c r="X128" s="2221"/>
    </row>
    <row r="129" spans="1:70" s="2179" customFormat="1" ht="18" customHeight="1">
      <c r="A129" s="2159"/>
      <c r="B129" s="2160"/>
      <c r="C129" s="2160"/>
      <c r="D129" s="2161"/>
      <c r="E129" s="2161"/>
      <c r="F129" s="2161"/>
      <c r="G129" s="2162"/>
      <c r="H129" s="2141"/>
      <c r="I129" s="2141"/>
      <c r="J129" s="2127"/>
      <c r="K129" s="2664" t="s">
        <v>1970</v>
      </c>
      <c r="L129" s="2640" t="s">
        <v>6</v>
      </c>
      <c r="M129" s="2665">
        <f>ROUNDUP(P129*Q129/1000,0)</f>
        <v>5000</v>
      </c>
      <c r="N129" s="2068" t="s">
        <v>1971</v>
      </c>
      <c r="O129" s="2220"/>
      <c r="P129" s="2663">
        <v>5000000</v>
      </c>
      <c r="Q129" s="2663">
        <v>1</v>
      </c>
      <c r="R129" s="2221"/>
      <c r="S129" s="2221"/>
      <c r="T129" s="2221"/>
      <c r="U129" s="2221"/>
      <c r="V129" s="2221"/>
      <c r="W129" s="2221"/>
      <c r="X129" s="2221"/>
    </row>
    <row r="130" spans="1:70" s="2179" customFormat="1" ht="18" hidden="1" customHeight="1">
      <c r="A130" s="2159"/>
      <c r="B130" s="2160"/>
      <c r="C130" s="2160"/>
      <c r="D130" s="2161"/>
      <c r="E130" s="2161"/>
      <c r="F130" s="2161"/>
      <c r="G130" s="2162"/>
      <c r="H130" s="2141"/>
      <c r="I130" s="2141"/>
      <c r="J130" s="2127"/>
      <c r="K130" s="2664" t="s">
        <v>1972</v>
      </c>
      <c r="L130" s="2640" t="s">
        <v>6</v>
      </c>
      <c r="M130" s="2665">
        <f>ROUNDUP(P130*Q130/1000,0)</f>
        <v>0</v>
      </c>
      <c r="N130" s="2068" t="s">
        <v>1973</v>
      </c>
      <c r="O130" s="2220"/>
      <c r="P130" s="2663">
        <v>0</v>
      </c>
      <c r="Q130" s="2663">
        <v>1</v>
      </c>
      <c r="R130" s="2221"/>
      <c r="S130" s="2221"/>
      <c r="T130" s="2221"/>
      <c r="U130" s="2221"/>
      <c r="V130" s="2221"/>
      <c r="W130" s="2221"/>
      <c r="X130" s="2221"/>
    </row>
    <row r="131" spans="1:70" s="2179" customFormat="1" ht="18" hidden="1" customHeight="1">
      <c r="A131" s="2159"/>
      <c r="B131" s="2160"/>
      <c r="C131" s="2160"/>
      <c r="D131" s="2161"/>
      <c r="E131" s="2161"/>
      <c r="F131" s="2161"/>
      <c r="G131" s="2162"/>
      <c r="H131" s="2141"/>
      <c r="I131" s="2141"/>
      <c r="J131" s="2127"/>
      <c r="K131" s="2664" t="s">
        <v>1974</v>
      </c>
      <c r="L131" s="2640" t="s">
        <v>6</v>
      </c>
      <c r="M131" s="2665">
        <f>ROUNDUP(P131*Q131/1000,0)</f>
        <v>0</v>
      </c>
      <c r="N131" s="2068" t="s">
        <v>1975</v>
      </c>
      <c r="O131" s="2220"/>
      <c r="P131" s="2663">
        <v>0</v>
      </c>
      <c r="Q131" s="2663">
        <v>4</v>
      </c>
      <c r="R131" s="2221"/>
      <c r="S131" s="2221"/>
      <c r="T131" s="2221"/>
      <c r="U131" s="2221"/>
      <c r="V131" s="2221"/>
      <c r="W131" s="2221"/>
      <c r="X131" s="2221"/>
    </row>
    <row r="132" spans="1:70" s="2179" customFormat="1" ht="18" customHeight="1">
      <c r="A132" s="2159"/>
      <c r="B132" s="2160"/>
      <c r="C132" s="2160"/>
      <c r="D132" s="2161"/>
      <c r="E132" s="2161"/>
      <c r="F132" s="2161"/>
      <c r="G132" s="2162"/>
      <c r="H132" s="2141"/>
      <c r="I132" s="2141"/>
      <c r="J132" s="2127"/>
      <c r="K132" s="2664" t="s">
        <v>1976</v>
      </c>
      <c r="L132" s="2640" t="s">
        <v>6</v>
      </c>
      <c r="M132" s="2665">
        <f>ROUNDUP(P132*Q132/1000,0)</f>
        <v>5000</v>
      </c>
      <c r="N132" s="2068" t="s">
        <v>1977</v>
      </c>
      <c r="O132" s="2220"/>
      <c r="P132" s="2663">
        <v>5000000</v>
      </c>
      <c r="Q132" s="2663">
        <v>1</v>
      </c>
      <c r="R132" s="2221"/>
      <c r="S132" s="2221"/>
      <c r="T132" s="2221"/>
      <c r="U132" s="2221"/>
      <c r="V132" s="2221"/>
      <c r="W132" s="2221"/>
      <c r="X132" s="2221"/>
    </row>
    <row r="133" spans="1:70" s="2179" customFormat="1" ht="18" hidden="1" customHeight="1">
      <c r="A133" s="2159"/>
      <c r="B133" s="2160"/>
      <c r="C133" s="2698"/>
      <c r="D133" s="2699"/>
      <c r="E133" s="2161"/>
      <c r="F133" s="2161"/>
      <c r="G133" s="2162"/>
      <c r="H133" s="2141"/>
      <c r="I133" s="2141"/>
      <c r="J133" s="2127"/>
      <c r="K133" s="2664" t="s">
        <v>1978</v>
      </c>
      <c r="L133" s="2640" t="s">
        <v>6</v>
      </c>
      <c r="M133" s="2665">
        <f t="shared" si="5"/>
        <v>0</v>
      </c>
      <c r="N133" s="2068" t="s">
        <v>1979</v>
      </c>
      <c r="O133" s="2220"/>
      <c r="P133" s="2663">
        <v>0</v>
      </c>
      <c r="Q133" s="2663">
        <v>1</v>
      </c>
      <c r="R133" s="2221"/>
      <c r="S133" s="2221"/>
      <c r="T133" s="2221"/>
      <c r="U133" s="2221"/>
      <c r="V133" s="2221"/>
      <c r="W133" s="2221"/>
      <c r="X133" s="2221"/>
    </row>
    <row r="134" spans="1:70" s="2" customFormat="1" ht="18" customHeight="1">
      <c r="A134" s="64"/>
      <c r="B134" s="22"/>
      <c r="C134" s="1299" t="s">
        <v>908</v>
      </c>
      <c r="D134" s="1027"/>
      <c r="E134" s="1027"/>
      <c r="F134" s="1027"/>
      <c r="G134" s="1028"/>
      <c r="H134" s="825">
        <f>H135+H201</f>
        <v>747817</v>
      </c>
      <c r="I134" s="825">
        <f>I135+I201</f>
        <v>745283</v>
      </c>
      <c r="J134" s="826">
        <f t="shared" ref="J134:J139" si="6">H134-I134</f>
        <v>2534</v>
      </c>
      <c r="K134" s="1119"/>
      <c r="L134" s="1056"/>
      <c r="M134" s="1057"/>
      <c r="N134" s="2098"/>
      <c r="O134" s="2099"/>
      <c r="P134" s="2099"/>
      <c r="Q134" s="2099"/>
      <c r="R134" s="2099"/>
      <c r="S134" s="2099"/>
      <c r="T134" s="2099"/>
      <c r="U134" s="2099"/>
    </row>
    <row r="135" spans="1:70" s="2" customFormat="1" ht="18" customHeight="1">
      <c r="A135" s="64"/>
      <c r="B135" s="22"/>
      <c r="C135" s="25"/>
      <c r="D135" s="1026" t="s">
        <v>858</v>
      </c>
      <c r="E135" s="1027"/>
      <c r="F135" s="1027"/>
      <c r="G135" s="1028"/>
      <c r="H135" s="1029">
        <f>H136+H149</f>
        <v>677961</v>
      </c>
      <c r="I135" s="1029">
        <f>I136+I149</f>
        <v>673743</v>
      </c>
      <c r="J135" s="51">
        <f t="shared" si="6"/>
        <v>4218</v>
      </c>
      <c r="K135" s="684"/>
      <c r="L135" s="1030"/>
      <c r="M135" s="680"/>
      <c r="N135" s="2096"/>
      <c r="O135" s="3"/>
      <c r="P135" s="68"/>
      <c r="Q135" s="1023"/>
      <c r="R135" s="1023"/>
      <c r="S135" s="1023"/>
      <c r="T135" s="1024"/>
      <c r="U135" s="1025"/>
    </row>
    <row r="136" spans="1:70" s="2" customFormat="1" ht="18" customHeight="1">
      <c r="A136" s="64"/>
      <c r="B136" s="22"/>
      <c r="C136" s="1031"/>
      <c r="D136" s="1032"/>
      <c r="E136" s="1026" t="s">
        <v>854</v>
      </c>
      <c r="F136" s="1027"/>
      <c r="G136" s="1028"/>
      <c r="H136" s="825">
        <f>H137</f>
        <v>126328</v>
      </c>
      <c r="I136" s="825">
        <f>I137</f>
        <v>156863</v>
      </c>
      <c r="J136" s="826">
        <f t="shared" si="6"/>
        <v>-30535</v>
      </c>
      <c r="K136" s="728"/>
      <c r="L136" s="827"/>
      <c r="M136" s="694"/>
      <c r="N136" s="2096"/>
      <c r="O136" s="3"/>
      <c r="P136" s="68"/>
      <c r="Q136" s="1023"/>
      <c r="R136" s="1023"/>
      <c r="S136" s="1023"/>
      <c r="T136" s="76"/>
      <c r="U136" s="1025"/>
    </row>
    <row r="137" spans="1:70" s="2234" customFormat="1" ht="18" customHeight="1">
      <c r="A137" s="2222"/>
      <c r="B137" s="2223"/>
      <c r="C137" s="2224"/>
      <c r="D137" s="2225"/>
      <c r="E137" s="2226"/>
      <c r="F137" s="2227" t="s">
        <v>81</v>
      </c>
      <c r="G137" s="2228"/>
      <c r="H137" s="2229">
        <f>H138+H139</f>
        <v>126328</v>
      </c>
      <c r="I137" s="2229">
        <f>I138+I139</f>
        <v>156863</v>
      </c>
      <c r="J137" s="2230">
        <f t="shared" si="6"/>
        <v>-30535</v>
      </c>
      <c r="K137" s="2231"/>
      <c r="L137" s="2232"/>
      <c r="M137" s="2764"/>
      <c r="N137" s="2233"/>
    </row>
    <row r="138" spans="1:70" s="2249" customFormat="1" ht="18" customHeight="1">
      <c r="A138" s="2235"/>
      <c r="B138" s="2236"/>
      <c r="C138" s="2236"/>
      <c r="D138" s="2237"/>
      <c r="E138" s="2237"/>
      <c r="F138" s="2238"/>
      <c r="G138" s="2239" t="s">
        <v>319</v>
      </c>
      <c r="H138" s="2240">
        <v>0</v>
      </c>
      <c r="I138" s="2240">
        <v>0</v>
      </c>
      <c r="J138" s="2241">
        <f t="shared" si="6"/>
        <v>0</v>
      </c>
      <c r="K138" s="2242" t="s">
        <v>666</v>
      </c>
      <c r="L138" s="2243"/>
      <c r="M138" s="2765">
        <v>0</v>
      </c>
      <c r="N138" s="2244" t="s">
        <v>667</v>
      </c>
      <c r="O138" s="2245"/>
      <c r="P138" s="2246"/>
      <c r="Q138" s="2247"/>
      <c r="R138" s="2247"/>
      <c r="S138" s="2247"/>
      <c r="T138" s="2247"/>
      <c r="U138" s="2247"/>
      <c r="V138" s="2247"/>
      <c r="W138" s="2248"/>
      <c r="X138" s="2248"/>
      <c r="Y138" s="2248"/>
      <c r="Z138" s="2248"/>
      <c r="AA138" s="2248"/>
      <c r="AB138" s="2248"/>
      <c r="AC138" s="2248"/>
      <c r="AD138" s="2248"/>
      <c r="AE138" s="2248"/>
      <c r="AF138" s="2248"/>
      <c r="AG138" s="2248"/>
      <c r="AH138" s="2248"/>
      <c r="AI138" s="2248"/>
      <c r="AJ138" s="2248"/>
      <c r="AK138" s="2248"/>
      <c r="AL138" s="2248"/>
      <c r="AM138" s="2248"/>
      <c r="AN138" s="2248"/>
      <c r="AO138" s="2248"/>
      <c r="AP138" s="2248"/>
      <c r="AQ138" s="2248"/>
      <c r="AR138" s="2248"/>
      <c r="AS138" s="2248"/>
      <c r="AT138" s="2248"/>
      <c r="AU138" s="2248"/>
      <c r="AV138" s="2248"/>
      <c r="AW138" s="2248"/>
      <c r="AX138" s="2248"/>
      <c r="AY138" s="2248"/>
      <c r="AZ138" s="2248"/>
      <c r="BA138" s="2248"/>
      <c r="BB138" s="2248"/>
      <c r="BC138" s="2248"/>
      <c r="BD138" s="2248"/>
      <c r="BE138" s="2248"/>
      <c r="BF138" s="2248"/>
      <c r="BG138" s="2248"/>
      <c r="BH138" s="2248"/>
      <c r="BI138" s="2248"/>
      <c r="BJ138" s="2248"/>
      <c r="BK138" s="2248"/>
      <c r="BL138" s="2248"/>
      <c r="BM138" s="2248"/>
      <c r="BN138" s="2248"/>
      <c r="BO138" s="2248"/>
      <c r="BP138" s="2248"/>
      <c r="BQ138" s="2248"/>
      <c r="BR138" s="2248"/>
    </row>
    <row r="139" spans="1:70" s="2234" customFormat="1" ht="18" customHeight="1">
      <c r="A139" s="2222"/>
      <c r="B139" s="2223"/>
      <c r="C139" s="2223"/>
      <c r="D139" s="2250"/>
      <c r="E139" s="2251"/>
      <c r="F139" s="2251"/>
      <c r="G139" s="2252" t="s">
        <v>39</v>
      </c>
      <c r="H139" s="2253">
        <f>M139</f>
        <v>126328</v>
      </c>
      <c r="I139" s="2253">
        <v>156863</v>
      </c>
      <c r="J139" s="2254">
        <f t="shared" si="6"/>
        <v>-30535</v>
      </c>
      <c r="K139" s="2255" t="s">
        <v>1803</v>
      </c>
      <c r="L139" s="2256"/>
      <c r="M139" s="2766">
        <f>M140+M147</f>
        <v>126328</v>
      </c>
      <c r="N139" s="2233"/>
      <c r="O139" s="2257"/>
    </row>
    <row r="140" spans="1:70" s="2234" customFormat="1" ht="18" customHeight="1">
      <c r="A140" s="2222"/>
      <c r="B140" s="2223"/>
      <c r="C140" s="2223"/>
      <c r="D140" s="2250"/>
      <c r="E140" s="2251"/>
      <c r="F140" s="2251"/>
      <c r="G140" s="2258"/>
      <c r="H140" s="2259"/>
      <c r="I140" s="2259"/>
      <c r="J140" s="2260"/>
      <c r="K140" s="2261" t="s">
        <v>1804</v>
      </c>
      <c r="L140" s="2262" t="s">
        <v>6</v>
      </c>
      <c r="M140" s="2706">
        <f>SUM(M141:M146)</f>
        <v>114328</v>
      </c>
      <c r="N140" s="2263" t="s">
        <v>1804</v>
      </c>
      <c r="O140" s="2257"/>
      <c r="P140" s="2129"/>
    </row>
    <row r="141" spans="1:70" s="2234" customFormat="1" ht="18" customHeight="1">
      <c r="A141" s="2222"/>
      <c r="B141" s="2223"/>
      <c r="C141" s="2223"/>
      <c r="D141" s="2250"/>
      <c r="E141" s="2251"/>
      <c r="F141" s="2251"/>
      <c r="G141" s="2258"/>
      <c r="H141" s="2259"/>
      <c r="I141" s="2259"/>
      <c r="J141" s="2260"/>
      <c r="K141" s="1316" t="s">
        <v>1805</v>
      </c>
      <c r="L141" s="2264" t="s">
        <v>6</v>
      </c>
      <c r="M141" s="2708">
        <f>ROUND(P141*Q141*R141*S141*T141/1000,0)</f>
        <v>66830</v>
      </c>
      <c r="N141" s="2263"/>
      <c r="O141" s="2245"/>
      <c r="P141" s="1033">
        <v>10710</v>
      </c>
      <c r="Q141" s="932">
        <v>8</v>
      </c>
      <c r="R141" s="932">
        <v>3</v>
      </c>
      <c r="S141" s="932">
        <v>5</v>
      </c>
      <c r="T141" s="932">
        <v>52</v>
      </c>
    </row>
    <row r="142" spans="1:70" s="2234" customFormat="1" ht="18" customHeight="1">
      <c r="A142" s="2222"/>
      <c r="B142" s="2223"/>
      <c r="C142" s="2223"/>
      <c r="D142" s="2250"/>
      <c r="E142" s="2251"/>
      <c r="F142" s="2251"/>
      <c r="G142" s="2258"/>
      <c r="H142" s="2259"/>
      <c r="I142" s="2259"/>
      <c r="J142" s="2260"/>
      <c r="K142" s="1317" t="s">
        <v>1806</v>
      </c>
      <c r="L142" s="2264" t="s">
        <v>6</v>
      </c>
      <c r="M142" s="2708">
        <f>ROUND(P142*Q142*R142*S142*T142/1000,0)</f>
        <v>20049</v>
      </c>
      <c r="N142" s="2263"/>
      <c r="O142" s="2245"/>
      <c r="P142" s="1033">
        <v>10710</v>
      </c>
      <c r="Q142" s="932">
        <v>8</v>
      </c>
      <c r="R142" s="932">
        <v>1.5</v>
      </c>
      <c r="S142" s="932">
        <v>3</v>
      </c>
      <c r="T142" s="932">
        <v>52</v>
      </c>
    </row>
    <row r="143" spans="1:70" s="2234" customFormat="1" ht="18" customHeight="1">
      <c r="A143" s="2222"/>
      <c r="B143" s="2223"/>
      <c r="C143" s="2223"/>
      <c r="D143" s="2250"/>
      <c r="E143" s="2251"/>
      <c r="F143" s="2251"/>
      <c r="G143" s="2258"/>
      <c r="H143" s="2259"/>
      <c r="I143" s="2259"/>
      <c r="J143" s="2260"/>
      <c r="K143" s="1317" t="s">
        <v>1807</v>
      </c>
      <c r="L143" s="2264" t="s">
        <v>6</v>
      </c>
      <c r="M143" s="2708">
        <f>ROUND(P143*Q143*R143*S143*T143*U143/1000,0)</f>
        <v>2088</v>
      </c>
      <c r="N143" s="2263"/>
      <c r="O143" s="2245"/>
      <c r="P143" s="1033">
        <v>10710</v>
      </c>
      <c r="Q143" s="932">
        <v>0.5</v>
      </c>
      <c r="R143" s="932">
        <v>0.5</v>
      </c>
      <c r="S143" s="932">
        <v>3</v>
      </c>
      <c r="T143" s="932">
        <v>5</v>
      </c>
      <c r="U143" s="2234">
        <v>52</v>
      </c>
    </row>
    <row r="144" spans="1:70" s="2234" customFormat="1" ht="18" customHeight="1">
      <c r="A144" s="2222"/>
      <c r="B144" s="2223"/>
      <c r="C144" s="2223"/>
      <c r="D144" s="2250"/>
      <c r="E144" s="2251"/>
      <c r="F144" s="2251"/>
      <c r="G144" s="2258"/>
      <c r="H144" s="2259"/>
      <c r="I144" s="2259"/>
      <c r="J144" s="2260"/>
      <c r="K144" s="1318" t="s">
        <v>1808</v>
      </c>
      <c r="L144" s="2264" t="s">
        <v>6</v>
      </c>
      <c r="M144" s="2708">
        <f>ROUND(P144*Q144*R144*S144/1000,0)</f>
        <v>3084</v>
      </c>
      <c r="N144" s="2263"/>
      <c r="O144" s="2245"/>
      <c r="P144" s="1033">
        <v>10710</v>
      </c>
      <c r="Q144" s="932">
        <v>8</v>
      </c>
      <c r="R144" s="932">
        <v>3</v>
      </c>
      <c r="S144" s="932">
        <v>12</v>
      </c>
      <c r="T144" s="932"/>
    </row>
    <row r="145" spans="1:24" s="2234" customFormat="1" ht="18" customHeight="1">
      <c r="A145" s="2222"/>
      <c r="B145" s="2223"/>
      <c r="C145" s="2223"/>
      <c r="D145" s="2250"/>
      <c r="E145" s="2251"/>
      <c r="F145" s="2251"/>
      <c r="G145" s="2258"/>
      <c r="H145" s="2259"/>
      <c r="I145" s="2259"/>
      <c r="J145" s="2260"/>
      <c r="K145" s="1317" t="s">
        <v>1809</v>
      </c>
      <c r="L145" s="2264" t="s">
        <v>6</v>
      </c>
      <c r="M145" s="2708">
        <f>ROUND(P145*Q145*R145*S145/1000,0)</f>
        <v>13366</v>
      </c>
      <c r="N145" s="2263"/>
      <c r="O145" s="2245"/>
      <c r="P145" s="1033">
        <v>10710</v>
      </c>
      <c r="Q145" s="932">
        <v>8</v>
      </c>
      <c r="R145" s="932">
        <v>3</v>
      </c>
      <c r="S145" s="932">
        <v>52</v>
      </c>
      <c r="T145" s="932"/>
    </row>
    <row r="146" spans="1:24" s="2234" customFormat="1" ht="18" customHeight="1">
      <c r="A146" s="2222"/>
      <c r="B146" s="2223"/>
      <c r="C146" s="2223"/>
      <c r="D146" s="2250"/>
      <c r="E146" s="2251"/>
      <c r="F146" s="2251"/>
      <c r="G146" s="2258"/>
      <c r="H146" s="2259"/>
      <c r="I146" s="2259"/>
      <c r="J146" s="2260"/>
      <c r="K146" s="1317" t="s">
        <v>1810</v>
      </c>
      <c r="L146" s="2264" t="s">
        <v>6</v>
      </c>
      <c r="M146" s="2708">
        <f>ROUND(P146*Q146*R146*S146*T146/1000,0)</f>
        <v>8911</v>
      </c>
      <c r="N146" s="2263"/>
      <c r="O146" s="2245"/>
      <c r="P146" s="1033">
        <v>10710</v>
      </c>
      <c r="Q146" s="932">
        <v>8</v>
      </c>
      <c r="R146" s="932">
        <v>1</v>
      </c>
      <c r="S146" s="932">
        <v>2</v>
      </c>
      <c r="T146" s="932">
        <v>52</v>
      </c>
    </row>
    <row r="147" spans="1:24" s="2234" customFormat="1" ht="18" customHeight="1">
      <c r="A147" s="2222"/>
      <c r="B147" s="2223"/>
      <c r="C147" s="2223"/>
      <c r="D147" s="2250"/>
      <c r="E147" s="2251"/>
      <c r="F147" s="2251"/>
      <c r="G147" s="2258"/>
      <c r="H147" s="2259"/>
      <c r="I147" s="2259"/>
      <c r="J147" s="2260"/>
      <c r="K147" s="2261" t="s">
        <v>1811</v>
      </c>
      <c r="L147" s="2264" t="s">
        <v>6</v>
      </c>
      <c r="M147" s="2708">
        <f>M148</f>
        <v>12000</v>
      </c>
      <c r="N147" s="2263" t="s">
        <v>1980</v>
      </c>
      <c r="O147" s="2245"/>
      <c r="P147" s="1033"/>
      <c r="Q147" s="932"/>
      <c r="R147" s="932"/>
      <c r="S147" s="932"/>
      <c r="T147" s="932"/>
    </row>
    <row r="148" spans="1:24" s="2234" customFormat="1" ht="18" customHeight="1">
      <c r="A148" s="2222"/>
      <c r="B148" s="2223"/>
      <c r="C148" s="2223"/>
      <c r="D148" s="2250"/>
      <c r="E148" s="2251"/>
      <c r="F148" s="2251"/>
      <c r="G148" s="2258"/>
      <c r="H148" s="2259"/>
      <c r="I148" s="2259"/>
      <c r="J148" s="2260"/>
      <c r="K148" s="1317" t="s">
        <v>1812</v>
      </c>
      <c r="L148" s="2264" t="s">
        <v>6</v>
      </c>
      <c r="M148" s="2708">
        <f>ROUND(P148*Q148*R148/1000,0)</f>
        <v>12000</v>
      </c>
      <c r="N148" s="2263"/>
      <c r="O148" s="2245"/>
      <c r="P148" s="1033">
        <v>1000000</v>
      </c>
      <c r="Q148" s="932">
        <v>1</v>
      </c>
      <c r="R148" s="932">
        <v>12</v>
      </c>
      <c r="S148" s="932"/>
      <c r="T148" s="932"/>
    </row>
    <row r="149" spans="1:24" s="2" customFormat="1" ht="18" customHeight="1">
      <c r="A149" s="64"/>
      <c r="B149" s="22"/>
      <c r="C149" s="832"/>
      <c r="D149" s="832"/>
      <c r="E149" s="1027" t="s">
        <v>855</v>
      </c>
      <c r="F149" s="1027"/>
      <c r="G149" s="1028"/>
      <c r="H149" s="825">
        <f>H150</f>
        <v>551633</v>
      </c>
      <c r="I149" s="825">
        <f>I150</f>
        <v>516880</v>
      </c>
      <c r="J149" s="826">
        <f>H149-I149</f>
        <v>34753</v>
      </c>
      <c r="K149" s="728"/>
      <c r="L149" s="827"/>
      <c r="M149" s="694">
        <f>M150+M201</f>
        <v>551633</v>
      </c>
      <c r="N149" s="2096"/>
      <c r="O149" s="3"/>
      <c r="P149" s="68"/>
      <c r="Q149" s="1023"/>
      <c r="R149" s="1023"/>
      <c r="S149" s="1023"/>
      <c r="T149" s="76"/>
      <c r="U149" s="1025"/>
    </row>
    <row r="150" spans="1:24" s="2234" customFormat="1" ht="18" customHeight="1">
      <c r="A150" s="2265"/>
      <c r="B150" s="2266"/>
      <c r="C150" s="2266"/>
      <c r="D150" s="2223"/>
      <c r="E150" s="2267"/>
      <c r="F150" s="2227" t="s">
        <v>49</v>
      </c>
      <c r="G150" s="2268"/>
      <c r="H150" s="2269">
        <f>M150</f>
        <v>551633</v>
      </c>
      <c r="I150" s="2269">
        <f>SUM(I151+I166+I181+I187+I191)</f>
        <v>516880</v>
      </c>
      <c r="J150" s="2254">
        <f>H150-I150</f>
        <v>34753</v>
      </c>
      <c r="K150" s="2270"/>
      <c r="L150" s="2271"/>
      <c r="M150" s="2767">
        <f>M151+M166+M181+M187+M191</f>
        <v>551633</v>
      </c>
      <c r="N150" s="2272"/>
      <c r="O150" s="2273"/>
      <c r="P150" s="2273"/>
      <c r="Q150" s="2273"/>
      <c r="R150" s="2273"/>
      <c r="S150" s="2273"/>
      <c r="T150" s="2273"/>
      <c r="U150" s="2273"/>
      <c r="V150" s="2273"/>
      <c r="W150" s="2273"/>
      <c r="X150" s="2273"/>
    </row>
    <row r="151" spans="1:24" s="2234" customFormat="1" ht="18" customHeight="1">
      <c r="A151" s="2265"/>
      <c r="B151" s="2266"/>
      <c r="C151" s="2266"/>
      <c r="D151" s="2266"/>
      <c r="E151" s="2266"/>
      <c r="F151" s="2266"/>
      <c r="G151" s="2223" t="s">
        <v>32</v>
      </c>
      <c r="H151" s="2253">
        <f>M151</f>
        <v>23560</v>
      </c>
      <c r="I151" s="2253">
        <v>25660</v>
      </c>
      <c r="J151" s="2254">
        <f>H151-I151</f>
        <v>-2100</v>
      </c>
      <c r="K151" s="2274" t="s">
        <v>856</v>
      </c>
      <c r="L151" s="2275"/>
      <c r="M151" s="2768">
        <f>SUM(M152:M165)</f>
        <v>23560</v>
      </c>
      <c r="N151" s="2272"/>
      <c r="O151" s="2273"/>
      <c r="P151" s="2273"/>
      <c r="Q151" s="2273"/>
      <c r="R151" s="2273"/>
      <c r="S151" s="2273"/>
      <c r="T151" s="2273"/>
      <c r="U151" s="2273"/>
      <c r="V151" s="2273"/>
      <c r="W151" s="2273"/>
      <c r="X151" s="2273"/>
    </row>
    <row r="152" spans="1:24" s="2234" customFormat="1" ht="18" customHeight="1">
      <c r="A152" s="2265"/>
      <c r="B152" s="2266"/>
      <c r="C152" s="2266"/>
      <c r="D152" s="2276"/>
      <c r="E152" s="2276"/>
      <c r="F152" s="2276"/>
      <c r="G152" s="2250"/>
      <c r="H152" s="2277"/>
      <c r="I152" s="2277"/>
      <c r="J152" s="2260"/>
      <c r="K152" s="2278" t="s">
        <v>1981</v>
      </c>
      <c r="L152" s="2264" t="s">
        <v>6</v>
      </c>
      <c r="M152" s="2665">
        <f>ROUND(P152*Q152/1000,0)</f>
        <v>670</v>
      </c>
      <c r="N152" s="1036" t="s">
        <v>1982</v>
      </c>
      <c r="O152" s="2273"/>
      <c r="P152" s="934">
        <v>670000</v>
      </c>
      <c r="Q152" s="935">
        <v>1</v>
      </c>
      <c r="R152" s="935"/>
      <c r="S152" s="935"/>
      <c r="T152" s="2273"/>
      <c r="U152" s="2273"/>
      <c r="V152" s="2273"/>
      <c r="W152" s="2273"/>
      <c r="X152" s="2273"/>
    </row>
    <row r="153" spans="1:24" s="2234" customFormat="1" ht="18" customHeight="1">
      <c r="A153" s="2265"/>
      <c r="B153" s="2266"/>
      <c r="C153" s="2266"/>
      <c r="D153" s="2276"/>
      <c r="E153" s="2276"/>
      <c r="F153" s="2276"/>
      <c r="G153" s="2276"/>
      <c r="H153" s="2277"/>
      <c r="I153" s="2277"/>
      <c r="J153" s="2260"/>
      <c r="K153" s="2278" t="s">
        <v>1983</v>
      </c>
      <c r="L153" s="1038" t="s">
        <v>292</v>
      </c>
      <c r="M153" s="2665">
        <f t="shared" ref="M153:M165" si="7">ROUND(P153*Q153/1000,0)</f>
        <v>416</v>
      </c>
      <c r="N153" s="1039" t="s">
        <v>1984</v>
      </c>
      <c r="O153" s="2273"/>
      <c r="P153" s="934">
        <v>26000</v>
      </c>
      <c r="Q153" s="935">
        <v>16</v>
      </c>
      <c r="R153" s="935"/>
      <c r="S153" s="935"/>
      <c r="T153" s="2273"/>
      <c r="U153" s="2273"/>
      <c r="V153" s="2273"/>
      <c r="W153" s="2273"/>
      <c r="X153" s="2273"/>
    </row>
    <row r="154" spans="1:24" s="2234" customFormat="1" ht="18" customHeight="1">
      <c r="A154" s="2265"/>
      <c r="B154" s="2266"/>
      <c r="C154" s="2266"/>
      <c r="D154" s="2276"/>
      <c r="E154" s="2276"/>
      <c r="F154" s="2276"/>
      <c r="G154" s="2276"/>
      <c r="H154" s="2277"/>
      <c r="I154" s="2277"/>
      <c r="J154" s="2260"/>
      <c r="K154" s="2278" t="s">
        <v>672</v>
      </c>
      <c r="L154" s="1038" t="s">
        <v>292</v>
      </c>
      <c r="M154" s="2665">
        <f>ROUND(P154*Q154*R154/1000,0)</f>
        <v>960</v>
      </c>
      <c r="N154" s="1040" t="s">
        <v>1985</v>
      </c>
      <c r="O154" s="2273"/>
      <c r="P154" s="934">
        <v>80000</v>
      </c>
      <c r="Q154" s="935">
        <v>6</v>
      </c>
      <c r="R154" s="935">
        <v>2</v>
      </c>
      <c r="S154" s="935"/>
      <c r="T154" s="2273"/>
      <c r="U154" s="2273"/>
      <c r="V154" s="2273"/>
      <c r="W154" s="2273"/>
      <c r="X154" s="2273"/>
    </row>
    <row r="155" spans="1:24" s="2234" customFormat="1" ht="18" customHeight="1">
      <c r="A155" s="2265"/>
      <c r="B155" s="2266"/>
      <c r="C155" s="2266"/>
      <c r="D155" s="2276"/>
      <c r="E155" s="2276"/>
      <c r="F155" s="2276"/>
      <c r="G155" s="2276"/>
      <c r="H155" s="2277"/>
      <c r="I155" s="2277"/>
      <c r="J155" s="2260"/>
      <c r="K155" s="2278" t="s">
        <v>673</v>
      </c>
      <c r="L155" s="1038" t="s">
        <v>292</v>
      </c>
      <c r="M155" s="2665">
        <f t="shared" si="7"/>
        <v>600</v>
      </c>
      <c r="N155" s="1039" t="s">
        <v>1986</v>
      </c>
      <c r="O155" s="2273"/>
      <c r="P155" s="934">
        <v>300000</v>
      </c>
      <c r="Q155" s="935">
        <v>2</v>
      </c>
      <c r="R155" s="935"/>
      <c r="S155" s="935"/>
      <c r="T155" s="2273"/>
      <c r="U155" s="2273"/>
      <c r="V155" s="2273"/>
      <c r="W155" s="2273"/>
      <c r="X155" s="2273"/>
    </row>
    <row r="156" spans="1:24" s="2234" customFormat="1" ht="18" customHeight="1">
      <c r="A156" s="2265"/>
      <c r="B156" s="2266"/>
      <c r="C156" s="2266"/>
      <c r="D156" s="2276"/>
      <c r="E156" s="2276"/>
      <c r="F156" s="2276"/>
      <c r="G156" s="2276"/>
      <c r="H156" s="2277"/>
      <c r="I156" s="2277"/>
      <c r="J156" s="2260"/>
      <c r="K156" s="2278" t="s">
        <v>674</v>
      </c>
      <c r="L156" s="1038" t="s">
        <v>292</v>
      </c>
      <c r="M156" s="2665">
        <f>ROUND(P156*Q156*R156*S156/1000,0)</f>
        <v>1490</v>
      </c>
      <c r="N156" s="1039" t="s">
        <v>1987</v>
      </c>
      <c r="O156" s="2273"/>
      <c r="P156" s="934">
        <v>1800</v>
      </c>
      <c r="Q156" s="935">
        <v>3</v>
      </c>
      <c r="R156" s="935">
        <v>23</v>
      </c>
      <c r="S156" s="935">
        <v>12</v>
      </c>
      <c r="T156" s="2273"/>
      <c r="U156" s="2273"/>
      <c r="V156" s="2273"/>
      <c r="W156" s="2273"/>
      <c r="X156" s="2273"/>
    </row>
    <row r="157" spans="1:24" s="2234" customFormat="1" ht="18" customHeight="1">
      <c r="A157" s="2265"/>
      <c r="B157" s="2266"/>
      <c r="C157" s="2266"/>
      <c r="D157" s="2276"/>
      <c r="E157" s="2276"/>
      <c r="F157" s="2276"/>
      <c r="G157" s="2276"/>
      <c r="H157" s="2277"/>
      <c r="I157" s="2277"/>
      <c r="J157" s="2260"/>
      <c r="K157" s="2278" t="s">
        <v>675</v>
      </c>
      <c r="L157" s="1038" t="s">
        <v>352</v>
      </c>
      <c r="M157" s="2665">
        <f t="shared" si="7"/>
        <v>3600</v>
      </c>
      <c r="N157" s="1040" t="s">
        <v>1988</v>
      </c>
      <c r="O157" s="2273"/>
      <c r="P157" s="934">
        <v>1200000</v>
      </c>
      <c r="Q157" s="935">
        <v>3</v>
      </c>
      <c r="R157" s="935"/>
      <c r="S157" s="935"/>
      <c r="T157" s="2273"/>
      <c r="U157" s="2273"/>
      <c r="V157" s="2273"/>
      <c r="W157" s="2273"/>
      <c r="X157" s="2273"/>
    </row>
    <row r="158" spans="1:24" s="2234" customFormat="1" ht="18" customHeight="1">
      <c r="A158" s="2265"/>
      <c r="B158" s="2266"/>
      <c r="C158" s="2266"/>
      <c r="D158" s="2276"/>
      <c r="E158" s="2276"/>
      <c r="F158" s="2276"/>
      <c r="G158" s="2276"/>
      <c r="H158" s="2277"/>
      <c r="I158" s="2277"/>
      <c r="J158" s="2260"/>
      <c r="K158" s="2278" t="s">
        <v>676</v>
      </c>
      <c r="L158" s="1038" t="s">
        <v>352</v>
      </c>
      <c r="M158" s="2665">
        <f>ROUND(P158*Q158*R158/1000,0)</f>
        <v>1584</v>
      </c>
      <c r="N158" s="1040" t="s">
        <v>1989</v>
      </c>
      <c r="O158" s="2273"/>
      <c r="P158" s="934">
        <v>66000</v>
      </c>
      <c r="Q158" s="935">
        <v>2</v>
      </c>
      <c r="R158" s="935">
        <v>12</v>
      </c>
      <c r="S158" s="935"/>
      <c r="T158" s="2273"/>
      <c r="U158" s="2273"/>
      <c r="V158" s="2273"/>
      <c r="W158" s="2273"/>
      <c r="X158" s="2273"/>
    </row>
    <row r="159" spans="1:24" s="2273" customFormat="1" ht="18" customHeight="1">
      <c r="A159" s="2265"/>
      <c r="B159" s="2266"/>
      <c r="C159" s="2266"/>
      <c r="D159" s="2276"/>
      <c r="E159" s="2276"/>
      <c r="F159" s="2276"/>
      <c r="G159" s="2276"/>
      <c r="H159" s="2277"/>
      <c r="I159" s="2277"/>
      <c r="J159" s="2279"/>
      <c r="K159" s="2278" t="s">
        <v>677</v>
      </c>
      <c r="L159" s="1038" t="s">
        <v>292</v>
      </c>
      <c r="M159" s="2665">
        <f t="shared" si="7"/>
        <v>4800</v>
      </c>
      <c r="N159" s="1040" t="s">
        <v>1990</v>
      </c>
      <c r="P159" s="934">
        <v>400000</v>
      </c>
      <c r="Q159" s="935">
        <v>12</v>
      </c>
      <c r="R159" s="935"/>
    </row>
    <row r="160" spans="1:24" s="2273" customFormat="1" ht="18" customHeight="1">
      <c r="A160" s="2265"/>
      <c r="B160" s="2266"/>
      <c r="C160" s="2266"/>
      <c r="D160" s="2276"/>
      <c r="E160" s="2276"/>
      <c r="F160" s="2276"/>
      <c r="G160" s="2276"/>
      <c r="H160" s="2277"/>
      <c r="I160" s="2277"/>
      <c r="J160" s="2279"/>
      <c r="K160" s="2278" t="s">
        <v>678</v>
      </c>
      <c r="L160" s="1038" t="s">
        <v>752</v>
      </c>
      <c r="M160" s="2665">
        <f>ROUND(P160*Q160*R160/1000,0)</f>
        <v>1200</v>
      </c>
      <c r="N160" s="1040" t="s">
        <v>1991</v>
      </c>
      <c r="P160" s="934">
        <v>100000</v>
      </c>
      <c r="Q160" s="935">
        <v>6</v>
      </c>
      <c r="R160" s="935">
        <v>2</v>
      </c>
      <c r="S160" s="935"/>
    </row>
    <row r="161" spans="1:24" s="2273" customFormat="1" ht="18" customHeight="1">
      <c r="A161" s="2265"/>
      <c r="B161" s="2266"/>
      <c r="C161" s="2266"/>
      <c r="D161" s="2276"/>
      <c r="E161" s="2276"/>
      <c r="F161" s="2276"/>
      <c r="G161" s="2276"/>
      <c r="H161" s="2277"/>
      <c r="I161" s="2277"/>
      <c r="J161" s="2279"/>
      <c r="K161" s="2278" t="s">
        <v>1992</v>
      </c>
      <c r="L161" s="1038" t="s">
        <v>752</v>
      </c>
      <c r="M161" s="2665">
        <f t="shared" si="7"/>
        <v>2000</v>
      </c>
      <c r="N161" s="936" t="s">
        <v>1993</v>
      </c>
      <c r="P161" s="934">
        <v>500000</v>
      </c>
      <c r="Q161" s="935">
        <v>4</v>
      </c>
      <c r="R161" s="935"/>
      <c r="S161" s="935"/>
    </row>
    <row r="162" spans="1:24" s="2273" customFormat="1" ht="18" customHeight="1">
      <c r="A162" s="2265"/>
      <c r="B162" s="2266"/>
      <c r="C162" s="2266"/>
      <c r="D162" s="2276"/>
      <c r="E162" s="2276"/>
      <c r="F162" s="2276"/>
      <c r="G162" s="2276"/>
      <c r="H162" s="2277"/>
      <c r="I162" s="2277"/>
      <c r="J162" s="2279"/>
      <c r="K162" s="2278" t="s">
        <v>679</v>
      </c>
      <c r="L162" s="1038" t="s">
        <v>752</v>
      </c>
      <c r="M162" s="2665">
        <f t="shared" si="7"/>
        <v>1000</v>
      </c>
      <c r="N162" s="1040" t="s">
        <v>1994</v>
      </c>
      <c r="P162" s="934">
        <v>200000</v>
      </c>
      <c r="Q162" s="935">
        <v>5</v>
      </c>
      <c r="R162" s="935"/>
      <c r="S162" s="935"/>
    </row>
    <row r="163" spans="1:24" s="2273" customFormat="1" ht="18" customHeight="1">
      <c r="A163" s="2265"/>
      <c r="B163" s="2266"/>
      <c r="C163" s="2266"/>
      <c r="D163" s="2276"/>
      <c r="E163" s="2276"/>
      <c r="F163" s="2276"/>
      <c r="G163" s="2276"/>
      <c r="H163" s="2277"/>
      <c r="I163" s="2277"/>
      <c r="J163" s="2279"/>
      <c r="K163" s="2280" t="s">
        <v>993</v>
      </c>
      <c r="L163" s="1038" t="s">
        <v>752</v>
      </c>
      <c r="M163" s="2665">
        <f t="shared" si="7"/>
        <v>1000</v>
      </c>
      <c r="N163" s="1040" t="s">
        <v>1995</v>
      </c>
      <c r="P163" s="934">
        <v>10000</v>
      </c>
      <c r="Q163" s="935">
        <v>100</v>
      </c>
      <c r="R163" s="935"/>
      <c r="S163" s="935"/>
    </row>
    <row r="164" spans="1:24" s="2273" customFormat="1" ht="18" customHeight="1">
      <c r="A164" s="2265"/>
      <c r="B164" s="2266"/>
      <c r="C164" s="2266"/>
      <c r="D164" s="2276"/>
      <c r="E164" s="2276"/>
      <c r="F164" s="2276"/>
      <c r="G164" s="2276"/>
      <c r="H164" s="2277"/>
      <c r="I164" s="2277"/>
      <c r="J164" s="2279"/>
      <c r="K164" s="2278" t="s">
        <v>680</v>
      </c>
      <c r="L164" s="1038" t="s">
        <v>292</v>
      </c>
      <c r="M164" s="2665">
        <f t="shared" si="7"/>
        <v>1000</v>
      </c>
      <c r="N164" s="1040" t="s">
        <v>1996</v>
      </c>
      <c r="P164" s="934">
        <v>200000</v>
      </c>
      <c r="Q164" s="935">
        <v>5</v>
      </c>
      <c r="R164" s="935"/>
      <c r="S164" s="935"/>
    </row>
    <row r="165" spans="1:24" s="2273" customFormat="1" ht="18" customHeight="1">
      <c r="A165" s="2265"/>
      <c r="B165" s="2266"/>
      <c r="C165" s="2266"/>
      <c r="D165" s="2276"/>
      <c r="E165" s="2276"/>
      <c r="F165" s="2276"/>
      <c r="G165" s="2276"/>
      <c r="H165" s="2277"/>
      <c r="I165" s="2277"/>
      <c r="J165" s="2279"/>
      <c r="K165" s="2278" t="s">
        <v>681</v>
      </c>
      <c r="L165" s="1038" t="s">
        <v>292</v>
      </c>
      <c r="M165" s="2665">
        <f t="shared" si="7"/>
        <v>3240</v>
      </c>
      <c r="N165" s="936" t="s">
        <v>1997</v>
      </c>
      <c r="P165" s="934">
        <v>270000</v>
      </c>
      <c r="Q165" s="935">
        <v>12</v>
      </c>
      <c r="R165" s="935"/>
      <c r="S165" s="935"/>
    </row>
    <row r="166" spans="1:24" s="2273" customFormat="1" ht="18" customHeight="1">
      <c r="A166" s="2265"/>
      <c r="B166" s="2266"/>
      <c r="C166" s="2266"/>
      <c r="D166" s="2266"/>
      <c r="E166" s="2266"/>
      <c r="F166" s="2266"/>
      <c r="G166" s="2281" t="s">
        <v>31</v>
      </c>
      <c r="H166" s="2253">
        <f>M166</f>
        <v>55360</v>
      </c>
      <c r="I166" s="2253">
        <v>63933</v>
      </c>
      <c r="J166" s="2282">
        <f>H166-I166</f>
        <v>-8573</v>
      </c>
      <c r="K166" s="2274" t="s">
        <v>31</v>
      </c>
      <c r="L166" s="2275"/>
      <c r="M166" s="2768">
        <f>SUM(M167:M180)</f>
        <v>55360</v>
      </c>
      <c r="N166" s="2283"/>
      <c r="P166" s="934">
        <v>50000</v>
      </c>
      <c r="Q166" s="935">
        <v>10</v>
      </c>
      <c r="R166" s="935"/>
      <c r="S166" s="935"/>
    </row>
    <row r="167" spans="1:24" s="2273" customFormat="1" ht="18" customHeight="1">
      <c r="A167" s="2265"/>
      <c r="B167" s="2266"/>
      <c r="C167" s="2266"/>
      <c r="D167" s="2276"/>
      <c r="E167" s="2276"/>
      <c r="F167" s="2276"/>
      <c r="G167" s="2250"/>
      <c r="H167" s="2259"/>
      <c r="I167" s="2259"/>
      <c r="J167" s="2284"/>
      <c r="K167" s="2278" t="s">
        <v>682</v>
      </c>
      <c r="L167" s="1046" t="s">
        <v>6</v>
      </c>
      <c r="M167" s="2665">
        <f>ROUND(P167*Q167/1000,0)</f>
        <v>130</v>
      </c>
      <c r="N167" s="1043" t="s">
        <v>1998</v>
      </c>
      <c r="P167" s="934">
        <v>130000</v>
      </c>
      <c r="Q167" s="935">
        <v>1</v>
      </c>
      <c r="R167" s="935"/>
      <c r="S167" s="935"/>
    </row>
    <row r="168" spans="1:24" s="2273" customFormat="1" ht="18" customHeight="1">
      <c r="A168" s="2265"/>
      <c r="B168" s="2266"/>
      <c r="C168" s="2266"/>
      <c r="D168" s="2276"/>
      <c r="E168" s="2276"/>
      <c r="F168" s="2276"/>
      <c r="G168" s="2250"/>
      <c r="H168" s="2259"/>
      <c r="I168" s="2259"/>
      <c r="J168" s="2284"/>
      <c r="K168" s="2278" t="s">
        <v>683</v>
      </c>
      <c r="L168" s="1042" t="s">
        <v>6</v>
      </c>
      <c r="M168" s="2665">
        <f t="shared" ref="M168:M180" si="8">ROUND(P168*Q168/1000,0)</f>
        <v>210</v>
      </c>
      <c r="N168" s="1043" t="s">
        <v>1999</v>
      </c>
      <c r="P168" s="934">
        <v>210000</v>
      </c>
      <c r="Q168" s="934">
        <v>1</v>
      </c>
      <c r="R168" s="934"/>
    </row>
    <row r="169" spans="1:24" s="2273" customFormat="1" ht="18" customHeight="1">
      <c r="A169" s="2265"/>
      <c r="B169" s="2266"/>
      <c r="C169" s="2266"/>
      <c r="D169" s="2276"/>
      <c r="E169" s="2276"/>
      <c r="F169" s="2276"/>
      <c r="G169" s="2250"/>
      <c r="H169" s="2259"/>
      <c r="I169" s="2259"/>
      <c r="J169" s="2284"/>
      <c r="K169" s="2278" t="s">
        <v>684</v>
      </c>
      <c r="L169" s="1046" t="s">
        <v>6</v>
      </c>
      <c r="M169" s="2665">
        <f t="shared" si="8"/>
        <v>200</v>
      </c>
      <c r="N169" s="1044" t="s">
        <v>2000</v>
      </c>
      <c r="P169" s="934">
        <v>50000</v>
      </c>
      <c r="Q169" s="934">
        <v>4</v>
      </c>
      <c r="R169" s="934"/>
    </row>
    <row r="170" spans="1:24" s="2273" customFormat="1" ht="18" customHeight="1">
      <c r="A170" s="2265"/>
      <c r="B170" s="2266"/>
      <c r="C170" s="2266"/>
      <c r="D170" s="2276"/>
      <c r="E170" s="2276"/>
      <c r="F170" s="2276"/>
      <c r="G170" s="2250"/>
      <c r="H170" s="2259"/>
      <c r="I170" s="2259"/>
      <c r="J170" s="2284"/>
      <c r="K170" s="2278" t="s">
        <v>685</v>
      </c>
      <c r="L170" s="1046" t="s">
        <v>6</v>
      </c>
      <c r="M170" s="2665">
        <f t="shared" si="8"/>
        <v>60</v>
      </c>
      <c r="N170" s="1043" t="s">
        <v>2001</v>
      </c>
      <c r="P170" s="934">
        <v>60000</v>
      </c>
      <c r="Q170" s="934">
        <v>1</v>
      </c>
      <c r="R170" s="934"/>
    </row>
    <row r="171" spans="1:24" s="2273" customFormat="1" ht="18" customHeight="1">
      <c r="A171" s="2265"/>
      <c r="B171" s="2266"/>
      <c r="C171" s="2266"/>
      <c r="D171" s="2276"/>
      <c r="E171" s="2276"/>
      <c r="F171" s="2276"/>
      <c r="G171" s="2250"/>
      <c r="H171" s="2259"/>
      <c r="I171" s="2259"/>
      <c r="J171" s="2284"/>
      <c r="K171" s="2278" t="s">
        <v>686</v>
      </c>
      <c r="L171" s="1046" t="s">
        <v>6</v>
      </c>
      <c r="M171" s="2665">
        <f t="shared" si="8"/>
        <v>2000</v>
      </c>
      <c r="N171" s="1043" t="s">
        <v>2002</v>
      </c>
      <c r="P171" s="934">
        <v>1000000</v>
      </c>
      <c r="Q171" s="934">
        <v>2</v>
      </c>
      <c r="R171" s="934"/>
    </row>
    <row r="172" spans="1:24" s="2273" customFormat="1" ht="18" customHeight="1">
      <c r="A172" s="2265"/>
      <c r="B172" s="2266"/>
      <c r="C172" s="2266"/>
      <c r="D172" s="2276"/>
      <c r="E172" s="2276"/>
      <c r="F172" s="2276"/>
      <c r="G172" s="2250"/>
      <c r="H172" s="2259"/>
      <c r="I172" s="2259"/>
      <c r="J172" s="2284"/>
      <c r="K172" s="2278" t="s">
        <v>687</v>
      </c>
      <c r="L172" s="1046" t="s">
        <v>6</v>
      </c>
      <c r="M172" s="2665">
        <f t="shared" si="8"/>
        <v>2000</v>
      </c>
      <c r="N172" s="1045" t="s">
        <v>2003</v>
      </c>
      <c r="P172" s="934">
        <v>1000000</v>
      </c>
      <c r="Q172" s="934">
        <v>2</v>
      </c>
      <c r="R172" s="934"/>
    </row>
    <row r="173" spans="1:24" s="2287" customFormat="1" ht="18" customHeight="1">
      <c r="A173" s="2265"/>
      <c r="B173" s="2266"/>
      <c r="C173" s="2266"/>
      <c r="D173" s="2276"/>
      <c r="E173" s="2285"/>
      <c r="F173" s="2285"/>
      <c r="G173" s="2251"/>
      <c r="H173" s="2259"/>
      <c r="I173" s="2259"/>
      <c r="J173" s="2284"/>
      <c r="K173" s="2278" t="s">
        <v>2299</v>
      </c>
      <c r="L173" s="1046" t="s">
        <v>6</v>
      </c>
      <c r="M173" s="2665">
        <f t="shared" si="8"/>
        <v>1500</v>
      </c>
      <c r="N173" s="2286" t="s">
        <v>2300</v>
      </c>
      <c r="P173" s="934">
        <v>300000</v>
      </c>
      <c r="Q173" s="934">
        <v>5</v>
      </c>
      <c r="R173" s="934"/>
    </row>
    <row r="174" spans="1:24" s="2273" customFormat="1" ht="18" customHeight="1">
      <c r="A174" s="2288"/>
      <c r="B174" s="2289"/>
      <c r="C174" s="2289"/>
      <c r="D174" s="2290"/>
      <c r="E174" s="2291"/>
      <c r="F174" s="2291"/>
      <c r="G174" s="2162"/>
      <c r="H174" s="2259"/>
      <c r="I174" s="2259"/>
      <c r="J174" s="2284"/>
      <c r="K174" s="2278" t="s">
        <v>688</v>
      </c>
      <c r="L174" s="1046" t="s">
        <v>6</v>
      </c>
      <c r="M174" s="2665">
        <f t="shared" si="8"/>
        <v>1500</v>
      </c>
      <c r="N174" s="1047" t="s">
        <v>2004</v>
      </c>
      <c r="O174" s="2292"/>
      <c r="P174" s="934">
        <v>1500000</v>
      </c>
      <c r="Q174" s="934">
        <v>1</v>
      </c>
      <c r="R174" s="934"/>
      <c r="S174" s="2292"/>
      <c r="T174" s="2292"/>
      <c r="U174" s="2292"/>
      <c r="V174" s="2292"/>
      <c r="W174" s="2292"/>
      <c r="X174" s="2292"/>
    </row>
    <row r="175" spans="1:24" s="2273" customFormat="1" ht="18" customHeight="1">
      <c r="A175" s="2265"/>
      <c r="B175" s="2266"/>
      <c r="C175" s="2266"/>
      <c r="D175" s="2276"/>
      <c r="E175" s="2285"/>
      <c r="F175" s="2285"/>
      <c r="G175" s="2251"/>
      <c r="H175" s="2259"/>
      <c r="I175" s="2259"/>
      <c r="J175" s="2284"/>
      <c r="K175" s="2278" t="s">
        <v>2005</v>
      </c>
      <c r="L175" s="1046" t="s">
        <v>6</v>
      </c>
      <c r="M175" s="2665">
        <f t="shared" si="8"/>
        <v>24000</v>
      </c>
      <c r="N175" s="1048" t="s">
        <v>2006</v>
      </c>
      <c r="P175" s="934">
        <v>2000000</v>
      </c>
      <c r="Q175" s="934">
        <v>12</v>
      </c>
      <c r="R175" s="934"/>
    </row>
    <row r="176" spans="1:24" s="2273" customFormat="1" ht="18" customHeight="1">
      <c r="A176" s="2265"/>
      <c r="B176" s="2266"/>
      <c r="C176" s="2266"/>
      <c r="D176" s="2276"/>
      <c r="E176" s="2285"/>
      <c r="F176" s="2285"/>
      <c r="G176" s="2251"/>
      <c r="H176" s="2259"/>
      <c r="I176" s="2259"/>
      <c r="J176" s="2284"/>
      <c r="K176" s="2278" t="s">
        <v>689</v>
      </c>
      <c r="L176" s="1046" t="s">
        <v>6</v>
      </c>
      <c r="M176" s="2665">
        <f t="shared" si="8"/>
        <v>500</v>
      </c>
      <c r="N176" s="1048" t="s">
        <v>2007</v>
      </c>
      <c r="P176" s="934">
        <v>500000</v>
      </c>
      <c r="Q176" s="934">
        <v>1</v>
      </c>
      <c r="R176" s="934"/>
    </row>
    <row r="177" spans="1:24" s="2273" customFormat="1" ht="18" customHeight="1">
      <c r="A177" s="2265"/>
      <c r="B177" s="2266"/>
      <c r="C177" s="2266"/>
      <c r="D177" s="2276"/>
      <c r="E177" s="2285"/>
      <c r="F177" s="2285"/>
      <c r="G177" s="2251"/>
      <c r="H177" s="2259"/>
      <c r="I177" s="2259"/>
      <c r="J177" s="2260"/>
      <c r="K177" s="2278" t="s">
        <v>2008</v>
      </c>
      <c r="L177" s="1046" t="s">
        <v>6</v>
      </c>
      <c r="M177" s="2665">
        <f t="shared" si="8"/>
        <v>2160</v>
      </c>
      <c r="N177" s="1048" t="s">
        <v>2009</v>
      </c>
      <c r="P177" s="934">
        <v>180000</v>
      </c>
      <c r="Q177" s="934">
        <v>12</v>
      </c>
      <c r="R177" s="934"/>
    </row>
    <row r="178" spans="1:24" s="2273" customFormat="1" ht="18" customHeight="1">
      <c r="A178" s="2288"/>
      <c r="B178" s="2289"/>
      <c r="C178" s="2289"/>
      <c r="D178" s="2290"/>
      <c r="E178" s="2291"/>
      <c r="F178" s="2291"/>
      <c r="G178" s="2162"/>
      <c r="H178" s="2259"/>
      <c r="I178" s="2259"/>
      <c r="J178" s="2284"/>
      <c r="K178" s="2293" t="s">
        <v>2010</v>
      </c>
      <c r="L178" s="1046" t="s">
        <v>6</v>
      </c>
      <c r="M178" s="2665">
        <f t="shared" si="8"/>
        <v>2000</v>
      </c>
      <c r="N178" s="1048" t="s">
        <v>2011</v>
      </c>
      <c r="O178" s="2292"/>
      <c r="P178" s="934">
        <v>2000000</v>
      </c>
      <c r="Q178" s="934">
        <v>1</v>
      </c>
      <c r="R178" s="934"/>
      <c r="S178" s="2292"/>
      <c r="T178" s="2292"/>
      <c r="U178" s="2292"/>
      <c r="V178" s="2292"/>
      <c r="W178" s="2292"/>
      <c r="X178" s="2292"/>
    </row>
    <row r="179" spans="1:24" s="2273" customFormat="1" ht="18" customHeight="1">
      <c r="A179" s="2265"/>
      <c r="B179" s="2266"/>
      <c r="C179" s="2266"/>
      <c r="D179" s="2276"/>
      <c r="E179" s="2285"/>
      <c r="F179" s="2285"/>
      <c r="G179" s="2251"/>
      <c r="H179" s="2259"/>
      <c r="I179" s="2259"/>
      <c r="J179" s="2260"/>
      <c r="K179" s="2278" t="s">
        <v>786</v>
      </c>
      <c r="L179" s="1046" t="s">
        <v>6</v>
      </c>
      <c r="M179" s="2665">
        <f t="shared" si="8"/>
        <v>4800</v>
      </c>
      <c r="N179" s="1048" t="s">
        <v>2012</v>
      </c>
      <c r="P179" s="934">
        <v>1200000</v>
      </c>
      <c r="Q179" s="934">
        <v>4</v>
      </c>
      <c r="R179" s="934"/>
    </row>
    <row r="180" spans="1:24" s="2273" customFormat="1" ht="18" customHeight="1">
      <c r="A180" s="2265"/>
      <c r="B180" s="2266"/>
      <c r="C180" s="2266"/>
      <c r="D180" s="2276"/>
      <c r="E180" s="2285"/>
      <c r="F180" s="2285"/>
      <c r="G180" s="2251"/>
      <c r="H180" s="2259"/>
      <c r="I180" s="2259"/>
      <c r="J180" s="2294"/>
      <c r="K180" s="2278" t="s">
        <v>2013</v>
      </c>
      <c r="L180" s="1046" t="s">
        <v>6</v>
      </c>
      <c r="M180" s="2665">
        <f t="shared" si="8"/>
        <v>14300</v>
      </c>
      <c r="N180" s="1048" t="s">
        <v>2014</v>
      </c>
      <c r="P180" s="934">
        <v>1100000</v>
      </c>
      <c r="Q180" s="934">
        <v>13</v>
      </c>
      <c r="R180" s="934"/>
    </row>
    <row r="181" spans="1:24" s="2273" customFormat="1" ht="18" customHeight="1">
      <c r="A181" s="2265"/>
      <c r="B181" s="2266"/>
      <c r="C181" s="2266"/>
      <c r="D181" s="2266"/>
      <c r="E181" s="2266"/>
      <c r="F181" s="2266"/>
      <c r="G181" s="2281" t="s">
        <v>76</v>
      </c>
      <c r="H181" s="2253">
        <f>M181</f>
        <v>14904</v>
      </c>
      <c r="I181" s="2253">
        <v>5112</v>
      </c>
      <c r="J181" s="2254">
        <f>H181-I181</f>
        <v>9792</v>
      </c>
      <c r="K181" s="2274" t="s">
        <v>76</v>
      </c>
      <c r="L181" s="2275"/>
      <c r="M181" s="2768">
        <f>SUM(M182:M186)</f>
        <v>14904</v>
      </c>
      <c r="N181" s="2703"/>
      <c r="P181" s="934"/>
      <c r="Q181" s="934"/>
      <c r="R181" s="934"/>
    </row>
    <row r="182" spans="1:24" s="2287" customFormat="1" ht="18" customHeight="1">
      <c r="A182" s="2265"/>
      <c r="B182" s="2266"/>
      <c r="C182" s="2266"/>
      <c r="D182" s="2276"/>
      <c r="E182" s="2276"/>
      <c r="F182" s="2285"/>
      <c r="G182" s="2276"/>
      <c r="H182" s="2259"/>
      <c r="I182" s="2259"/>
      <c r="J182" s="2279"/>
      <c r="K182" s="2278" t="s">
        <v>2422</v>
      </c>
      <c r="L182" s="1042" t="s">
        <v>6</v>
      </c>
      <c r="M182" s="2665">
        <f>ROUNDUP(P182*Q182*R182/1000,0)</f>
        <v>2016</v>
      </c>
      <c r="N182" s="936" t="s">
        <v>2423</v>
      </c>
      <c r="P182" s="934">
        <v>42000</v>
      </c>
      <c r="Q182" s="934">
        <v>4</v>
      </c>
      <c r="R182" s="934">
        <v>12</v>
      </c>
    </row>
    <row r="183" spans="1:24" s="2273" customFormat="1" ht="18" customHeight="1">
      <c r="A183" s="2265"/>
      <c r="B183" s="2266"/>
      <c r="C183" s="2266"/>
      <c r="D183" s="2266"/>
      <c r="E183" s="2266"/>
      <c r="F183" s="2266"/>
      <c r="G183" s="2223"/>
      <c r="H183" s="2259"/>
      <c r="I183" s="2259"/>
      <c r="J183" s="2260"/>
      <c r="K183" s="2278" t="s">
        <v>2015</v>
      </c>
      <c r="L183" s="1046" t="s">
        <v>6</v>
      </c>
      <c r="M183" s="2665">
        <f>ROUNDUP(P183*Q183*R183/1000,0)</f>
        <v>4200</v>
      </c>
      <c r="N183" s="1048" t="s">
        <v>2016</v>
      </c>
      <c r="P183" s="934">
        <v>50000</v>
      </c>
      <c r="Q183" s="934">
        <v>7</v>
      </c>
      <c r="R183" s="934">
        <v>12</v>
      </c>
    </row>
    <row r="184" spans="1:24" s="2273" customFormat="1" ht="18" customHeight="1">
      <c r="A184" s="2265"/>
      <c r="B184" s="2266"/>
      <c r="C184" s="2266"/>
      <c r="D184" s="2276"/>
      <c r="E184" s="2276"/>
      <c r="F184" s="2276"/>
      <c r="G184" s="2250"/>
      <c r="H184" s="2259"/>
      <c r="I184" s="2259"/>
      <c r="J184" s="2284"/>
      <c r="K184" s="2278" t="s">
        <v>2017</v>
      </c>
      <c r="L184" s="1046" t="s">
        <v>6</v>
      </c>
      <c r="M184" s="2665">
        <f t="shared" ref="M184:M186" si="9">ROUNDUP(P184*Q184/1000,0)</f>
        <v>2400</v>
      </c>
      <c r="N184" s="1047" t="s">
        <v>2018</v>
      </c>
      <c r="P184" s="934">
        <v>200000</v>
      </c>
      <c r="Q184" s="934">
        <v>12</v>
      </c>
      <c r="R184" s="934"/>
    </row>
    <row r="185" spans="1:24" s="2273" customFormat="1" ht="18" customHeight="1">
      <c r="A185" s="2265"/>
      <c r="B185" s="2266"/>
      <c r="C185" s="2266"/>
      <c r="D185" s="2276"/>
      <c r="E185" s="2276"/>
      <c r="F185" s="2276"/>
      <c r="G185" s="2250"/>
      <c r="H185" s="2259"/>
      <c r="I185" s="2259"/>
      <c r="J185" s="2284"/>
      <c r="K185" s="2278" t="s">
        <v>2424</v>
      </c>
      <c r="L185" s="1046" t="s">
        <v>6</v>
      </c>
      <c r="M185" s="2665">
        <f t="shared" si="9"/>
        <v>2688</v>
      </c>
      <c r="N185" s="1047" t="s">
        <v>2019</v>
      </c>
      <c r="P185" s="934">
        <v>224000</v>
      </c>
      <c r="Q185" s="934">
        <v>12</v>
      </c>
      <c r="R185" s="934"/>
    </row>
    <row r="186" spans="1:24" s="2273" customFormat="1" ht="18" customHeight="1">
      <c r="A186" s="2265"/>
      <c r="B186" s="2266"/>
      <c r="C186" s="2266"/>
      <c r="D186" s="2276"/>
      <c r="E186" s="2276"/>
      <c r="F186" s="2276"/>
      <c r="G186" s="2250"/>
      <c r="H186" s="2259"/>
      <c r="I186" s="2259"/>
      <c r="J186" s="2284"/>
      <c r="K186" s="2278" t="s">
        <v>2425</v>
      </c>
      <c r="L186" s="1046" t="s">
        <v>6</v>
      </c>
      <c r="M186" s="2665">
        <f t="shared" si="9"/>
        <v>3600</v>
      </c>
      <c r="N186" s="1047" t="s">
        <v>2020</v>
      </c>
      <c r="P186" s="934">
        <v>300000</v>
      </c>
      <c r="Q186" s="934">
        <v>12</v>
      </c>
      <c r="R186" s="934"/>
    </row>
    <row r="187" spans="1:24" s="2273" customFormat="1" ht="18" customHeight="1">
      <c r="A187" s="2265"/>
      <c r="B187" s="2266"/>
      <c r="C187" s="2266"/>
      <c r="D187" s="2266"/>
      <c r="E187" s="2266"/>
      <c r="F187" s="2266"/>
      <c r="G187" s="2281" t="s">
        <v>37</v>
      </c>
      <c r="H187" s="2253">
        <f>M187</f>
        <v>6860</v>
      </c>
      <c r="I187" s="2253">
        <v>7640</v>
      </c>
      <c r="J187" s="2254">
        <f>H187-I187</f>
        <v>-780</v>
      </c>
      <c r="K187" s="2295" t="s">
        <v>37</v>
      </c>
      <c r="L187" s="2256"/>
      <c r="M187" s="2769">
        <f>SUM(M188:M190)</f>
        <v>6860</v>
      </c>
      <c r="N187" s="2283"/>
      <c r="P187" s="934"/>
      <c r="Q187" s="934"/>
      <c r="R187" s="934"/>
    </row>
    <row r="188" spans="1:24" s="2273" customFormat="1" ht="18" customHeight="1">
      <c r="A188" s="2265"/>
      <c r="B188" s="2266"/>
      <c r="C188" s="2266"/>
      <c r="D188" s="2266"/>
      <c r="E188" s="2266"/>
      <c r="F188" s="2266"/>
      <c r="G188" s="2223"/>
      <c r="H188" s="2259"/>
      <c r="I188" s="2259"/>
      <c r="J188" s="2260"/>
      <c r="K188" s="2296" t="s">
        <v>859</v>
      </c>
      <c r="L188" s="1046" t="s">
        <v>292</v>
      </c>
      <c r="M188" s="2665">
        <f>ROUNDUP(P188*Q188/1000,0)</f>
        <v>800</v>
      </c>
      <c r="N188" s="1049" t="s">
        <v>2021</v>
      </c>
      <c r="P188" s="934">
        <v>200000</v>
      </c>
      <c r="Q188" s="934">
        <v>4</v>
      </c>
      <c r="R188" s="934"/>
    </row>
    <row r="189" spans="1:24" s="2234" customFormat="1" ht="18" customHeight="1">
      <c r="A189" s="2265"/>
      <c r="B189" s="2266"/>
      <c r="C189" s="2266"/>
      <c r="D189" s="2266"/>
      <c r="E189" s="2266"/>
      <c r="F189" s="2297"/>
      <c r="G189" s="2258"/>
      <c r="H189" s="2259"/>
      <c r="I189" s="2259"/>
      <c r="J189" s="2260"/>
      <c r="K189" s="2278" t="s">
        <v>860</v>
      </c>
      <c r="L189" s="1038" t="s">
        <v>292</v>
      </c>
      <c r="M189" s="2665">
        <f>ROUNDUP(P189*Q189*R189/1000,0)</f>
        <v>600</v>
      </c>
      <c r="N189" s="1049" t="s">
        <v>2022</v>
      </c>
      <c r="O189" s="2273"/>
      <c r="P189" s="934">
        <v>300000</v>
      </c>
      <c r="Q189" s="934">
        <v>2</v>
      </c>
      <c r="R189" s="934">
        <v>1</v>
      </c>
      <c r="S189" s="1037"/>
      <c r="T189" s="2273"/>
      <c r="U189" s="2273"/>
      <c r="V189" s="2273"/>
      <c r="W189" s="2273"/>
      <c r="X189" s="2273"/>
    </row>
    <row r="190" spans="1:24" s="2273" customFormat="1" ht="17.25" customHeight="1">
      <c r="A190" s="2265"/>
      <c r="B190" s="2266"/>
      <c r="C190" s="2266"/>
      <c r="D190" s="2266"/>
      <c r="E190" s="2266"/>
      <c r="F190" s="2297"/>
      <c r="G190" s="2258"/>
      <c r="H190" s="2259"/>
      <c r="I190" s="2259"/>
      <c r="J190" s="2260"/>
      <c r="K190" s="2298" t="s">
        <v>2023</v>
      </c>
      <c r="L190" s="1038" t="s">
        <v>292</v>
      </c>
      <c r="M190" s="2665">
        <f>ROUNDUP(P190*Q190*R190*S190/1000,0)</f>
        <v>5460</v>
      </c>
      <c r="N190" s="1048" t="s">
        <v>2024</v>
      </c>
      <c r="P190" s="934">
        <v>3000</v>
      </c>
      <c r="Q190" s="934">
        <v>5</v>
      </c>
      <c r="R190" s="934">
        <v>52</v>
      </c>
      <c r="S190" s="1037">
        <v>7</v>
      </c>
    </row>
    <row r="191" spans="1:24" s="2273" customFormat="1" ht="18" customHeight="1">
      <c r="A191" s="2265"/>
      <c r="B191" s="2266"/>
      <c r="C191" s="2266"/>
      <c r="D191" s="2266"/>
      <c r="E191" s="2266"/>
      <c r="F191" s="2266"/>
      <c r="G191" s="2281" t="s">
        <v>392</v>
      </c>
      <c r="H191" s="2253">
        <f>M191</f>
        <v>450949</v>
      </c>
      <c r="I191" s="2253">
        <v>414535</v>
      </c>
      <c r="J191" s="2254">
        <f>H191-I191</f>
        <v>36414</v>
      </c>
      <c r="K191" s="2295" t="s">
        <v>392</v>
      </c>
      <c r="L191" s="2256"/>
      <c r="M191" s="2769">
        <f>SUM(M192:M200)</f>
        <v>450949</v>
      </c>
      <c r="N191" s="2703"/>
      <c r="P191" s="934"/>
      <c r="Q191" s="934"/>
      <c r="R191" s="934"/>
    </row>
    <row r="192" spans="1:24" s="2273" customFormat="1" ht="18" customHeight="1">
      <c r="A192" s="2265"/>
      <c r="B192" s="2266"/>
      <c r="C192" s="2266"/>
      <c r="D192" s="2266"/>
      <c r="E192" s="2266"/>
      <c r="F192" s="2297"/>
      <c r="G192" s="2258"/>
      <c r="H192" s="2259"/>
      <c r="I192" s="2259"/>
      <c r="J192" s="2260"/>
      <c r="K192" s="2278" t="s">
        <v>690</v>
      </c>
      <c r="L192" s="1046" t="s">
        <v>6</v>
      </c>
      <c r="M192" s="2665">
        <f t="shared" ref="M192:M200" si="10">ROUNDUP(P192*Q192/1000,0)</f>
        <v>20</v>
      </c>
      <c r="N192" s="1049" t="s">
        <v>2025</v>
      </c>
      <c r="P192" s="934">
        <v>20000</v>
      </c>
      <c r="Q192" s="934">
        <v>1</v>
      </c>
      <c r="R192" s="934"/>
    </row>
    <row r="193" spans="1:24" s="2273" customFormat="1" ht="18" customHeight="1">
      <c r="A193" s="2265"/>
      <c r="B193" s="2266"/>
      <c r="C193" s="2266"/>
      <c r="D193" s="2266"/>
      <c r="E193" s="2266"/>
      <c r="F193" s="2297"/>
      <c r="G193" s="2258"/>
      <c r="H193" s="2259"/>
      <c r="I193" s="2259"/>
      <c r="J193" s="2260"/>
      <c r="K193" s="2278" t="s">
        <v>691</v>
      </c>
      <c r="L193" s="1046" t="s">
        <v>6</v>
      </c>
      <c r="M193" s="2665">
        <f t="shared" si="10"/>
        <v>35</v>
      </c>
      <c r="N193" s="1049" t="s">
        <v>2025</v>
      </c>
      <c r="O193" s="2249"/>
      <c r="P193" s="934">
        <v>35000</v>
      </c>
      <c r="Q193" s="934">
        <v>1</v>
      </c>
      <c r="R193" s="934"/>
    </row>
    <row r="194" spans="1:24" s="2273" customFormat="1" ht="18" customHeight="1">
      <c r="A194" s="2265"/>
      <c r="B194" s="2266"/>
      <c r="C194" s="2266"/>
      <c r="D194" s="2266"/>
      <c r="E194" s="2266"/>
      <c r="F194" s="2297"/>
      <c r="G194" s="2258"/>
      <c r="H194" s="2259"/>
      <c r="I194" s="2259"/>
      <c r="J194" s="2260"/>
      <c r="K194" s="2278" t="s">
        <v>2026</v>
      </c>
      <c r="L194" s="1046" t="s">
        <v>6</v>
      </c>
      <c r="M194" s="2665">
        <f>ROUNDUP(P194*Q194*R194/1000,0)</f>
        <v>858</v>
      </c>
      <c r="N194" s="1036" t="s">
        <v>668</v>
      </c>
      <c r="P194" s="934">
        <v>260</v>
      </c>
      <c r="Q194" s="934">
        <v>3299</v>
      </c>
      <c r="R194" s="934">
        <v>1</v>
      </c>
    </row>
    <row r="195" spans="1:24" s="2273" customFormat="1" ht="18" customHeight="1">
      <c r="A195" s="2265"/>
      <c r="B195" s="2266"/>
      <c r="C195" s="2266"/>
      <c r="D195" s="2266"/>
      <c r="E195" s="2266"/>
      <c r="F195" s="2297"/>
      <c r="G195" s="2258"/>
      <c r="H195" s="2259"/>
      <c r="I195" s="2259"/>
      <c r="J195" s="2260"/>
      <c r="K195" s="2278" t="s">
        <v>2027</v>
      </c>
      <c r="L195" s="1046" t="s">
        <v>6</v>
      </c>
      <c r="M195" s="2665">
        <f t="shared" si="10"/>
        <v>396</v>
      </c>
      <c r="N195" s="1048" t="s">
        <v>669</v>
      </c>
      <c r="P195" s="934">
        <v>33000</v>
      </c>
      <c r="Q195" s="934">
        <v>12</v>
      </c>
      <c r="R195" s="934"/>
    </row>
    <row r="196" spans="1:24" s="2273" customFormat="1" ht="18" customHeight="1">
      <c r="A196" s="2265"/>
      <c r="B196" s="2266"/>
      <c r="C196" s="2266"/>
      <c r="D196" s="2266"/>
      <c r="E196" s="2266"/>
      <c r="F196" s="2297"/>
      <c r="G196" s="2258"/>
      <c r="H196" s="2259"/>
      <c r="I196" s="2259"/>
      <c r="J196" s="2260"/>
      <c r="K196" s="2278" t="s">
        <v>2395</v>
      </c>
      <c r="L196" s="1046" t="s">
        <v>6</v>
      </c>
      <c r="M196" s="2665">
        <f>ROUNDUP(P196*Q196/1000,0)</f>
        <v>192000</v>
      </c>
      <c r="N196" s="1036" t="s">
        <v>2028</v>
      </c>
      <c r="P196" s="934">
        <v>16000000</v>
      </c>
      <c r="Q196" s="934">
        <v>12</v>
      </c>
      <c r="R196" s="934"/>
    </row>
    <row r="197" spans="1:24" s="2273" customFormat="1" ht="18" customHeight="1">
      <c r="A197" s="2265"/>
      <c r="B197" s="2266"/>
      <c r="C197" s="2266"/>
      <c r="D197" s="2266"/>
      <c r="E197" s="2266"/>
      <c r="F197" s="2297"/>
      <c r="G197" s="2258"/>
      <c r="H197" s="2259"/>
      <c r="I197" s="2259"/>
      <c r="J197" s="2260"/>
      <c r="K197" s="2278" t="s">
        <v>2396</v>
      </c>
      <c r="L197" s="1046" t="s">
        <v>6</v>
      </c>
      <c r="M197" s="2665">
        <f>ROUNDUP(P197*Q197/1000,0)</f>
        <v>174000</v>
      </c>
      <c r="N197" s="1036" t="s">
        <v>2028</v>
      </c>
      <c r="P197" s="934">
        <v>14500000</v>
      </c>
      <c r="Q197" s="934">
        <v>12</v>
      </c>
      <c r="R197" s="934"/>
    </row>
    <row r="198" spans="1:24" s="2273" customFormat="1" ht="18" customHeight="1">
      <c r="A198" s="2265"/>
      <c r="B198" s="2266"/>
      <c r="C198" s="2266"/>
      <c r="D198" s="2266"/>
      <c r="E198" s="2266"/>
      <c r="F198" s="2297"/>
      <c r="G198" s="2258"/>
      <c r="H198" s="2259"/>
      <c r="I198" s="2259"/>
      <c r="J198" s="2260"/>
      <c r="K198" s="2278" t="s">
        <v>2397</v>
      </c>
      <c r="L198" s="1046" t="s">
        <v>6</v>
      </c>
      <c r="M198" s="2665">
        <f t="shared" si="10"/>
        <v>78000</v>
      </c>
      <c r="N198" s="1036" t="s">
        <v>2028</v>
      </c>
      <c r="P198" s="934">
        <v>6500000</v>
      </c>
      <c r="Q198" s="934">
        <v>12</v>
      </c>
      <c r="R198" s="934"/>
    </row>
    <row r="199" spans="1:24" s="2273" customFormat="1" ht="18" customHeight="1">
      <c r="A199" s="2265"/>
      <c r="B199" s="2266"/>
      <c r="C199" s="2266"/>
      <c r="D199" s="2266"/>
      <c r="E199" s="2266"/>
      <c r="F199" s="2297"/>
      <c r="G199" s="2258"/>
      <c r="H199" s="2259"/>
      <c r="I199" s="2259"/>
      <c r="J199" s="2260"/>
      <c r="K199" s="2278" t="s">
        <v>2029</v>
      </c>
      <c r="L199" s="1046" t="s">
        <v>6</v>
      </c>
      <c r="M199" s="2665">
        <f t="shared" si="10"/>
        <v>3600</v>
      </c>
      <c r="N199" s="1048" t="s">
        <v>2030</v>
      </c>
      <c r="P199" s="934">
        <v>300000</v>
      </c>
      <c r="Q199" s="934">
        <v>12</v>
      </c>
      <c r="R199" s="934"/>
    </row>
    <row r="200" spans="1:24" s="2273" customFormat="1" ht="18" customHeight="1">
      <c r="A200" s="2265"/>
      <c r="B200" s="2266"/>
      <c r="C200" s="2266"/>
      <c r="D200" s="2266"/>
      <c r="E200" s="2266"/>
      <c r="F200" s="2297"/>
      <c r="G200" s="2299"/>
      <c r="H200" s="2300"/>
      <c r="I200" s="2300"/>
      <c r="J200" s="2230"/>
      <c r="K200" s="2301" t="s">
        <v>692</v>
      </c>
      <c r="L200" s="1050" t="s">
        <v>6</v>
      </c>
      <c r="M200" s="2425">
        <f t="shared" si="10"/>
        <v>2040</v>
      </c>
      <c r="N200" s="1049" t="s">
        <v>2031</v>
      </c>
      <c r="P200" s="934">
        <v>170000</v>
      </c>
      <c r="Q200" s="934">
        <v>12</v>
      </c>
      <c r="R200" s="934"/>
    </row>
    <row r="201" spans="1:24" s="2" customFormat="1" ht="18" customHeight="1">
      <c r="A201" s="64"/>
      <c r="B201" s="22"/>
      <c r="C201" s="22"/>
      <c r="D201" s="1026" t="s">
        <v>861</v>
      </c>
      <c r="E201" s="1027"/>
      <c r="F201" s="1027"/>
      <c r="G201" s="1028"/>
      <c r="H201" s="1029">
        <f>H202</f>
        <v>69856</v>
      </c>
      <c r="I201" s="1029">
        <f>I202</f>
        <v>71540</v>
      </c>
      <c r="J201" s="826">
        <f>H201-I201</f>
        <v>-1684</v>
      </c>
      <c r="K201" s="684"/>
      <c r="L201" s="1030"/>
      <c r="M201" s="680"/>
      <c r="N201" s="2096"/>
      <c r="O201" s="3"/>
      <c r="P201" s="934"/>
      <c r="Q201" s="934"/>
      <c r="R201" s="934"/>
      <c r="S201" s="1023"/>
      <c r="T201" s="1024"/>
      <c r="U201" s="1025"/>
    </row>
    <row r="202" spans="1:24" s="2" customFormat="1" ht="18" customHeight="1">
      <c r="A202" s="64"/>
      <c r="B202" s="22"/>
      <c r="C202" s="832"/>
      <c r="D202" s="1032"/>
      <c r="E202" s="1026" t="s">
        <v>855</v>
      </c>
      <c r="F202" s="1027"/>
      <c r="G202" s="1028"/>
      <c r="H202" s="825">
        <f>H203+H210</f>
        <v>69856</v>
      </c>
      <c r="I202" s="825">
        <f>I203+I210</f>
        <v>71540</v>
      </c>
      <c r="J202" s="826">
        <f>H202-I202</f>
        <v>-1684</v>
      </c>
      <c r="K202" s="728"/>
      <c r="L202" s="827"/>
      <c r="M202" s="694"/>
      <c r="N202" s="2096"/>
      <c r="O202" s="3"/>
      <c r="P202" s="934"/>
      <c r="Q202" s="934"/>
      <c r="R202" s="934"/>
      <c r="S202" s="1023"/>
      <c r="T202" s="76"/>
      <c r="U202" s="1025"/>
    </row>
    <row r="203" spans="1:24" s="2273" customFormat="1" ht="18" customHeight="1">
      <c r="A203" s="2222"/>
      <c r="B203" s="2223"/>
      <c r="C203" s="2223"/>
      <c r="D203" s="2223"/>
      <c r="E203" s="2223"/>
      <c r="F203" s="2227" t="s">
        <v>494</v>
      </c>
      <c r="G203" s="2268"/>
      <c r="H203" s="2229">
        <f>H204+H206</f>
        <v>5656</v>
      </c>
      <c r="I203" s="2229">
        <f>I204+I206</f>
        <v>7040</v>
      </c>
      <c r="J203" s="2302">
        <f>H203-I203</f>
        <v>-1384</v>
      </c>
      <c r="K203" s="2303"/>
      <c r="L203" s="2304"/>
      <c r="M203" s="2770"/>
      <c r="N203" s="2305"/>
      <c r="O203" s="2249"/>
      <c r="P203" s="934"/>
      <c r="Q203" s="934"/>
      <c r="R203" s="934"/>
      <c r="S203" s="2249"/>
      <c r="T203" s="2249"/>
      <c r="U203" s="2249"/>
      <c r="V203" s="2249"/>
      <c r="W203" s="2249"/>
      <c r="X203" s="2249"/>
    </row>
    <row r="204" spans="1:24" s="2273" customFormat="1" ht="18" customHeight="1">
      <c r="A204" s="2222"/>
      <c r="B204" s="2223"/>
      <c r="C204" s="2223"/>
      <c r="D204" s="2223"/>
      <c r="E204" s="2223"/>
      <c r="F204" s="2306"/>
      <c r="G204" s="2223" t="s">
        <v>379</v>
      </c>
      <c r="H204" s="2277">
        <f>M204</f>
        <v>500</v>
      </c>
      <c r="I204" s="2277">
        <v>800</v>
      </c>
      <c r="J204" s="2260">
        <f>H204-I204</f>
        <v>-300</v>
      </c>
      <c r="K204" s="2307" t="s">
        <v>379</v>
      </c>
      <c r="L204" s="2308"/>
      <c r="M204" s="2771">
        <f>M205</f>
        <v>500</v>
      </c>
      <c r="N204" s="2309"/>
      <c r="O204" s="2249"/>
      <c r="P204" s="934"/>
      <c r="Q204" s="934"/>
      <c r="R204" s="934"/>
      <c r="S204" s="2249"/>
      <c r="T204" s="2249"/>
      <c r="U204" s="2249"/>
      <c r="V204" s="2249"/>
      <c r="W204" s="2249"/>
      <c r="X204" s="2249"/>
    </row>
    <row r="205" spans="1:24" s="2273" customFormat="1" ht="18" customHeight="1">
      <c r="A205" s="2222"/>
      <c r="B205" s="2223"/>
      <c r="C205" s="2223"/>
      <c r="D205" s="2223"/>
      <c r="E205" s="2223"/>
      <c r="F205" s="2306"/>
      <c r="G205" s="2299"/>
      <c r="H205" s="2310"/>
      <c r="I205" s="2310"/>
      <c r="J205" s="2230"/>
      <c r="K205" s="2712" t="s">
        <v>2301</v>
      </c>
      <c r="L205" s="2713" t="s">
        <v>6</v>
      </c>
      <c r="M205" s="2714">
        <f>ROUNDUP(P205*Q205/1000,0)</f>
        <v>500</v>
      </c>
      <c r="N205" s="2244" t="s">
        <v>2032</v>
      </c>
      <c r="O205" s="2249"/>
      <c r="P205" s="934">
        <v>500000</v>
      </c>
      <c r="Q205" s="934">
        <v>1</v>
      </c>
      <c r="R205" s="934"/>
      <c r="S205" s="2249"/>
      <c r="T205" s="2249"/>
      <c r="U205" s="2249"/>
      <c r="V205" s="2249"/>
      <c r="W205" s="2249"/>
      <c r="X205" s="2249"/>
    </row>
    <row r="206" spans="1:24" s="2273" customFormat="1" ht="18" customHeight="1">
      <c r="A206" s="2222"/>
      <c r="B206" s="2223"/>
      <c r="C206" s="2223"/>
      <c r="D206" s="2223"/>
      <c r="E206" s="2223"/>
      <c r="F206" s="2306"/>
      <c r="G206" s="2223" t="s">
        <v>497</v>
      </c>
      <c r="H206" s="2277">
        <f>M206</f>
        <v>5156</v>
      </c>
      <c r="I206" s="2277">
        <v>6240</v>
      </c>
      <c r="J206" s="2260">
        <f>H206-I206</f>
        <v>-1084</v>
      </c>
      <c r="K206" s="2311" t="s">
        <v>497</v>
      </c>
      <c r="L206" s="2312"/>
      <c r="M206" s="2772">
        <f>SUM(M207:M209)</f>
        <v>5156</v>
      </c>
      <c r="N206" s="2309"/>
      <c r="O206" s="2249"/>
      <c r="P206" s="934"/>
      <c r="Q206" s="934"/>
      <c r="R206" s="934"/>
      <c r="S206" s="2249"/>
      <c r="T206" s="2249"/>
      <c r="U206" s="2249"/>
      <c r="V206" s="2249"/>
      <c r="W206" s="2249"/>
      <c r="X206" s="2249"/>
    </row>
    <row r="207" spans="1:24" s="2273" customFormat="1" ht="18" customHeight="1">
      <c r="A207" s="2222"/>
      <c r="B207" s="2223"/>
      <c r="C207" s="2223"/>
      <c r="D207" s="2250"/>
      <c r="E207" s="2250"/>
      <c r="F207" s="2313"/>
      <c r="G207" s="2250"/>
      <c r="H207" s="2277"/>
      <c r="I207" s="2277"/>
      <c r="J207" s="2260"/>
      <c r="K207" s="2314" t="s">
        <v>2302</v>
      </c>
      <c r="L207" s="1038" t="s">
        <v>292</v>
      </c>
      <c r="M207" s="2773">
        <f>ROUNDUP(P207*Q207*R207/1000,0)</f>
        <v>1268</v>
      </c>
      <c r="N207" s="2315" t="s">
        <v>2033</v>
      </c>
      <c r="O207" s="2249"/>
      <c r="P207" s="934">
        <v>8800</v>
      </c>
      <c r="Q207" s="934">
        <v>12</v>
      </c>
      <c r="R207" s="934">
        <v>12</v>
      </c>
      <c r="S207" s="2249"/>
      <c r="T207" s="2249"/>
      <c r="U207" s="2249"/>
      <c r="V207" s="2249"/>
      <c r="W207" s="2249"/>
      <c r="X207" s="2249"/>
    </row>
    <row r="208" spans="1:24" s="2257" customFormat="1" ht="18" customHeight="1">
      <c r="A208" s="2222"/>
      <c r="B208" s="2223"/>
      <c r="C208" s="2223"/>
      <c r="D208" s="2250"/>
      <c r="E208" s="2250"/>
      <c r="F208" s="2313"/>
      <c r="G208" s="2250"/>
      <c r="H208" s="2277"/>
      <c r="I208" s="2277"/>
      <c r="J208" s="2260"/>
      <c r="K208" s="2314" t="s">
        <v>2034</v>
      </c>
      <c r="L208" s="1038" t="s">
        <v>292</v>
      </c>
      <c r="M208" s="2773">
        <f>ROUNDUP(P208*Q208*R208/1000,0)</f>
        <v>1584</v>
      </c>
      <c r="N208" s="2315" t="s">
        <v>2035</v>
      </c>
      <c r="O208" s="2249"/>
      <c r="P208" s="934">
        <v>22000</v>
      </c>
      <c r="Q208" s="934">
        <v>6</v>
      </c>
      <c r="R208" s="934">
        <v>12</v>
      </c>
      <c r="S208" s="2249"/>
      <c r="T208" s="2249"/>
      <c r="U208" s="2249"/>
      <c r="V208" s="2249"/>
      <c r="W208" s="2249"/>
      <c r="X208" s="2249"/>
    </row>
    <row r="209" spans="1:24" s="2257" customFormat="1" ht="18" customHeight="1">
      <c r="A209" s="2222"/>
      <c r="B209" s="2223"/>
      <c r="C209" s="2223"/>
      <c r="D209" s="2316"/>
      <c r="E209" s="2316"/>
      <c r="F209" s="2317"/>
      <c r="G209" s="2317"/>
      <c r="H209" s="2277"/>
      <c r="I209" s="2277"/>
      <c r="J209" s="2260"/>
      <c r="K209" s="2314" t="s">
        <v>2036</v>
      </c>
      <c r="L209" s="1038" t="s">
        <v>292</v>
      </c>
      <c r="M209" s="2773">
        <f>ROUNDUP(P209*Q209*R209/1000,0)</f>
        <v>2304</v>
      </c>
      <c r="N209" s="1040" t="s">
        <v>2037</v>
      </c>
      <c r="O209" s="2249"/>
      <c r="P209" s="934">
        <v>24000</v>
      </c>
      <c r="Q209" s="934">
        <v>8</v>
      </c>
      <c r="R209" s="934">
        <v>12</v>
      </c>
      <c r="S209" s="2249"/>
      <c r="T209" s="2249"/>
      <c r="U209" s="2249"/>
      <c r="V209" s="2249"/>
      <c r="W209" s="2249"/>
      <c r="X209" s="2249"/>
    </row>
    <row r="210" spans="1:24" s="2257" customFormat="1" ht="18" customHeight="1">
      <c r="A210" s="2318"/>
      <c r="B210" s="2316"/>
      <c r="C210" s="2316"/>
      <c r="D210" s="2316"/>
      <c r="E210" s="2316"/>
      <c r="F210" s="2319" t="s">
        <v>46</v>
      </c>
      <c r="G210" s="2320"/>
      <c r="H210" s="2229">
        <f>H211</f>
        <v>64200</v>
      </c>
      <c r="I210" s="2229">
        <f>I211</f>
        <v>64500</v>
      </c>
      <c r="J210" s="2302">
        <f>H210-I210</f>
        <v>-300</v>
      </c>
      <c r="K210" s="2321"/>
      <c r="L210" s="2322"/>
      <c r="M210" s="2774"/>
      <c r="N210" s="2309"/>
      <c r="O210" s="2249"/>
      <c r="P210" s="934"/>
      <c r="Q210" s="934"/>
      <c r="R210" s="934"/>
      <c r="S210" s="2249"/>
      <c r="T210" s="2249"/>
      <c r="U210" s="2249"/>
      <c r="V210" s="2249"/>
      <c r="W210" s="2249"/>
      <c r="X210" s="2249"/>
    </row>
    <row r="211" spans="1:24" s="2249" customFormat="1" ht="18" customHeight="1">
      <c r="A211" s="2318"/>
      <c r="B211" s="2316"/>
      <c r="C211" s="2316"/>
      <c r="D211" s="2316"/>
      <c r="E211" s="2316"/>
      <c r="F211" s="2323"/>
      <c r="G211" s="2316" t="s">
        <v>498</v>
      </c>
      <c r="H211" s="2277">
        <f>M211</f>
        <v>64200</v>
      </c>
      <c r="I211" s="2277">
        <v>64500</v>
      </c>
      <c r="J211" s="2284">
        <f>H211-I211</f>
        <v>-300</v>
      </c>
      <c r="K211" s="2324" t="s">
        <v>498</v>
      </c>
      <c r="L211" s="2325" t="s">
        <v>6</v>
      </c>
      <c r="M211" s="2775">
        <f>SUM(M212:M228)</f>
        <v>64200</v>
      </c>
      <c r="N211" s="2309"/>
      <c r="P211" s="934"/>
      <c r="Q211" s="934"/>
      <c r="R211" s="934"/>
    </row>
    <row r="212" spans="1:24" s="2249" customFormat="1" ht="18" customHeight="1">
      <c r="A212" s="2318"/>
      <c r="B212" s="2316"/>
      <c r="C212" s="2316"/>
      <c r="D212" s="2326"/>
      <c r="E212" s="2326"/>
      <c r="F212" s="2327"/>
      <c r="G212" s="2326"/>
      <c r="H212" s="2277"/>
      <c r="I212" s="2277"/>
      <c r="J212" s="2284"/>
      <c r="K212" s="2278" t="s">
        <v>2303</v>
      </c>
      <c r="L212" s="2618" t="s">
        <v>292</v>
      </c>
      <c r="M212" s="2665">
        <f>ROUNDUP(P212*Q212*R212/1000,0)</f>
        <v>1800</v>
      </c>
      <c r="N212" s="936" t="s">
        <v>2038</v>
      </c>
      <c r="O212" s="2328"/>
      <c r="P212" s="934">
        <v>150000</v>
      </c>
      <c r="Q212" s="934">
        <v>12</v>
      </c>
      <c r="R212" s="934">
        <v>1</v>
      </c>
      <c r="S212" s="2329"/>
    </row>
    <row r="213" spans="1:24" s="2249" customFormat="1" ht="18" customHeight="1">
      <c r="A213" s="2318"/>
      <c r="B213" s="2316"/>
      <c r="C213" s="2316"/>
      <c r="D213" s="2326"/>
      <c r="E213" s="2326"/>
      <c r="F213" s="2327"/>
      <c r="G213" s="2326"/>
      <c r="H213" s="2277"/>
      <c r="I213" s="2277"/>
      <c r="J213" s="2284"/>
      <c r="K213" s="2278" t="s">
        <v>2304</v>
      </c>
      <c r="L213" s="2618" t="s">
        <v>292</v>
      </c>
      <c r="M213" s="2665">
        <f>ROUNDUP(P213*Q213*R213/1000,0)</f>
        <v>1800</v>
      </c>
      <c r="N213" s="936" t="s">
        <v>2039</v>
      </c>
      <c r="P213" s="934">
        <v>200000</v>
      </c>
      <c r="Q213" s="934">
        <v>9</v>
      </c>
      <c r="R213" s="934">
        <v>1</v>
      </c>
      <c r="S213" s="2329"/>
    </row>
    <row r="214" spans="1:24" s="2249" customFormat="1" ht="18" customHeight="1">
      <c r="A214" s="2318"/>
      <c r="B214" s="2316"/>
      <c r="C214" s="2316"/>
      <c r="D214" s="2326"/>
      <c r="E214" s="2326"/>
      <c r="F214" s="2327"/>
      <c r="G214" s="2326"/>
      <c r="H214" s="2277"/>
      <c r="I214" s="2277"/>
      <c r="J214" s="2284"/>
      <c r="K214" s="2278" t="s">
        <v>2305</v>
      </c>
      <c r="L214" s="2618" t="s">
        <v>292</v>
      </c>
      <c r="M214" s="2665">
        <f t="shared" ref="M214:M228" si="11">ROUNDUP(P214*Q214/1000,0)</f>
        <v>1800</v>
      </c>
      <c r="N214" s="936" t="s">
        <v>670</v>
      </c>
      <c r="O214" s="2328"/>
      <c r="P214" s="934">
        <v>150000</v>
      </c>
      <c r="Q214" s="934">
        <v>12</v>
      </c>
      <c r="R214" s="934"/>
    </row>
    <row r="215" spans="1:24" s="2249" customFormat="1" ht="18" customHeight="1">
      <c r="A215" s="2318"/>
      <c r="B215" s="2316"/>
      <c r="C215" s="2316"/>
      <c r="D215" s="2326"/>
      <c r="E215" s="2326"/>
      <c r="F215" s="2327"/>
      <c r="G215" s="2326"/>
      <c r="H215" s="2277"/>
      <c r="I215" s="2277"/>
      <c r="J215" s="2284"/>
      <c r="K215" s="2278" t="s">
        <v>695</v>
      </c>
      <c r="L215" s="2618" t="s">
        <v>292</v>
      </c>
      <c r="M215" s="2665">
        <f t="shared" si="11"/>
        <v>1800</v>
      </c>
      <c r="N215" s="936" t="s">
        <v>671</v>
      </c>
      <c r="P215" s="934">
        <v>150000</v>
      </c>
      <c r="Q215" s="934">
        <v>12</v>
      </c>
      <c r="R215" s="934"/>
    </row>
    <row r="216" spans="1:24" s="2249" customFormat="1" ht="18" customHeight="1">
      <c r="A216" s="2318"/>
      <c r="B216" s="2316"/>
      <c r="C216" s="2316"/>
      <c r="D216" s="2326"/>
      <c r="E216" s="2326"/>
      <c r="F216" s="2327"/>
      <c r="G216" s="2326"/>
      <c r="H216" s="2277"/>
      <c r="I216" s="2277"/>
      <c r="J216" s="2284"/>
      <c r="K216" s="2330" t="s">
        <v>2040</v>
      </c>
      <c r="L216" s="2618" t="s">
        <v>292</v>
      </c>
      <c r="M216" s="2665">
        <f t="shared" si="11"/>
        <v>3000</v>
      </c>
      <c r="N216" s="936" t="s">
        <v>2041</v>
      </c>
      <c r="O216" s="2328"/>
      <c r="P216" s="934">
        <v>1000000</v>
      </c>
      <c r="Q216" s="934">
        <v>3</v>
      </c>
      <c r="R216" s="934"/>
    </row>
    <row r="217" spans="1:24" s="2249" customFormat="1" ht="18" customHeight="1">
      <c r="A217" s="2318"/>
      <c r="B217" s="2316"/>
      <c r="C217" s="2316"/>
      <c r="D217" s="2326"/>
      <c r="E217" s="2326"/>
      <c r="F217" s="2327"/>
      <c r="G217" s="2326"/>
      <c r="H217" s="2277"/>
      <c r="I217" s="2277"/>
      <c r="J217" s="2284"/>
      <c r="K217" s="2293" t="s">
        <v>2306</v>
      </c>
      <c r="L217" s="2618" t="s">
        <v>292</v>
      </c>
      <c r="M217" s="2665">
        <f t="shared" si="11"/>
        <v>4000</v>
      </c>
      <c r="N217" s="936" t="s">
        <v>2042</v>
      </c>
      <c r="O217" s="2328"/>
      <c r="P217" s="934">
        <v>800000</v>
      </c>
      <c r="Q217" s="934">
        <v>5</v>
      </c>
      <c r="R217" s="934">
        <v>1</v>
      </c>
    </row>
    <row r="218" spans="1:24" s="2249" customFormat="1" ht="18" customHeight="1">
      <c r="A218" s="2318"/>
      <c r="B218" s="2316"/>
      <c r="C218" s="2316"/>
      <c r="D218" s="2326"/>
      <c r="E218" s="2326"/>
      <c r="F218" s="2327"/>
      <c r="G218" s="2326"/>
      <c r="H218" s="2277"/>
      <c r="I218" s="2277"/>
      <c r="J218" s="2284"/>
      <c r="K218" s="2278" t="s">
        <v>2307</v>
      </c>
      <c r="L218" s="2618" t="s">
        <v>292</v>
      </c>
      <c r="M218" s="2665">
        <f t="shared" si="11"/>
        <v>3000</v>
      </c>
      <c r="N218" s="936" t="s">
        <v>2043</v>
      </c>
      <c r="O218" s="2328"/>
      <c r="P218" s="934">
        <v>600000</v>
      </c>
      <c r="Q218" s="934">
        <v>5</v>
      </c>
      <c r="R218" s="934">
        <v>1</v>
      </c>
    </row>
    <row r="219" spans="1:24" s="2249" customFormat="1" ht="18" customHeight="1">
      <c r="A219" s="2318"/>
      <c r="B219" s="2316"/>
      <c r="C219" s="2316"/>
      <c r="D219" s="2326"/>
      <c r="E219" s="2326"/>
      <c r="F219" s="2327"/>
      <c r="G219" s="2326"/>
      <c r="H219" s="2277"/>
      <c r="I219" s="2277"/>
      <c r="J219" s="2284"/>
      <c r="K219" s="2278" t="s">
        <v>2398</v>
      </c>
      <c r="L219" s="2618" t="s">
        <v>292</v>
      </c>
      <c r="M219" s="2665">
        <f t="shared" si="11"/>
        <v>2000</v>
      </c>
      <c r="N219" s="936" t="s">
        <v>2044</v>
      </c>
      <c r="O219" s="2328"/>
      <c r="P219" s="934">
        <v>2000000</v>
      </c>
      <c r="Q219" s="934">
        <v>1</v>
      </c>
      <c r="R219" s="934"/>
    </row>
    <row r="220" spans="1:24" s="2249" customFormat="1" ht="18" customHeight="1">
      <c r="A220" s="2318"/>
      <c r="B220" s="2316"/>
      <c r="C220" s="2316"/>
      <c r="D220" s="2326"/>
      <c r="E220" s="2326"/>
      <c r="F220" s="2327"/>
      <c r="G220" s="2326"/>
      <c r="H220" s="2277"/>
      <c r="I220" s="2277"/>
      <c r="J220" s="2284"/>
      <c r="K220" s="2278" t="s">
        <v>2308</v>
      </c>
      <c r="L220" s="2618" t="s">
        <v>292</v>
      </c>
      <c r="M220" s="2665">
        <f t="shared" si="11"/>
        <v>2500</v>
      </c>
      <c r="N220" s="936" t="s">
        <v>2045</v>
      </c>
      <c r="O220" s="2328"/>
      <c r="P220" s="934">
        <v>2500000</v>
      </c>
      <c r="Q220" s="934">
        <v>1</v>
      </c>
      <c r="R220" s="934"/>
    </row>
    <row r="221" spans="1:24" s="2332" customFormat="1" ht="18" customHeight="1">
      <c r="A221" s="2318"/>
      <c r="B221" s="2316"/>
      <c r="C221" s="2316"/>
      <c r="D221" s="2326"/>
      <c r="E221" s="2326"/>
      <c r="F221" s="2327"/>
      <c r="G221" s="2326"/>
      <c r="H221" s="2277"/>
      <c r="I221" s="2277"/>
      <c r="J221" s="2284"/>
      <c r="K221" s="2293" t="s">
        <v>2309</v>
      </c>
      <c r="L221" s="2618" t="s">
        <v>292</v>
      </c>
      <c r="M221" s="2665">
        <f t="shared" si="11"/>
        <v>5000</v>
      </c>
      <c r="N221" s="936" t="s">
        <v>2046</v>
      </c>
      <c r="O221" s="2331"/>
      <c r="P221" s="934">
        <v>2500000</v>
      </c>
      <c r="Q221" s="934">
        <v>2</v>
      </c>
      <c r="R221" s="934"/>
    </row>
    <row r="222" spans="1:24" s="2249" customFormat="1" ht="18" hidden="1" customHeight="1">
      <c r="A222" s="2318"/>
      <c r="B222" s="2316"/>
      <c r="C222" s="2316"/>
      <c r="D222" s="2326"/>
      <c r="E222" s="2326"/>
      <c r="F222" s="2327"/>
      <c r="G222" s="2326"/>
      <c r="H222" s="2277"/>
      <c r="I222" s="2277"/>
      <c r="J222" s="2284"/>
      <c r="K222" s="2278" t="s">
        <v>2310</v>
      </c>
      <c r="L222" s="2618" t="s">
        <v>292</v>
      </c>
      <c r="M222" s="2665">
        <f t="shared" si="11"/>
        <v>0</v>
      </c>
      <c r="N222" s="936" t="s">
        <v>2047</v>
      </c>
      <c r="O222" s="2328"/>
      <c r="P222" s="934">
        <v>0</v>
      </c>
      <c r="Q222" s="934">
        <v>1</v>
      </c>
      <c r="R222" s="934"/>
    </row>
    <row r="223" spans="1:24" s="2249" customFormat="1" ht="18" customHeight="1">
      <c r="A223" s="2318"/>
      <c r="B223" s="2316"/>
      <c r="C223" s="2316"/>
      <c r="D223" s="2326"/>
      <c r="E223" s="2326"/>
      <c r="F223" s="2327"/>
      <c r="G223" s="2326"/>
      <c r="H223" s="2277"/>
      <c r="I223" s="2277"/>
      <c r="J223" s="2284"/>
      <c r="K223" s="2293" t="s">
        <v>2399</v>
      </c>
      <c r="L223" s="2618" t="s">
        <v>292</v>
      </c>
      <c r="M223" s="2665">
        <f t="shared" si="11"/>
        <v>2000</v>
      </c>
      <c r="N223" s="936" t="s">
        <v>2048</v>
      </c>
      <c r="O223" s="2328"/>
      <c r="P223" s="934">
        <v>2000000</v>
      </c>
      <c r="Q223" s="934">
        <v>1</v>
      </c>
      <c r="R223" s="934"/>
    </row>
    <row r="224" spans="1:24" s="2249" customFormat="1" ht="18" customHeight="1">
      <c r="A224" s="2318"/>
      <c r="B224" s="2316"/>
      <c r="C224" s="2316"/>
      <c r="D224" s="2326"/>
      <c r="E224" s="2326"/>
      <c r="F224" s="2326"/>
      <c r="G224" s="2333"/>
      <c r="H224" s="2277"/>
      <c r="I224" s="2277"/>
      <c r="J224" s="2284"/>
      <c r="K224" s="2278" t="s">
        <v>994</v>
      </c>
      <c r="L224" s="2618" t="s">
        <v>292</v>
      </c>
      <c r="M224" s="2665">
        <f t="shared" si="11"/>
        <v>1500</v>
      </c>
      <c r="N224" s="936" t="s">
        <v>2049</v>
      </c>
      <c r="O224" s="2328"/>
      <c r="P224" s="934">
        <v>300000</v>
      </c>
      <c r="Q224" s="934">
        <v>5</v>
      </c>
      <c r="R224" s="934"/>
    </row>
    <row r="225" spans="1:70" s="2249" customFormat="1" ht="18" customHeight="1">
      <c r="A225" s="2318"/>
      <c r="B225" s="2316"/>
      <c r="C225" s="2316"/>
      <c r="D225" s="2326"/>
      <c r="E225" s="2326"/>
      <c r="F225" s="2326"/>
      <c r="G225" s="2333"/>
      <c r="H225" s="2277"/>
      <c r="I225" s="2277"/>
      <c r="J225" s="2284"/>
      <c r="K225" s="2334" t="s">
        <v>2400</v>
      </c>
      <c r="L225" s="2618" t="s">
        <v>292</v>
      </c>
      <c r="M225" s="2665">
        <f t="shared" si="11"/>
        <v>9000</v>
      </c>
      <c r="N225" s="936" t="s">
        <v>2311</v>
      </c>
      <c r="O225" s="2328"/>
      <c r="P225" s="934">
        <v>9000000</v>
      </c>
      <c r="Q225" s="934">
        <v>1</v>
      </c>
      <c r="R225" s="934"/>
    </row>
    <row r="226" spans="1:70" s="2249" customFormat="1" ht="18" hidden="1" customHeight="1">
      <c r="A226" s="2318"/>
      <c r="B226" s="2316"/>
      <c r="C226" s="2316"/>
      <c r="D226" s="2326"/>
      <c r="E226" s="2326"/>
      <c r="F226" s="2326"/>
      <c r="G226" s="2333"/>
      <c r="H226" s="2277"/>
      <c r="I226" s="2277"/>
      <c r="J226" s="2284"/>
      <c r="K226" s="2334" t="s">
        <v>2050</v>
      </c>
      <c r="L226" s="2618" t="s">
        <v>292</v>
      </c>
      <c r="M226" s="2665">
        <f t="shared" si="11"/>
        <v>0</v>
      </c>
      <c r="N226" s="936" t="s">
        <v>2051</v>
      </c>
      <c r="O226" s="2328"/>
      <c r="P226" s="934">
        <v>0</v>
      </c>
      <c r="Q226" s="934">
        <v>1</v>
      </c>
      <c r="R226" s="934"/>
    </row>
    <row r="227" spans="1:70" s="2249" customFormat="1" ht="18" customHeight="1">
      <c r="A227" s="2318"/>
      <c r="B227" s="2316"/>
      <c r="C227" s="2316"/>
      <c r="D227" s="2326"/>
      <c r="E227" s="2326"/>
      <c r="F227" s="2326"/>
      <c r="G227" s="2333"/>
      <c r="H227" s="2277"/>
      <c r="I227" s="2277"/>
      <c r="J227" s="2284"/>
      <c r="K227" s="2334" t="s">
        <v>2401</v>
      </c>
      <c r="L227" s="2618" t="s">
        <v>292</v>
      </c>
      <c r="M227" s="2665">
        <f t="shared" si="11"/>
        <v>15000</v>
      </c>
      <c r="N227" s="936" t="s">
        <v>2052</v>
      </c>
      <c r="O227" s="2328"/>
      <c r="P227" s="934">
        <v>15000000</v>
      </c>
      <c r="Q227" s="934">
        <v>1</v>
      </c>
      <c r="R227" s="934"/>
    </row>
    <row r="228" spans="1:70" s="2249" customFormat="1" ht="18" customHeight="1">
      <c r="A228" s="2318"/>
      <c r="B228" s="2316"/>
      <c r="C228" s="2316"/>
      <c r="D228" s="2326"/>
      <c r="E228" s="2326"/>
      <c r="F228" s="2326"/>
      <c r="G228" s="2333"/>
      <c r="H228" s="2277"/>
      <c r="I228" s="2277"/>
      <c r="J228" s="2284"/>
      <c r="K228" s="2334" t="s">
        <v>2053</v>
      </c>
      <c r="L228" s="2618" t="s">
        <v>292</v>
      </c>
      <c r="M228" s="2665">
        <f t="shared" si="11"/>
        <v>10000</v>
      </c>
      <c r="N228" s="936" t="s">
        <v>2054</v>
      </c>
      <c r="O228" s="2328"/>
      <c r="P228" s="934">
        <v>10000000</v>
      </c>
      <c r="Q228" s="934">
        <v>1</v>
      </c>
      <c r="R228" s="934"/>
    </row>
    <row r="229" spans="1:70" s="2" customFormat="1" ht="18" customHeight="1">
      <c r="A229" s="64"/>
      <c r="B229" s="22"/>
      <c r="C229" s="1299" t="s">
        <v>995</v>
      </c>
      <c r="D229" s="1027"/>
      <c r="E229" s="1027"/>
      <c r="F229" s="1027"/>
      <c r="G229" s="1028"/>
      <c r="H229" s="825">
        <f>H230+H280</f>
        <v>225039</v>
      </c>
      <c r="I229" s="825">
        <f>I230+I280</f>
        <v>224991</v>
      </c>
      <c r="J229" s="826">
        <f>H229-I229</f>
        <v>48</v>
      </c>
      <c r="K229" s="1119"/>
      <c r="L229" s="1056"/>
      <c r="M229" s="1057"/>
      <c r="N229" s="2978"/>
      <c r="O229" s="2979"/>
      <c r="P229" s="2979"/>
      <c r="Q229" s="2979"/>
      <c r="R229" s="2979"/>
      <c r="S229" s="2979"/>
      <c r="T229" s="2979"/>
      <c r="U229" s="2979"/>
    </row>
    <row r="230" spans="1:70" s="2" customFormat="1" ht="18" customHeight="1">
      <c r="A230" s="64"/>
      <c r="B230" s="22"/>
      <c r="C230" s="25"/>
      <c r="D230" s="1026" t="s">
        <v>862</v>
      </c>
      <c r="E230" s="1027"/>
      <c r="F230" s="1027"/>
      <c r="G230" s="1028"/>
      <c r="H230" s="825">
        <f>H231</f>
        <v>190795</v>
      </c>
      <c r="I230" s="825">
        <f>I231</f>
        <v>187895</v>
      </c>
      <c r="J230" s="826">
        <f>H230-I230</f>
        <v>2900</v>
      </c>
      <c r="K230" s="1055"/>
      <c r="L230" s="1056"/>
      <c r="M230" s="1057"/>
      <c r="N230" s="1022"/>
      <c r="O230" s="3"/>
      <c r="P230" s="68"/>
      <c r="Q230" s="1023"/>
      <c r="R230" s="1023"/>
      <c r="S230" s="1023"/>
      <c r="T230" s="1024"/>
      <c r="U230" s="1025"/>
    </row>
    <row r="231" spans="1:70" s="2" customFormat="1" ht="18" customHeight="1">
      <c r="A231" s="64"/>
      <c r="B231" s="22"/>
      <c r="C231" s="832"/>
      <c r="D231" s="1032"/>
      <c r="E231" s="1026" t="s">
        <v>855</v>
      </c>
      <c r="F231" s="1027"/>
      <c r="G231" s="1028"/>
      <c r="H231" s="825">
        <f>H232</f>
        <v>190795</v>
      </c>
      <c r="I231" s="825">
        <f>I232</f>
        <v>187895</v>
      </c>
      <c r="J231" s="826">
        <f>H231-I231</f>
        <v>2900</v>
      </c>
      <c r="K231" s="728"/>
      <c r="L231" s="827"/>
      <c r="M231" s="694">
        <f>M388+M541+M547+M550+M605</f>
        <v>0</v>
      </c>
      <c r="N231" s="1022"/>
      <c r="O231" s="3"/>
      <c r="P231" s="68"/>
      <c r="Q231" s="1023"/>
      <c r="R231" s="1023"/>
      <c r="S231" s="1023"/>
      <c r="T231" s="76"/>
      <c r="U231" s="1025"/>
    </row>
    <row r="232" spans="1:70" s="2249" customFormat="1" ht="18" customHeight="1">
      <c r="A232" s="2335"/>
      <c r="B232" s="2336"/>
      <c r="C232" s="2337"/>
      <c r="D232" s="2338"/>
      <c r="E232" s="2339"/>
      <c r="F232" s="3018" t="s">
        <v>327</v>
      </c>
      <c r="G232" s="3019"/>
      <c r="H232" s="2340">
        <f>SUM(H233+H251+H264+H268+H270)</f>
        <v>190795</v>
      </c>
      <c r="I232" s="2340">
        <f>SUM(I233+I251+I264+I268+I270+I249)</f>
        <v>187895</v>
      </c>
      <c r="J232" s="2341">
        <f t="shared" ref="J232:J233" si="12">H232-I232</f>
        <v>2900</v>
      </c>
      <c r="K232" s="1322" t="s">
        <v>327</v>
      </c>
      <c r="L232" s="1323"/>
      <c r="M232" s="2342">
        <f>M233+M251+M270+M264+M268+M249</f>
        <v>190795</v>
      </c>
      <c r="N232" s="2343"/>
      <c r="O232" s="1058"/>
      <c r="P232" s="1033"/>
      <c r="Q232" s="932"/>
      <c r="R232" s="932"/>
      <c r="S232" s="932"/>
      <c r="T232" s="932"/>
      <c r="U232" s="932"/>
    </row>
    <row r="233" spans="1:70" s="2249" customFormat="1" ht="18" customHeight="1">
      <c r="A233" s="2335"/>
      <c r="B233" s="2336"/>
      <c r="C233" s="2337"/>
      <c r="D233" s="2344"/>
      <c r="E233" s="2344"/>
      <c r="F233" s="1319"/>
      <c r="G233" s="1321" t="s">
        <v>320</v>
      </c>
      <c r="H233" s="2345">
        <f>M233</f>
        <v>17972</v>
      </c>
      <c r="I233" s="2345">
        <v>18232</v>
      </c>
      <c r="J233" s="2346">
        <f t="shared" si="12"/>
        <v>-260</v>
      </c>
      <c r="K233" s="1324" t="s">
        <v>328</v>
      </c>
      <c r="L233" s="1651"/>
      <c r="M233" s="2342">
        <f>M234+M239+M243+M244+M245+M246+M247+M248</f>
        <v>17972</v>
      </c>
      <c r="N233" s="2347"/>
      <c r="O233" s="1058"/>
      <c r="P233" s="1033"/>
      <c r="Q233" s="932"/>
      <c r="R233" s="932"/>
      <c r="S233" s="932"/>
      <c r="T233" s="932"/>
      <c r="U233" s="932"/>
      <c r="V233" s="2247"/>
      <c r="W233" s="2248"/>
      <c r="X233" s="2248"/>
      <c r="Y233" s="2248"/>
      <c r="Z233" s="2248"/>
      <c r="AA233" s="2248"/>
      <c r="AB233" s="2248"/>
      <c r="AC233" s="2248"/>
      <c r="AD233" s="2248"/>
      <c r="AE233" s="2248"/>
      <c r="AF233" s="2248"/>
      <c r="AG233" s="2248"/>
      <c r="AH233" s="2248"/>
      <c r="AI233" s="2248"/>
      <c r="AJ233" s="2248"/>
      <c r="AK233" s="2248"/>
      <c r="AL233" s="2248"/>
      <c r="AM233" s="2248"/>
      <c r="AN233" s="2248"/>
      <c r="AO233" s="2248"/>
      <c r="AP233" s="2248"/>
      <c r="AQ233" s="2248"/>
      <c r="AR233" s="2248"/>
      <c r="AS233" s="2248"/>
      <c r="AT233" s="2248"/>
      <c r="AU233" s="2248"/>
      <c r="AV233" s="2248"/>
      <c r="AW233" s="2248"/>
      <c r="AX233" s="2248"/>
      <c r="AY233" s="2248"/>
      <c r="AZ233" s="2248"/>
      <c r="BA233" s="2248"/>
      <c r="BB233" s="2248"/>
      <c r="BC233" s="2248"/>
      <c r="BD233" s="2248"/>
      <c r="BE233" s="2248"/>
      <c r="BF233" s="2248"/>
      <c r="BG233" s="2248"/>
      <c r="BH233" s="2248"/>
      <c r="BI233" s="2248"/>
      <c r="BJ233" s="2248"/>
      <c r="BK233" s="2248"/>
      <c r="BL233" s="2248"/>
      <c r="BM233" s="2248"/>
      <c r="BN233" s="2248"/>
      <c r="BO233" s="2248"/>
      <c r="BP233" s="2248"/>
      <c r="BQ233" s="2248"/>
      <c r="BR233" s="2248"/>
    </row>
    <row r="234" spans="1:70" s="2249" customFormat="1" ht="18" customHeight="1">
      <c r="A234" s="2335"/>
      <c r="B234" s="2336"/>
      <c r="C234" s="2337"/>
      <c r="D234" s="2344"/>
      <c r="E234" s="2344"/>
      <c r="F234" s="1319"/>
      <c r="G234" s="1319"/>
      <c r="H234" s="2348"/>
      <c r="I234" s="2348"/>
      <c r="J234" s="2349"/>
      <c r="K234" s="1325" t="s">
        <v>2055</v>
      </c>
      <c r="L234" s="1063"/>
      <c r="M234" s="2350">
        <f>SUM(M235:M238)</f>
        <v>5128</v>
      </c>
      <c r="N234" s="2351"/>
      <c r="O234" s="1058"/>
      <c r="P234" s="1033"/>
      <c r="Q234" s="932"/>
      <c r="R234" s="932"/>
      <c r="S234" s="932"/>
      <c r="T234" s="932"/>
      <c r="U234" s="932"/>
      <c r="V234" s="2247"/>
      <c r="W234" s="2248"/>
      <c r="X234" s="2248"/>
      <c r="Y234" s="2248"/>
      <c r="Z234" s="2248"/>
      <c r="AA234" s="2248"/>
      <c r="AB234" s="2248"/>
      <c r="AC234" s="2248"/>
      <c r="AD234" s="2248"/>
      <c r="AE234" s="2248"/>
      <c r="AF234" s="2248"/>
      <c r="AG234" s="2248"/>
      <c r="AH234" s="2248"/>
      <c r="AI234" s="2248"/>
      <c r="AJ234" s="2248"/>
      <c r="AK234" s="2248"/>
      <c r="AL234" s="2248"/>
      <c r="AM234" s="2248"/>
      <c r="AN234" s="2248"/>
      <c r="AO234" s="2248"/>
      <c r="AP234" s="2248"/>
      <c r="AQ234" s="2248"/>
      <c r="AR234" s="2248"/>
      <c r="AS234" s="2248"/>
      <c r="AT234" s="2248"/>
      <c r="AU234" s="2248"/>
      <c r="AV234" s="2248"/>
      <c r="AW234" s="2248"/>
      <c r="AX234" s="2248"/>
      <c r="AY234" s="2248"/>
      <c r="AZ234" s="2248"/>
      <c r="BA234" s="2248"/>
      <c r="BB234" s="2248"/>
      <c r="BC234" s="2248"/>
      <c r="BD234" s="2248"/>
      <c r="BE234" s="2248"/>
      <c r="BF234" s="2248"/>
      <c r="BG234" s="2248"/>
      <c r="BH234" s="2248"/>
      <c r="BI234" s="2248"/>
      <c r="BJ234" s="2248"/>
      <c r="BK234" s="2248"/>
      <c r="BL234" s="2248"/>
      <c r="BM234" s="2248"/>
      <c r="BN234" s="2248"/>
      <c r="BO234" s="2248"/>
      <c r="BP234" s="2248"/>
      <c r="BQ234" s="2248"/>
      <c r="BR234" s="2248"/>
    </row>
    <row r="235" spans="1:70" s="2249" customFormat="1" ht="18" customHeight="1">
      <c r="A235" s="2335"/>
      <c r="B235" s="2336"/>
      <c r="C235" s="2337"/>
      <c r="D235" s="2344"/>
      <c r="E235" s="2344"/>
      <c r="F235" s="1319"/>
      <c r="G235" s="1319"/>
      <c r="H235" s="2348"/>
      <c r="I235" s="2348"/>
      <c r="J235" s="2349"/>
      <c r="K235" s="1060" t="s">
        <v>996</v>
      </c>
      <c r="L235" s="2352" t="s">
        <v>292</v>
      </c>
      <c r="M235" s="2350">
        <v>828</v>
      </c>
      <c r="N235" s="2353" t="s">
        <v>696</v>
      </c>
      <c r="O235" s="1058"/>
      <c r="P235" s="1033"/>
      <c r="Q235" s="932"/>
      <c r="R235" s="932"/>
      <c r="S235" s="932"/>
      <c r="T235" s="932"/>
      <c r="U235" s="932"/>
      <c r="V235" s="2247"/>
      <c r="W235" s="2248"/>
      <c r="X235" s="2248"/>
      <c r="Y235" s="2248"/>
      <c r="Z235" s="2248"/>
      <c r="AA235" s="2248"/>
      <c r="AB235" s="2248"/>
      <c r="AC235" s="2248"/>
      <c r="AD235" s="2248"/>
      <c r="AE235" s="2248"/>
      <c r="AF235" s="2248"/>
      <c r="AG235" s="2248"/>
      <c r="AH235" s="2248"/>
      <c r="AI235" s="2248"/>
      <c r="AJ235" s="2248"/>
      <c r="AK235" s="2248"/>
      <c r="AL235" s="2248"/>
      <c r="AM235" s="2248"/>
      <c r="AN235" s="2248"/>
      <c r="AO235" s="2248"/>
      <c r="AP235" s="2248"/>
      <c r="AQ235" s="2248"/>
      <c r="AR235" s="2248"/>
      <c r="AS235" s="2248"/>
      <c r="AT235" s="2248"/>
      <c r="AU235" s="2248"/>
      <c r="AV235" s="2248"/>
      <c r="AW235" s="2248"/>
      <c r="AX235" s="2248"/>
      <c r="AY235" s="2248"/>
      <c r="AZ235" s="2248"/>
      <c r="BA235" s="2248"/>
      <c r="BB235" s="2248"/>
      <c r="BC235" s="2248"/>
      <c r="BD235" s="2248"/>
      <c r="BE235" s="2248"/>
      <c r="BF235" s="2248"/>
      <c r="BG235" s="2248"/>
      <c r="BH235" s="2248"/>
      <c r="BI235" s="2248"/>
      <c r="BJ235" s="2248"/>
      <c r="BK235" s="2248"/>
      <c r="BL235" s="2248"/>
      <c r="BM235" s="2248"/>
      <c r="BN235" s="2248"/>
      <c r="BO235" s="2248"/>
      <c r="BP235" s="2248"/>
      <c r="BQ235" s="2248"/>
      <c r="BR235" s="2248"/>
    </row>
    <row r="236" spans="1:70" s="2249" customFormat="1" ht="18" customHeight="1">
      <c r="A236" s="2335"/>
      <c r="B236" s="2336"/>
      <c r="C236" s="2337"/>
      <c r="D236" s="2344"/>
      <c r="E236" s="2344"/>
      <c r="F236" s="1319"/>
      <c r="G236" s="1319"/>
      <c r="H236" s="2348"/>
      <c r="I236" s="2348"/>
      <c r="J236" s="2349"/>
      <c r="K236" s="1325" t="s">
        <v>863</v>
      </c>
      <c r="L236" s="1063" t="s">
        <v>292</v>
      </c>
      <c r="M236" s="2350">
        <f>150*12</f>
        <v>1800</v>
      </c>
      <c r="N236" s="2351" t="s">
        <v>697</v>
      </c>
      <c r="O236" s="1058"/>
      <c r="P236" s="1033"/>
      <c r="Q236" s="932"/>
      <c r="R236" s="932"/>
      <c r="S236" s="932"/>
      <c r="T236" s="932"/>
      <c r="U236" s="932"/>
      <c r="V236" s="2247"/>
      <c r="W236" s="2248"/>
      <c r="X236" s="2248"/>
      <c r="Y236" s="2248"/>
      <c r="Z236" s="2248"/>
      <c r="AA236" s="2248"/>
      <c r="AB236" s="2248"/>
      <c r="AC236" s="2248"/>
      <c r="AD236" s="2248" t="s">
        <v>2056</v>
      </c>
      <c r="AE236" s="2248"/>
      <c r="AF236" s="2248"/>
      <c r="AG236" s="2248"/>
      <c r="AH236" s="2248"/>
      <c r="AI236" s="2248"/>
      <c r="AJ236" s="2248"/>
      <c r="AK236" s="2248"/>
      <c r="AL236" s="2248"/>
      <c r="AM236" s="2248"/>
      <c r="AN236" s="2248"/>
      <c r="AO236" s="2248"/>
      <c r="AP236" s="2248"/>
      <c r="AQ236" s="2248"/>
      <c r="AR236" s="2248"/>
      <c r="AS236" s="2248"/>
      <c r="AT236" s="2248"/>
      <c r="AU236" s="2248"/>
      <c r="AV236" s="2248"/>
      <c r="AW236" s="2248"/>
      <c r="AX236" s="2248"/>
      <c r="AY236" s="2248"/>
      <c r="AZ236" s="2248"/>
      <c r="BA236" s="2248"/>
      <c r="BB236" s="2248"/>
      <c r="BC236" s="2248"/>
      <c r="BD236" s="2248"/>
      <c r="BE236" s="2248"/>
      <c r="BF236" s="2248"/>
      <c r="BG236" s="2248"/>
      <c r="BH236" s="2248"/>
      <c r="BI236" s="2248"/>
      <c r="BJ236" s="2248"/>
      <c r="BK236" s="2248"/>
      <c r="BL236" s="2248"/>
      <c r="BM236" s="2248"/>
      <c r="BN236" s="2248"/>
      <c r="BO236" s="2248"/>
      <c r="BP236" s="2248"/>
      <c r="BQ236" s="2248"/>
      <c r="BR236" s="2248"/>
    </row>
    <row r="237" spans="1:70" s="2249" customFormat="1" ht="18" customHeight="1">
      <c r="A237" s="2335"/>
      <c r="B237" s="2336"/>
      <c r="C237" s="2337"/>
      <c r="D237" s="2344"/>
      <c r="E237" s="2344"/>
      <c r="F237" s="1319"/>
      <c r="G237" s="1319"/>
      <c r="H237" s="2348"/>
      <c r="I237" s="2348"/>
      <c r="J237" s="2349"/>
      <c r="K237" s="1325" t="s">
        <v>997</v>
      </c>
      <c r="L237" s="1063" t="s">
        <v>292</v>
      </c>
      <c r="M237" s="2350">
        <v>2000</v>
      </c>
      <c r="N237" s="2351" t="s">
        <v>698</v>
      </c>
      <c r="O237" s="1058"/>
      <c r="P237" s="1033"/>
      <c r="Q237" s="932"/>
      <c r="R237" s="932"/>
      <c r="S237" s="932"/>
      <c r="T237" s="932"/>
      <c r="U237" s="932"/>
      <c r="V237" s="2247"/>
      <c r="W237" s="2248"/>
      <c r="X237" s="2248"/>
      <c r="Y237" s="2248"/>
      <c r="Z237" s="2248"/>
      <c r="AA237" s="2248"/>
      <c r="AB237" s="2248"/>
      <c r="AC237" s="2248"/>
      <c r="AD237" s="2248" t="s">
        <v>2057</v>
      </c>
      <c r="AE237" s="2248"/>
      <c r="AF237" s="2248"/>
      <c r="AG237" s="2248"/>
      <c r="AH237" s="2248"/>
      <c r="AI237" s="2248"/>
      <c r="AJ237" s="2248"/>
      <c r="AK237" s="2248"/>
      <c r="AL237" s="2248"/>
      <c r="AM237" s="2248"/>
      <c r="AN237" s="2248"/>
      <c r="AO237" s="2248"/>
      <c r="AP237" s="2248"/>
      <c r="AQ237" s="2248"/>
      <c r="AR237" s="2248"/>
      <c r="AS237" s="2248"/>
      <c r="AT237" s="2248"/>
      <c r="AU237" s="2248"/>
      <c r="AV237" s="2248"/>
      <c r="AW237" s="2248"/>
      <c r="AX237" s="2248"/>
      <c r="AY237" s="2248"/>
      <c r="AZ237" s="2248"/>
      <c r="BA237" s="2248"/>
      <c r="BB237" s="2248"/>
      <c r="BC237" s="2248"/>
      <c r="BD237" s="2248"/>
      <c r="BE237" s="2248"/>
      <c r="BF237" s="2248"/>
      <c r="BG237" s="2248"/>
      <c r="BH237" s="2248"/>
      <c r="BI237" s="2248"/>
      <c r="BJ237" s="2248"/>
      <c r="BK237" s="2248"/>
      <c r="BL237" s="2248"/>
      <c r="BM237" s="2248"/>
      <c r="BN237" s="2248"/>
      <c r="BO237" s="2248"/>
      <c r="BP237" s="2248"/>
      <c r="BQ237" s="2248"/>
      <c r="BR237" s="2248"/>
    </row>
    <row r="238" spans="1:70" s="2249" customFormat="1" ht="18" customHeight="1">
      <c r="A238" s="2335"/>
      <c r="B238" s="2354"/>
      <c r="C238" s="2337"/>
      <c r="D238" s="2344"/>
      <c r="E238" s="2344"/>
      <c r="F238" s="1319"/>
      <c r="G238" s="1319"/>
      <c r="H238" s="2348"/>
      <c r="I238" s="2348"/>
      <c r="J238" s="2349"/>
      <c r="K238" s="1325" t="s">
        <v>2058</v>
      </c>
      <c r="L238" s="1063" t="s">
        <v>292</v>
      </c>
      <c r="M238" s="2350">
        <v>500</v>
      </c>
      <c r="N238" s="2351" t="s">
        <v>699</v>
      </c>
      <c r="O238" s="1058"/>
      <c r="P238" s="1033"/>
      <c r="Q238" s="932"/>
      <c r="R238" s="932"/>
      <c r="S238" s="932"/>
      <c r="T238" s="932"/>
      <c r="U238" s="932"/>
      <c r="V238" s="2247"/>
      <c r="W238" s="2248"/>
      <c r="X238" s="2248"/>
      <c r="Y238" s="2248"/>
      <c r="Z238" s="2248"/>
      <c r="AA238" s="2248"/>
      <c r="AB238" s="2248"/>
      <c r="AC238" s="2248"/>
      <c r="AD238" s="2248" t="s">
        <v>2059</v>
      </c>
      <c r="AE238" s="2248"/>
      <c r="AF238" s="2248"/>
      <c r="AG238" s="2248"/>
      <c r="AH238" s="2248"/>
      <c r="AI238" s="2248"/>
      <c r="AJ238" s="2248"/>
      <c r="AK238" s="2248"/>
      <c r="AL238" s="2248"/>
      <c r="AM238" s="2248"/>
      <c r="AN238" s="2248"/>
      <c r="AO238" s="2248"/>
      <c r="AP238" s="2248"/>
      <c r="AQ238" s="2248"/>
      <c r="AR238" s="2248"/>
      <c r="AS238" s="2248"/>
      <c r="AT238" s="2248"/>
      <c r="AU238" s="2248"/>
      <c r="AV238" s="2248"/>
      <c r="AW238" s="2248"/>
      <c r="AX238" s="2248"/>
      <c r="AY238" s="2248"/>
      <c r="AZ238" s="2248"/>
      <c r="BA238" s="2248"/>
      <c r="BB238" s="2248"/>
      <c r="BC238" s="2248"/>
      <c r="BD238" s="2248"/>
      <c r="BE238" s="2248"/>
      <c r="BF238" s="2248"/>
      <c r="BG238" s="2248"/>
      <c r="BH238" s="2248"/>
      <c r="BI238" s="2248"/>
      <c r="BJ238" s="2248"/>
      <c r="BK238" s="2248"/>
      <c r="BL238" s="2248"/>
      <c r="BM238" s="2248"/>
      <c r="BN238" s="2248"/>
      <c r="BO238" s="2248"/>
      <c r="BP238" s="2248"/>
      <c r="BQ238" s="2248"/>
      <c r="BR238" s="2248"/>
    </row>
    <row r="239" spans="1:70" s="2249" customFormat="1" ht="18" customHeight="1">
      <c r="A239" s="2335"/>
      <c r="B239" s="2354"/>
      <c r="C239" s="2337"/>
      <c r="D239" s="2344"/>
      <c r="E239" s="2344"/>
      <c r="F239" s="1319"/>
      <c r="G239" s="1319"/>
      <c r="H239" s="2348"/>
      <c r="I239" s="2348"/>
      <c r="J239" s="2349"/>
      <c r="K239" s="1325" t="s">
        <v>700</v>
      </c>
      <c r="L239" s="1063"/>
      <c r="M239" s="2350">
        <f>SUM(M240:M242)</f>
        <v>7360</v>
      </c>
      <c r="N239" s="2351"/>
      <c r="O239" s="1058"/>
      <c r="P239" s="1033"/>
      <c r="Q239" s="932"/>
      <c r="R239" s="932"/>
      <c r="S239" s="932"/>
      <c r="T239" s="932"/>
      <c r="U239" s="932"/>
      <c r="V239" s="2247"/>
      <c r="W239" s="2248"/>
      <c r="X239" s="2248"/>
      <c r="Y239" s="2248"/>
      <c r="Z239" s="2248"/>
      <c r="AA239" s="2248"/>
      <c r="AB239" s="2248"/>
      <c r="AC239" s="2248"/>
      <c r="AD239" s="2248"/>
      <c r="AE239" s="2248"/>
      <c r="AF239" s="2248"/>
      <c r="AG239" s="2248"/>
      <c r="AH239" s="2248"/>
      <c r="AI239" s="2248"/>
      <c r="AJ239" s="2248"/>
      <c r="AK239" s="2248"/>
      <c r="AL239" s="2248"/>
      <c r="AM239" s="2248"/>
      <c r="AN239" s="2248"/>
      <c r="AO239" s="2248"/>
      <c r="AP239" s="2248"/>
      <c r="AQ239" s="2248"/>
      <c r="AR239" s="2248"/>
      <c r="AS239" s="2248"/>
      <c r="AT239" s="2248"/>
      <c r="AU239" s="2248"/>
      <c r="AV239" s="2248"/>
      <c r="AW239" s="2248"/>
      <c r="AX239" s="2248"/>
      <c r="AY239" s="2248"/>
      <c r="AZ239" s="2248"/>
      <c r="BA239" s="2248"/>
      <c r="BB239" s="2248"/>
      <c r="BC239" s="2248"/>
      <c r="BD239" s="2248"/>
      <c r="BE239" s="2248"/>
      <c r="BF239" s="2248"/>
      <c r="BG239" s="2248"/>
      <c r="BH239" s="2248"/>
      <c r="BI239" s="2248"/>
      <c r="BJ239" s="2248"/>
      <c r="BK239" s="2248"/>
      <c r="BL239" s="2248"/>
      <c r="BM239" s="2248"/>
      <c r="BN239" s="2248"/>
      <c r="BO239" s="2248"/>
      <c r="BP239" s="2248"/>
      <c r="BQ239" s="2248"/>
      <c r="BR239" s="2248"/>
    </row>
    <row r="240" spans="1:70" s="2249" customFormat="1" ht="18" customHeight="1">
      <c r="A240" s="2335"/>
      <c r="B240" s="2354"/>
      <c r="C240" s="2337"/>
      <c r="D240" s="2344"/>
      <c r="E240" s="2344"/>
      <c r="F240" s="1319"/>
      <c r="G240" s="1319"/>
      <c r="H240" s="2348"/>
      <c r="I240" s="2348"/>
      <c r="J240" s="2349"/>
      <c r="K240" s="1325" t="s">
        <v>701</v>
      </c>
      <c r="L240" s="1063" t="s">
        <v>292</v>
      </c>
      <c r="M240" s="2350">
        <f>20*4*12</f>
        <v>960</v>
      </c>
      <c r="N240" s="2351" t="s">
        <v>702</v>
      </c>
      <c r="O240" s="1058"/>
      <c r="P240" s="1033"/>
      <c r="Q240" s="932"/>
      <c r="R240" s="932"/>
      <c r="S240" s="932"/>
      <c r="T240" s="932"/>
      <c r="U240" s="932"/>
      <c r="V240" s="2247"/>
      <c r="W240" s="2248"/>
      <c r="X240" s="2248"/>
      <c r="Y240" s="2248"/>
      <c r="Z240" s="2248"/>
      <c r="AA240" s="2248"/>
      <c r="AB240" s="2248"/>
      <c r="AC240" s="2248"/>
      <c r="AD240" s="2248"/>
      <c r="AE240" s="2248"/>
      <c r="AF240" s="2248"/>
      <c r="AG240" s="2248"/>
      <c r="AH240" s="2248"/>
      <c r="AI240" s="2248"/>
      <c r="AJ240" s="2248"/>
      <c r="AK240" s="2248"/>
      <c r="AL240" s="2248"/>
      <c r="AM240" s="2248"/>
      <c r="AN240" s="2248"/>
      <c r="AO240" s="2248"/>
      <c r="AP240" s="2248"/>
      <c r="AQ240" s="2248"/>
      <c r="AR240" s="2248"/>
      <c r="AS240" s="2248"/>
      <c r="AT240" s="2248"/>
      <c r="AU240" s="2248"/>
      <c r="AV240" s="2248"/>
      <c r="AW240" s="2248"/>
      <c r="AX240" s="2248"/>
      <c r="AY240" s="2248"/>
      <c r="AZ240" s="2248"/>
      <c r="BA240" s="2248"/>
      <c r="BB240" s="2248"/>
      <c r="BC240" s="2248"/>
      <c r="BD240" s="2248"/>
      <c r="BE240" s="2248"/>
      <c r="BF240" s="2248"/>
      <c r="BG240" s="2248"/>
      <c r="BH240" s="2248"/>
      <c r="BI240" s="2248"/>
      <c r="BJ240" s="2248"/>
      <c r="BK240" s="2248"/>
      <c r="BL240" s="2248"/>
      <c r="BM240" s="2248"/>
      <c r="BN240" s="2248"/>
      <c r="BO240" s="2248"/>
      <c r="BP240" s="2248"/>
      <c r="BQ240" s="2248"/>
      <c r="BR240" s="2248"/>
    </row>
    <row r="241" spans="1:70" s="2249" customFormat="1" ht="18" customHeight="1">
      <c r="A241" s="2335"/>
      <c r="B241" s="2336"/>
      <c r="C241" s="2337"/>
      <c r="D241" s="2344"/>
      <c r="E241" s="2344"/>
      <c r="F241" s="1319"/>
      <c r="G241" s="1319"/>
      <c r="H241" s="2348"/>
      <c r="I241" s="2348"/>
      <c r="J241" s="2349"/>
      <c r="K241" s="1325" t="s">
        <v>2060</v>
      </c>
      <c r="L241" s="1063" t="s">
        <v>292</v>
      </c>
      <c r="M241" s="2350">
        <v>4800</v>
      </c>
      <c r="N241" s="2351" t="s">
        <v>703</v>
      </c>
      <c r="O241" s="1058"/>
      <c r="P241" s="1033"/>
      <c r="Q241" s="932"/>
      <c r="R241" s="932"/>
      <c r="S241" s="932"/>
      <c r="T241" s="932"/>
      <c r="U241" s="932"/>
      <c r="V241" s="2247"/>
      <c r="W241" s="2248"/>
      <c r="X241" s="2248"/>
      <c r="Y241" s="2248"/>
      <c r="Z241" s="2248"/>
      <c r="AA241" s="2248"/>
      <c r="AB241" s="2248"/>
      <c r="AC241" s="2248"/>
      <c r="AD241" s="2248" t="s">
        <v>2061</v>
      </c>
      <c r="AE241" s="2248"/>
      <c r="AF241" s="2248"/>
      <c r="AG241" s="2248"/>
      <c r="AH241" s="2248"/>
      <c r="AI241" s="2248"/>
      <c r="AJ241" s="2248"/>
      <c r="AK241" s="2248"/>
      <c r="AL241" s="2248"/>
      <c r="AM241" s="2248"/>
      <c r="AN241" s="2248"/>
      <c r="AO241" s="2248"/>
      <c r="AP241" s="2248"/>
      <c r="AQ241" s="2248"/>
      <c r="AR241" s="2248"/>
      <c r="AS241" s="2248"/>
      <c r="AT241" s="2248"/>
      <c r="AU241" s="2248"/>
      <c r="AV241" s="2248"/>
      <c r="AW241" s="2248"/>
      <c r="AX241" s="2248"/>
      <c r="AY241" s="2248"/>
      <c r="AZ241" s="2248"/>
      <c r="BA241" s="2248"/>
      <c r="BB241" s="2248"/>
      <c r="BC241" s="2248"/>
      <c r="BD241" s="2248"/>
      <c r="BE241" s="2248"/>
      <c r="BF241" s="2248"/>
      <c r="BG241" s="2248"/>
      <c r="BH241" s="2248"/>
      <c r="BI241" s="2248"/>
      <c r="BJ241" s="2248"/>
      <c r="BK241" s="2248"/>
      <c r="BL241" s="2248"/>
      <c r="BM241" s="2248"/>
      <c r="BN241" s="2248"/>
      <c r="BO241" s="2248"/>
      <c r="BP241" s="2248"/>
      <c r="BQ241" s="2248"/>
      <c r="BR241" s="2248"/>
    </row>
    <row r="242" spans="1:70" s="2249" customFormat="1" ht="18" customHeight="1">
      <c r="A242" s="2335"/>
      <c r="B242" s="2336"/>
      <c r="C242" s="2337"/>
      <c r="D242" s="2344"/>
      <c r="E242" s="2344"/>
      <c r="F242" s="1319"/>
      <c r="G242" s="1319"/>
      <c r="H242" s="2348"/>
      <c r="I242" s="2348"/>
      <c r="J242" s="2349"/>
      <c r="K242" s="1325" t="s">
        <v>2062</v>
      </c>
      <c r="L242" s="1063" t="s">
        <v>292</v>
      </c>
      <c r="M242" s="2350">
        <v>1600</v>
      </c>
      <c r="N242" s="2351" t="s">
        <v>704</v>
      </c>
      <c r="O242" s="1058"/>
      <c r="P242" s="1033"/>
      <c r="Q242" s="932"/>
      <c r="R242" s="932"/>
      <c r="S242" s="932"/>
      <c r="T242" s="932"/>
      <c r="U242" s="932"/>
      <c r="V242" s="2247"/>
      <c r="W242" s="2248"/>
      <c r="X242" s="2248"/>
      <c r="Y242" s="2248"/>
      <c r="Z242" s="2248"/>
      <c r="AA242" s="2248"/>
      <c r="AB242" s="2248"/>
      <c r="AC242" s="2248"/>
      <c r="AD242" s="2248" t="s">
        <v>2063</v>
      </c>
      <c r="AE242" s="2248"/>
      <c r="AF242" s="2248"/>
      <c r="AG242" s="2248"/>
      <c r="AH242" s="2248"/>
      <c r="AI242" s="2248"/>
      <c r="AJ242" s="2248"/>
      <c r="AK242" s="2248"/>
      <c r="AL242" s="2248"/>
      <c r="AM242" s="2248"/>
      <c r="AN242" s="2248"/>
      <c r="AO242" s="2248"/>
      <c r="AP242" s="2248"/>
      <c r="AQ242" s="2248"/>
      <c r="AR242" s="2248"/>
      <c r="AS242" s="2248"/>
      <c r="AT242" s="2248"/>
      <c r="AU242" s="2248"/>
      <c r="AV242" s="2248"/>
      <c r="AW242" s="2248"/>
      <c r="AX242" s="2248"/>
      <c r="AY242" s="2248"/>
      <c r="AZ242" s="2248"/>
      <c r="BA242" s="2248"/>
      <c r="BB242" s="2248"/>
      <c r="BC242" s="2248"/>
      <c r="BD242" s="2248"/>
      <c r="BE242" s="2248"/>
      <c r="BF242" s="2248"/>
      <c r="BG242" s="2248"/>
      <c r="BH242" s="2248"/>
      <c r="BI242" s="2248"/>
      <c r="BJ242" s="2248"/>
      <c r="BK242" s="2248"/>
      <c r="BL242" s="2248"/>
      <c r="BM242" s="2248"/>
      <c r="BN242" s="2248"/>
      <c r="BO242" s="2248"/>
      <c r="BP242" s="2248"/>
      <c r="BQ242" s="2248"/>
      <c r="BR242" s="2248"/>
    </row>
    <row r="243" spans="1:70" s="2249" customFormat="1" ht="18" customHeight="1">
      <c r="A243" s="2335"/>
      <c r="B243" s="2336"/>
      <c r="C243" s="2337"/>
      <c r="D243" s="2344"/>
      <c r="E243" s="2344"/>
      <c r="F243" s="1326"/>
      <c r="G243" s="1326"/>
      <c r="H243" s="2348"/>
      <c r="I243" s="2348"/>
      <c r="J243" s="2349"/>
      <c r="K243" s="1060" t="s">
        <v>2064</v>
      </c>
      <c r="L243" s="2352" t="s">
        <v>6</v>
      </c>
      <c r="M243" s="2350">
        <f>150*6</f>
        <v>900</v>
      </c>
      <c r="N243" s="2353" t="s">
        <v>705</v>
      </c>
      <c r="O243" s="1058"/>
      <c r="P243" s="1033"/>
      <c r="Q243" s="932"/>
      <c r="R243" s="932"/>
      <c r="S243" s="932"/>
      <c r="T243" s="932"/>
      <c r="U243" s="932"/>
      <c r="V243" s="2247"/>
      <c r="W243" s="2248"/>
      <c r="X243" s="2248"/>
      <c r="Y243" s="2248"/>
      <c r="Z243" s="2248"/>
      <c r="AA243" s="2248"/>
      <c r="AB243" s="2248"/>
      <c r="AC243" s="2248"/>
      <c r="AD243" s="2248" t="s">
        <v>2065</v>
      </c>
      <c r="AE243" s="2248"/>
      <c r="AF243" s="2248"/>
      <c r="AG243" s="2248"/>
      <c r="AH243" s="2248"/>
      <c r="AI243" s="2248"/>
      <c r="AJ243" s="2248"/>
      <c r="AK243" s="2248"/>
      <c r="AL243" s="2248"/>
      <c r="AM243" s="2248"/>
      <c r="AN243" s="2248"/>
      <c r="AO243" s="2248"/>
      <c r="AP243" s="2248"/>
      <c r="AQ243" s="2248"/>
      <c r="AR243" s="2248"/>
      <c r="AS243" s="2248"/>
      <c r="AT243" s="2248"/>
      <c r="AU243" s="2248"/>
      <c r="AV243" s="2248"/>
      <c r="AW243" s="2248"/>
      <c r="AX243" s="2248"/>
      <c r="AY243" s="2248"/>
      <c r="AZ243" s="2248"/>
      <c r="BA243" s="2248"/>
      <c r="BB243" s="2248"/>
      <c r="BC243" s="2248"/>
      <c r="BD243" s="2248"/>
      <c r="BE243" s="2248"/>
      <c r="BF243" s="2248"/>
      <c r="BG243" s="2248"/>
      <c r="BH243" s="2248"/>
      <c r="BI243" s="2248"/>
      <c r="BJ243" s="2248"/>
      <c r="BK243" s="2248"/>
      <c r="BL243" s="2248"/>
      <c r="BM243" s="2248"/>
      <c r="BN243" s="2248"/>
      <c r="BO243" s="2248"/>
      <c r="BP243" s="2248"/>
      <c r="BQ243" s="2248"/>
      <c r="BR243" s="2248"/>
    </row>
    <row r="244" spans="1:70" s="2249" customFormat="1" ht="18" customHeight="1">
      <c r="A244" s="2355"/>
      <c r="B244" s="2344"/>
      <c r="C244" s="2337"/>
      <c r="D244" s="2337"/>
      <c r="E244" s="2337"/>
      <c r="F244" s="1064"/>
      <c r="G244" s="1064"/>
      <c r="H244" s="2356"/>
      <c r="I244" s="2356"/>
      <c r="J244" s="2357"/>
      <c r="K244" s="1327" t="s">
        <v>2312</v>
      </c>
      <c r="L244" s="2358" t="s">
        <v>6</v>
      </c>
      <c r="M244" s="2359">
        <v>2800</v>
      </c>
      <c r="N244" s="2351" t="s">
        <v>706</v>
      </c>
      <c r="P244" s="2273"/>
      <c r="V244" s="2247"/>
      <c r="W244" s="2248"/>
      <c r="X244" s="2248"/>
      <c r="Y244" s="2248"/>
      <c r="Z244" s="2248"/>
      <c r="AA244" s="2248"/>
      <c r="AB244" s="2248"/>
      <c r="AC244" s="2248"/>
      <c r="AD244" s="2248" t="s">
        <v>2066</v>
      </c>
      <c r="AE244" s="2248"/>
      <c r="AF244" s="2248"/>
      <c r="AG244" s="2248"/>
      <c r="AH244" s="2248"/>
      <c r="AI244" s="2248"/>
      <c r="AJ244" s="2248"/>
      <c r="AK244" s="2248"/>
      <c r="AL244" s="2248"/>
      <c r="AM244" s="2248"/>
      <c r="AN244" s="2248"/>
      <c r="AO244" s="2248"/>
      <c r="AP244" s="2248"/>
      <c r="AQ244" s="2248"/>
      <c r="AR244" s="2248"/>
      <c r="AS244" s="2248"/>
      <c r="AT244" s="2248"/>
      <c r="AU244" s="2248"/>
      <c r="AV244" s="2248"/>
      <c r="AW244" s="2248"/>
      <c r="AX244" s="2248"/>
      <c r="AY244" s="2248"/>
      <c r="AZ244" s="2248"/>
      <c r="BA244" s="2248"/>
      <c r="BB244" s="2248"/>
      <c r="BC244" s="2248"/>
      <c r="BD244" s="2248"/>
      <c r="BE244" s="2248"/>
      <c r="BF244" s="2248"/>
      <c r="BG244" s="2248"/>
      <c r="BH244" s="2248"/>
      <c r="BI244" s="2248"/>
      <c r="BJ244" s="2248"/>
      <c r="BK244" s="2248"/>
      <c r="BL244" s="2248"/>
      <c r="BM244" s="2248"/>
      <c r="BN244" s="2248"/>
      <c r="BO244" s="2248"/>
      <c r="BP244" s="2248"/>
      <c r="BQ244" s="2248"/>
      <c r="BR244" s="2248"/>
    </row>
    <row r="245" spans="1:70" s="2249" customFormat="1" ht="18" customHeight="1">
      <c r="A245" s="2355"/>
      <c r="B245" s="2344"/>
      <c r="C245" s="2337"/>
      <c r="D245" s="2337"/>
      <c r="E245" s="2337"/>
      <c r="F245" s="1064"/>
      <c r="G245" s="1064"/>
      <c r="H245" s="2356"/>
      <c r="I245" s="2348"/>
      <c r="J245" s="2357"/>
      <c r="K245" s="1327" t="s">
        <v>2067</v>
      </c>
      <c r="L245" s="2358" t="s">
        <v>6</v>
      </c>
      <c r="M245" s="2359">
        <v>400</v>
      </c>
      <c r="N245" s="2351" t="s">
        <v>707</v>
      </c>
      <c r="O245" s="1058"/>
      <c r="P245" s="1033"/>
      <c r="Q245" s="932"/>
      <c r="R245" s="932"/>
      <c r="S245" s="932"/>
      <c r="V245" s="2247"/>
      <c r="W245" s="2248"/>
      <c r="X245" s="2248"/>
      <c r="Y245" s="2248"/>
      <c r="Z245" s="2248"/>
      <c r="AA245" s="2248"/>
      <c r="AB245" s="2248"/>
      <c r="AC245" s="2248"/>
      <c r="AD245" s="2248" t="s">
        <v>2068</v>
      </c>
      <c r="AE245" s="2248"/>
      <c r="AF245" s="2248"/>
      <c r="AG245" s="2248"/>
      <c r="AH245" s="2248"/>
      <c r="AI245" s="2248"/>
      <c r="AJ245" s="2248"/>
      <c r="AK245" s="2248"/>
      <c r="AL245" s="2248"/>
      <c r="AM245" s="2248"/>
      <c r="AN245" s="2248"/>
      <c r="AO245" s="2248"/>
      <c r="AP245" s="2248"/>
      <c r="AQ245" s="2248"/>
      <c r="AR245" s="2248"/>
      <c r="AS245" s="2248"/>
      <c r="AT245" s="2248"/>
      <c r="AU245" s="2248"/>
      <c r="AV245" s="2248"/>
      <c r="AW245" s="2248"/>
      <c r="AX245" s="2248"/>
      <c r="AY245" s="2248"/>
      <c r="AZ245" s="2248"/>
      <c r="BA245" s="2248"/>
      <c r="BB245" s="2248"/>
      <c r="BC245" s="2248"/>
      <c r="BD245" s="2248"/>
      <c r="BE245" s="2248"/>
      <c r="BF245" s="2248"/>
      <c r="BG245" s="2248"/>
      <c r="BH245" s="2248"/>
      <c r="BI245" s="2248"/>
      <c r="BJ245" s="2248"/>
      <c r="BK245" s="2248"/>
      <c r="BL245" s="2248"/>
      <c r="BM245" s="2248"/>
      <c r="BN245" s="2248"/>
      <c r="BO245" s="2248"/>
      <c r="BP245" s="2248"/>
      <c r="BQ245" s="2248"/>
      <c r="BR245" s="2248"/>
    </row>
    <row r="246" spans="1:70" s="2249" customFormat="1" ht="18" customHeight="1">
      <c r="A246" s="2355"/>
      <c r="B246" s="2344"/>
      <c r="C246" s="2337"/>
      <c r="D246" s="2337"/>
      <c r="E246" s="2337"/>
      <c r="F246" s="1064"/>
      <c r="G246" s="1064"/>
      <c r="H246" s="2356"/>
      <c r="I246" s="2348"/>
      <c r="J246" s="2357"/>
      <c r="K246" s="1327" t="s">
        <v>998</v>
      </c>
      <c r="L246" s="2358" t="s">
        <v>292</v>
      </c>
      <c r="M246" s="2359">
        <v>400</v>
      </c>
      <c r="N246" s="2351" t="s">
        <v>864</v>
      </c>
      <c r="O246" s="1058"/>
      <c r="P246" s="1033"/>
      <c r="Q246" s="932"/>
      <c r="R246" s="932"/>
      <c r="S246" s="932"/>
      <c r="V246" s="2247"/>
      <c r="W246" s="2248"/>
      <c r="X246" s="2248"/>
      <c r="Y246" s="2248"/>
      <c r="Z246" s="2248"/>
      <c r="AA246" s="2248"/>
      <c r="AB246" s="2248"/>
      <c r="AC246" s="2248"/>
      <c r="AD246" s="2248" t="s">
        <v>2069</v>
      </c>
      <c r="AE246" s="2248"/>
      <c r="AF246" s="2248"/>
      <c r="AG246" s="2248"/>
      <c r="AH246" s="2248"/>
      <c r="AI246" s="2248"/>
      <c r="AJ246" s="2248"/>
      <c r="AK246" s="2248"/>
      <c r="AL246" s="2248"/>
      <c r="AM246" s="2248"/>
      <c r="AN246" s="2248"/>
      <c r="AO246" s="2248"/>
      <c r="AP246" s="2248"/>
      <c r="AQ246" s="2248"/>
      <c r="AR246" s="2248"/>
      <c r="AS246" s="2248"/>
      <c r="AT246" s="2248"/>
      <c r="AU246" s="2248"/>
      <c r="AV246" s="2248"/>
      <c r="AW246" s="2248"/>
      <c r="AX246" s="2248"/>
      <c r="AY246" s="2248"/>
      <c r="AZ246" s="2248"/>
      <c r="BA246" s="2248"/>
      <c r="BB246" s="2248"/>
      <c r="BC246" s="2248"/>
      <c r="BD246" s="2248"/>
      <c r="BE246" s="2248"/>
      <c r="BF246" s="2248"/>
      <c r="BG246" s="2248"/>
      <c r="BH246" s="2248"/>
      <c r="BI246" s="2248"/>
      <c r="BJ246" s="2248"/>
      <c r="BK246" s="2248"/>
      <c r="BL246" s="2248"/>
      <c r="BM246" s="2248"/>
      <c r="BN246" s="2248"/>
      <c r="BO246" s="2248"/>
      <c r="BP246" s="2248"/>
      <c r="BQ246" s="2248"/>
      <c r="BR246" s="2248"/>
    </row>
    <row r="247" spans="1:70" s="2249" customFormat="1" ht="18" customHeight="1">
      <c r="A247" s="2355"/>
      <c r="B247" s="2344"/>
      <c r="C247" s="2337"/>
      <c r="D247" s="2337"/>
      <c r="E247" s="2337"/>
      <c r="F247" s="1319"/>
      <c r="G247" s="1319"/>
      <c r="H247" s="2360"/>
      <c r="I247" s="2360"/>
      <c r="J247" s="2361"/>
      <c r="K247" s="1060" t="s">
        <v>865</v>
      </c>
      <c r="L247" s="2352" t="s">
        <v>292</v>
      </c>
      <c r="M247" s="2362">
        <f>26*9</f>
        <v>234</v>
      </c>
      <c r="N247" s="2353" t="s">
        <v>708</v>
      </c>
      <c r="O247" s="1058"/>
      <c r="P247" s="1033"/>
      <c r="Q247" s="932"/>
      <c r="R247" s="932"/>
      <c r="S247" s="932"/>
      <c r="V247" s="2247"/>
      <c r="W247" s="2248"/>
      <c r="X247" s="2248"/>
      <c r="Y247" s="2248"/>
      <c r="Z247" s="2248"/>
      <c r="AA247" s="2248"/>
      <c r="AB247" s="2248"/>
      <c r="AC247" s="2248"/>
      <c r="AD247" s="2248" t="s">
        <v>2070</v>
      </c>
      <c r="AE247" s="2248"/>
      <c r="AF247" s="2248"/>
      <c r="AG247" s="2248"/>
      <c r="AH247" s="2248"/>
      <c r="AI247" s="2248"/>
      <c r="AJ247" s="2248"/>
      <c r="AK247" s="2248"/>
      <c r="AL247" s="2248"/>
      <c r="AM247" s="2248"/>
      <c r="AN247" s="2248"/>
      <c r="AO247" s="2248"/>
      <c r="AP247" s="2248"/>
      <c r="AQ247" s="2248"/>
      <c r="AR247" s="2248"/>
      <c r="AS247" s="2248"/>
      <c r="AT247" s="2248"/>
      <c r="AU247" s="2248"/>
      <c r="AV247" s="2248"/>
      <c r="AW247" s="2248"/>
      <c r="AX247" s="2248"/>
      <c r="AY247" s="2248"/>
      <c r="AZ247" s="2248"/>
      <c r="BA247" s="2248"/>
      <c r="BB247" s="2248"/>
      <c r="BC247" s="2248"/>
      <c r="BD247" s="2248"/>
      <c r="BE247" s="2248"/>
      <c r="BF247" s="2248"/>
      <c r="BG247" s="2248"/>
      <c r="BH247" s="2248"/>
      <c r="BI247" s="2248"/>
      <c r="BJ247" s="2248"/>
      <c r="BK247" s="2248"/>
      <c r="BL247" s="2248"/>
      <c r="BM247" s="2248"/>
      <c r="BN247" s="2248"/>
      <c r="BO247" s="2248"/>
      <c r="BP247" s="2248"/>
      <c r="BQ247" s="2248"/>
      <c r="BR247" s="2248"/>
    </row>
    <row r="248" spans="1:70" s="2249" customFormat="1" ht="18" customHeight="1">
      <c r="A248" s="2355"/>
      <c r="B248" s="2344"/>
      <c r="C248" s="2337"/>
      <c r="D248" s="2337"/>
      <c r="E248" s="2337"/>
      <c r="F248" s="1064"/>
      <c r="G248" s="1064"/>
      <c r="H248" s="2348"/>
      <c r="I248" s="2348"/>
      <c r="J248" s="2363"/>
      <c r="K248" s="1060" t="s">
        <v>2071</v>
      </c>
      <c r="L248" s="2352" t="s">
        <v>292</v>
      </c>
      <c r="M248" s="2362">
        <f>15*50</f>
        <v>750</v>
      </c>
      <c r="N248" s="2353" t="s">
        <v>709</v>
      </c>
      <c r="O248" s="1058"/>
      <c r="P248" s="1033"/>
      <c r="Q248" s="932"/>
      <c r="R248" s="932"/>
      <c r="S248" s="932"/>
      <c r="V248" s="2247"/>
      <c r="W248" s="2248"/>
      <c r="X248" s="2248"/>
      <c r="Y248" s="2248"/>
      <c r="Z248" s="2248"/>
      <c r="AA248" s="2248"/>
      <c r="AB248" s="2248"/>
      <c r="AC248" s="2248"/>
      <c r="AD248" s="2248"/>
      <c r="AE248" s="2248"/>
      <c r="AF248" s="2248"/>
      <c r="AG248" s="2248"/>
      <c r="AH248" s="2248"/>
      <c r="AI248" s="2248"/>
      <c r="AJ248" s="2248"/>
      <c r="AK248" s="2248"/>
      <c r="AL248" s="2248"/>
      <c r="AM248" s="2248"/>
      <c r="AN248" s="2248"/>
      <c r="AO248" s="2248"/>
      <c r="AP248" s="2248"/>
      <c r="AQ248" s="2248"/>
      <c r="AR248" s="2248"/>
      <c r="AS248" s="2248"/>
      <c r="AT248" s="2248"/>
      <c r="AU248" s="2248"/>
      <c r="AV248" s="2248"/>
      <c r="AW248" s="2248"/>
      <c r="AX248" s="2248"/>
      <c r="AY248" s="2248"/>
      <c r="AZ248" s="2248"/>
      <c r="BA248" s="2248"/>
      <c r="BB248" s="2248"/>
      <c r="BC248" s="2248"/>
      <c r="BD248" s="2248"/>
      <c r="BE248" s="2248"/>
      <c r="BF248" s="2248"/>
      <c r="BG248" s="2248"/>
      <c r="BH248" s="2248"/>
      <c r="BI248" s="2248"/>
      <c r="BJ248" s="2248"/>
      <c r="BK248" s="2248"/>
      <c r="BL248" s="2248"/>
      <c r="BM248" s="2248"/>
      <c r="BN248" s="2248"/>
      <c r="BO248" s="2248"/>
      <c r="BP248" s="2248"/>
      <c r="BQ248" s="2248"/>
      <c r="BR248" s="2248"/>
    </row>
    <row r="249" spans="1:70" s="2249" customFormat="1" ht="18" customHeight="1">
      <c r="A249" s="2355"/>
      <c r="B249" s="2344"/>
      <c r="C249" s="2337"/>
      <c r="D249" s="2337"/>
      <c r="E249" s="2337"/>
      <c r="F249" s="1066"/>
      <c r="G249" s="1328" t="s">
        <v>710</v>
      </c>
      <c r="H249" s="2345">
        <f>M249</f>
        <v>0</v>
      </c>
      <c r="I249" s="2364">
        <v>100</v>
      </c>
      <c r="J249" s="2346">
        <f>H249-I249</f>
        <v>-100</v>
      </c>
      <c r="K249" s="1324" t="s">
        <v>329</v>
      </c>
      <c r="L249" s="2365"/>
      <c r="M249" s="2342">
        <f>SUM(M250)</f>
        <v>0</v>
      </c>
      <c r="N249" s="2366"/>
      <c r="O249" s="1058"/>
      <c r="P249" s="1033"/>
      <c r="Q249" s="932"/>
      <c r="R249" s="932"/>
      <c r="S249" s="932"/>
      <c r="V249" s="2247"/>
      <c r="W249" s="2248"/>
      <c r="X249" s="2248"/>
      <c r="Y249" s="2248"/>
      <c r="Z249" s="2248"/>
      <c r="AA249" s="2248"/>
      <c r="AB249" s="2248"/>
      <c r="AC249" s="2248"/>
      <c r="AD249" s="2248"/>
      <c r="AE249" s="2248"/>
      <c r="AF249" s="2248"/>
      <c r="AG249" s="2248"/>
      <c r="AH249" s="2248"/>
      <c r="AI249" s="2248"/>
      <c r="AJ249" s="2248"/>
      <c r="AK249" s="2248"/>
      <c r="AL249" s="2248"/>
      <c r="AM249" s="2248"/>
      <c r="AN249" s="2248"/>
      <c r="AO249" s="2248"/>
      <c r="AP249" s="2248"/>
      <c r="AQ249" s="2248"/>
      <c r="AR249" s="2248"/>
      <c r="AS249" s="2248"/>
      <c r="AT249" s="2248"/>
      <c r="AU249" s="2248"/>
      <c r="AV249" s="2248"/>
      <c r="AW249" s="2248"/>
      <c r="AX249" s="2248"/>
      <c r="AY249" s="2248"/>
      <c r="AZ249" s="2248"/>
      <c r="BA249" s="2248"/>
      <c r="BB249" s="2248"/>
      <c r="BC249" s="2248"/>
      <c r="BD249" s="2248"/>
      <c r="BE249" s="2248"/>
      <c r="BF249" s="2248"/>
      <c r="BG249" s="2248"/>
      <c r="BH249" s="2248"/>
      <c r="BI249" s="2248"/>
      <c r="BJ249" s="2248"/>
      <c r="BK249" s="2248"/>
      <c r="BL249" s="2248"/>
      <c r="BM249" s="2248"/>
      <c r="BN249" s="2248"/>
      <c r="BO249" s="2248"/>
      <c r="BP249" s="2248"/>
      <c r="BQ249" s="2248"/>
      <c r="BR249" s="2248"/>
    </row>
    <row r="250" spans="1:70" s="2249" customFormat="1" ht="18" customHeight="1">
      <c r="A250" s="2355"/>
      <c r="B250" s="2344"/>
      <c r="C250" s="2337"/>
      <c r="D250" s="2337"/>
      <c r="E250" s="2337"/>
      <c r="F250" s="1066"/>
      <c r="G250" s="1319"/>
      <c r="H250" s="2348"/>
      <c r="I250" s="2348"/>
      <c r="J250" s="2349"/>
      <c r="K250" s="2715" t="s">
        <v>2072</v>
      </c>
      <c r="L250" s="2716" t="s">
        <v>292</v>
      </c>
      <c r="M250" s="2717">
        <v>0</v>
      </c>
      <c r="N250" s="1067" t="s">
        <v>711</v>
      </c>
      <c r="O250" s="1058"/>
      <c r="P250" s="1033"/>
      <c r="Q250" s="932"/>
      <c r="R250" s="932"/>
      <c r="S250" s="932"/>
      <c r="V250" s="2247"/>
      <c r="W250" s="2248"/>
      <c r="X250" s="2248"/>
      <c r="Y250" s="2248"/>
      <c r="Z250" s="2248"/>
      <c r="AA250" s="2248"/>
      <c r="AB250" s="2248"/>
      <c r="AC250" s="2248"/>
      <c r="AD250" s="2248"/>
      <c r="AE250" s="2248"/>
      <c r="AF250" s="2248"/>
      <c r="AG250" s="2248"/>
      <c r="AH250" s="2248"/>
      <c r="AI250" s="2248"/>
      <c r="AJ250" s="2248"/>
      <c r="AK250" s="2248"/>
      <c r="AL250" s="2248"/>
      <c r="AM250" s="2248"/>
      <c r="AN250" s="2248"/>
      <c r="AO250" s="2248"/>
      <c r="AP250" s="2248"/>
      <c r="AQ250" s="2248"/>
      <c r="AR250" s="2248"/>
      <c r="AS250" s="2248"/>
      <c r="AT250" s="2248"/>
      <c r="AU250" s="2248"/>
      <c r="AV250" s="2248"/>
      <c r="AW250" s="2248"/>
      <c r="AX250" s="2248"/>
      <c r="AY250" s="2248"/>
      <c r="AZ250" s="2248"/>
      <c r="BA250" s="2248"/>
      <c r="BB250" s="2248"/>
      <c r="BC250" s="2248"/>
      <c r="BD250" s="2248"/>
      <c r="BE250" s="2248"/>
      <c r="BF250" s="2248"/>
      <c r="BG250" s="2248"/>
      <c r="BH250" s="2248"/>
      <c r="BI250" s="2248"/>
      <c r="BJ250" s="2248"/>
      <c r="BK250" s="2248"/>
      <c r="BL250" s="2248"/>
      <c r="BM250" s="2248"/>
      <c r="BN250" s="2248"/>
      <c r="BO250" s="2248"/>
      <c r="BP250" s="2248"/>
      <c r="BQ250" s="2248"/>
      <c r="BR250" s="2248"/>
    </row>
    <row r="251" spans="1:70" s="2249" customFormat="1" ht="18" customHeight="1">
      <c r="A251" s="2355"/>
      <c r="B251" s="2344"/>
      <c r="C251" s="2337"/>
      <c r="D251" s="2337"/>
      <c r="E251" s="2337"/>
      <c r="F251" s="1066"/>
      <c r="G251" s="1328" t="s">
        <v>321</v>
      </c>
      <c r="H251" s="2345">
        <f>M251</f>
        <v>32880</v>
      </c>
      <c r="I251" s="2367">
        <v>36700</v>
      </c>
      <c r="J251" s="2346">
        <f>H251-I251</f>
        <v>-3820</v>
      </c>
      <c r="K251" s="1324" t="s">
        <v>330</v>
      </c>
      <c r="L251" s="2365"/>
      <c r="M251" s="2342">
        <f>SUM(M252:M263)</f>
        <v>32880</v>
      </c>
      <c r="N251" s="2368"/>
      <c r="O251" s="1058"/>
      <c r="P251" s="1033"/>
      <c r="Q251" s="932"/>
      <c r="R251" s="932"/>
      <c r="S251" s="932"/>
      <c r="V251" s="2247"/>
      <c r="W251" s="2248"/>
      <c r="X251" s="2248"/>
      <c r="Y251" s="2248"/>
      <c r="Z251" s="2248"/>
      <c r="AA251" s="2248"/>
      <c r="AB251" s="2248"/>
      <c r="AC251" s="2248"/>
      <c r="AD251" s="2248"/>
      <c r="AE251" s="2248"/>
      <c r="AF251" s="2248"/>
      <c r="AG251" s="2248"/>
      <c r="AH251" s="2248"/>
      <c r="AI251" s="2248"/>
      <c r="AJ251" s="2248"/>
      <c r="AK251" s="2248"/>
      <c r="AL251" s="2248"/>
      <c r="AM251" s="2248"/>
      <c r="AN251" s="2248"/>
      <c r="AO251" s="2248"/>
      <c r="AP251" s="2248"/>
      <c r="AQ251" s="2248"/>
      <c r="AR251" s="2248"/>
      <c r="AS251" s="2248"/>
      <c r="AT251" s="2248"/>
      <c r="AU251" s="2248"/>
      <c r="AV251" s="2248"/>
      <c r="AW251" s="2248"/>
      <c r="AX251" s="2248"/>
      <c r="AY251" s="2248"/>
      <c r="AZ251" s="2248"/>
      <c r="BA251" s="2248"/>
      <c r="BB251" s="2248"/>
      <c r="BC251" s="2248"/>
      <c r="BD251" s="2248"/>
      <c r="BE251" s="2248"/>
      <c r="BF251" s="2248"/>
      <c r="BG251" s="2248"/>
      <c r="BH251" s="2248"/>
      <c r="BI251" s="2248"/>
      <c r="BJ251" s="2248"/>
      <c r="BK251" s="2248"/>
      <c r="BL251" s="2248"/>
      <c r="BM251" s="2248"/>
      <c r="BN251" s="2248"/>
      <c r="BO251" s="2248"/>
      <c r="BP251" s="2248"/>
      <c r="BQ251" s="2248"/>
      <c r="BR251" s="2248"/>
    </row>
    <row r="252" spans="1:70" s="2249" customFormat="1" ht="18" customHeight="1">
      <c r="A252" s="2355"/>
      <c r="B252" s="2344"/>
      <c r="C252" s="2337"/>
      <c r="D252" s="2337"/>
      <c r="E252" s="2337"/>
      <c r="F252" s="1064"/>
      <c r="G252" s="1064"/>
      <c r="H252" s="2356"/>
      <c r="I252" s="2369"/>
      <c r="J252" s="2370"/>
      <c r="K252" s="1327" t="s">
        <v>712</v>
      </c>
      <c r="L252" s="2358" t="s">
        <v>6</v>
      </c>
      <c r="M252" s="2350">
        <v>3000</v>
      </c>
      <c r="N252" s="1068" t="s">
        <v>713</v>
      </c>
      <c r="O252" s="1058"/>
      <c r="P252" s="1033"/>
      <c r="Q252" s="932"/>
      <c r="R252" s="932"/>
      <c r="S252" s="932"/>
      <c r="V252" s="2247"/>
      <c r="W252" s="2248"/>
      <c r="X252" s="2248"/>
      <c r="Y252" s="2248"/>
      <c r="Z252" s="2248"/>
      <c r="AA252" s="2248"/>
      <c r="AB252" s="2248"/>
      <c r="AC252" s="2248"/>
      <c r="AD252" s="2248" t="s">
        <v>2073</v>
      </c>
      <c r="AE252" s="2248"/>
      <c r="AF252" s="2248"/>
      <c r="AG252" s="2248"/>
      <c r="AH252" s="2248"/>
      <c r="AI252" s="2248"/>
      <c r="AJ252" s="2248"/>
      <c r="AK252" s="2248"/>
      <c r="AL252" s="2248"/>
      <c r="AM252" s="2248"/>
      <c r="AN252" s="2248"/>
      <c r="AO252" s="2248"/>
      <c r="AP252" s="2248"/>
      <c r="AQ252" s="2248"/>
      <c r="AR252" s="2248"/>
      <c r="AS252" s="2248"/>
      <c r="AT252" s="2248"/>
      <c r="AU252" s="2248"/>
      <c r="AV252" s="2248"/>
      <c r="AW252" s="2248"/>
      <c r="AX252" s="2248"/>
      <c r="AY252" s="2248"/>
      <c r="AZ252" s="2248"/>
      <c r="BA252" s="2248"/>
      <c r="BB252" s="2248"/>
      <c r="BC252" s="2248"/>
      <c r="BD252" s="2248"/>
      <c r="BE252" s="2248"/>
      <c r="BF252" s="2248"/>
      <c r="BG252" s="2248"/>
      <c r="BH252" s="2248"/>
      <c r="BI252" s="2248"/>
      <c r="BJ252" s="2248"/>
      <c r="BK252" s="2248"/>
      <c r="BL252" s="2248"/>
      <c r="BM252" s="2248"/>
      <c r="BN252" s="2248"/>
      <c r="BO252" s="2248"/>
      <c r="BP252" s="2248"/>
      <c r="BQ252" s="2248"/>
      <c r="BR252" s="2248"/>
    </row>
    <row r="253" spans="1:70" s="2249" customFormat="1" ht="18" customHeight="1">
      <c r="A253" s="2355"/>
      <c r="B253" s="2344"/>
      <c r="C253" s="2337"/>
      <c r="D253" s="2337"/>
      <c r="E253" s="2337"/>
      <c r="F253" s="1064"/>
      <c r="G253" s="1064"/>
      <c r="H253" s="2356"/>
      <c r="I253" s="2369"/>
      <c r="J253" s="2370"/>
      <c r="K253" s="1327" t="s">
        <v>714</v>
      </c>
      <c r="L253" s="2358" t="s">
        <v>6</v>
      </c>
      <c r="M253" s="2350">
        <v>2000</v>
      </c>
      <c r="N253" s="1068" t="s">
        <v>715</v>
      </c>
      <c r="O253" s="1058"/>
      <c r="P253" s="1033"/>
      <c r="Q253" s="932"/>
      <c r="R253" s="932"/>
      <c r="S253" s="932"/>
      <c r="V253" s="2247"/>
      <c r="W253" s="2248"/>
      <c r="X253" s="2248"/>
      <c r="Y253" s="2248"/>
      <c r="Z253" s="2248"/>
      <c r="AA253" s="2248"/>
      <c r="AB253" s="2248"/>
      <c r="AC253" s="2248"/>
      <c r="AD253" s="2248" t="s">
        <v>2074</v>
      </c>
      <c r="AE253" s="2248"/>
      <c r="AF253" s="2248"/>
      <c r="AG253" s="2248"/>
      <c r="AH253" s="2248"/>
      <c r="AI253" s="2248"/>
      <c r="AJ253" s="2248"/>
      <c r="AK253" s="2248"/>
      <c r="AL253" s="2248"/>
      <c r="AM253" s="2248"/>
      <c r="AN253" s="2248"/>
      <c r="AO253" s="2248"/>
      <c r="AP253" s="2248"/>
      <c r="AQ253" s="2248"/>
      <c r="AR253" s="2248"/>
      <c r="AS253" s="2248"/>
      <c r="AT253" s="2248"/>
      <c r="AU253" s="2248"/>
      <c r="AV253" s="2248"/>
      <c r="AW253" s="2248"/>
      <c r="AX253" s="2248"/>
      <c r="AY253" s="2248"/>
      <c r="AZ253" s="2248"/>
      <c r="BA253" s="2248"/>
      <c r="BB253" s="2248"/>
      <c r="BC253" s="2248"/>
      <c r="BD253" s="2248"/>
      <c r="BE253" s="2248"/>
      <c r="BF253" s="2248"/>
      <c r="BG253" s="2248"/>
      <c r="BH253" s="2248"/>
      <c r="BI253" s="2248"/>
      <c r="BJ253" s="2248"/>
      <c r="BK253" s="2248"/>
      <c r="BL253" s="2248"/>
      <c r="BM253" s="2248"/>
      <c r="BN253" s="2248"/>
      <c r="BO253" s="2248"/>
      <c r="BP253" s="2248"/>
      <c r="BQ253" s="2248"/>
      <c r="BR253" s="2248"/>
    </row>
    <row r="254" spans="1:70" s="2249" customFormat="1" ht="18" customHeight="1">
      <c r="A254" s="2355"/>
      <c r="B254" s="2344"/>
      <c r="C254" s="2337"/>
      <c r="D254" s="2337"/>
      <c r="E254" s="2337"/>
      <c r="F254" s="1064"/>
      <c r="G254" s="1064"/>
      <c r="H254" s="2356"/>
      <c r="I254" s="2369"/>
      <c r="J254" s="2370"/>
      <c r="K254" s="1327" t="s">
        <v>2075</v>
      </c>
      <c r="L254" s="2358" t="s">
        <v>6</v>
      </c>
      <c r="M254" s="2350">
        <v>4800</v>
      </c>
      <c r="N254" s="1068" t="s">
        <v>716</v>
      </c>
      <c r="O254" s="1058"/>
      <c r="P254" s="1033"/>
      <c r="Q254" s="932"/>
      <c r="R254" s="932"/>
      <c r="S254" s="932"/>
      <c r="V254" s="2247"/>
      <c r="W254" s="2248"/>
      <c r="X254" s="2248"/>
      <c r="Y254" s="2248"/>
      <c r="Z254" s="2248"/>
      <c r="AA254" s="2248"/>
      <c r="AB254" s="2248"/>
      <c r="AC254" s="2248"/>
      <c r="AD254" s="2248" t="s">
        <v>2076</v>
      </c>
      <c r="AE254" s="2248"/>
      <c r="AF254" s="2248"/>
      <c r="AG254" s="2248"/>
      <c r="AH254" s="2248"/>
      <c r="AI254" s="2248"/>
      <c r="AJ254" s="2248"/>
      <c r="AK254" s="2248"/>
      <c r="AL254" s="2248"/>
      <c r="AM254" s="2248"/>
      <c r="AN254" s="2248"/>
      <c r="AO254" s="2248"/>
      <c r="AP254" s="2248"/>
      <c r="AQ254" s="2248"/>
      <c r="AR254" s="2248"/>
      <c r="AS254" s="2248"/>
      <c r="AT254" s="2248"/>
      <c r="AU254" s="2248"/>
      <c r="AV254" s="2248"/>
      <c r="AW254" s="2248"/>
      <c r="AX254" s="2248"/>
      <c r="AY254" s="2248"/>
      <c r="AZ254" s="2248"/>
      <c r="BA254" s="2248"/>
      <c r="BB254" s="2248"/>
      <c r="BC254" s="2248"/>
      <c r="BD254" s="2248"/>
      <c r="BE254" s="2248"/>
      <c r="BF254" s="2248"/>
      <c r="BG254" s="2248"/>
      <c r="BH254" s="2248"/>
      <c r="BI254" s="2248"/>
      <c r="BJ254" s="2248"/>
      <c r="BK254" s="2248"/>
      <c r="BL254" s="2248"/>
      <c r="BM254" s="2248"/>
      <c r="BN254" s="2248"/>
      <c r="BO254" s="2248"/>
      <c r="BP254" s="2248"/>
      <c r="BQ254" s="2248"/>
      <c r="BR254" s="2248"/>
    </row>
    <row r="255" spans="1:70" s="2249" customFormat="1" ht="18" customHeight="1">
      <c r="A255" s="2355"/>
      <c r="B255" s="2344"/>
      <c r="C255" s="2337"/>
      <c r="D255" s="2337"/>
      <c r="E255" s="2337"/>
      <c r="F255" s="1064"/>
      <c r="G255" s="1064"/>
      <c r="H255" s="2356"/>
      <c r="I255" s="2369"/>
      <c r="J255" s="2370"/>
      <c r="K255" s="1327" t="s">
        <v>380</v>
      </c>
      <c r="L255" s="2358" t="s">
        <v>6</v>
      </c>
      <c r="M255" s="2350">
        <v>1200</v>
      </c>
      <c r="N255" s="1068" t="s">
        <v>381</v>
      </c>
      <c r="O255" s="1058"/>
      <c r="P255" s="1033"/>
      <c r="Q255" s="932"/>
      <c r="R255" s="932"/>
      <c r="S255" s="932"/>
      <c r="V255" s="2247"/>
      <c r="W255" s="2248"/>
      <c r="X255" s="2248"/>
      <c r="Y255" s="2248"/>
      <c r="Z255" s="2248"/>
      <c r="AA255" s="2248"/>
      <c r="AB255" s="2248"/>
      <c r="AC255" s="2248"/>
      <c r="AD255" s="2248" t="s">
        <v>2077</v>
      </c>
      <c r="AE255" s="2248"/>
      <c r="AF255" s="2248"/>
      <c r="AG255" s="2248"/>
      <c r="AH255" s="2248"/>
      <c r="AI255" s="2248"/>
      <c r="AJ255" s="2248"/>
      <c r="AK255" s="2248"/>
      <c r="AL255" s="2248"/>
      <c r="AM255" s="2248"/>
      <c r="AN255" s="2248"/>
      <c r="AO255" s="2248"/>
      <c r="AP255" s="2248"/>
      <c r="AQ255" s="2248"/>
      <c r="AR255" s="2248"/>
      <c r="AS255" s="2248"/>
      <c r="AT255" s="2248"/>
      <c r="AU255" s="2248"/>
      <c r="AV255" s="2248"/>
      <c r="AW255" s="2248"/>
      <c r="AX255" s="2248"/>
      <c r="AY255" s="2248"/>
      <c r="AZ255" s="2248"/>
      <c r="BA255" s="2248"/>
      <c r="BB255" s="2248"/>
      <c r="BC255" s="2248"/>
      <c r="BD255" s="2248"/>
      <c r="BE255" s="2248"/>
      <c r="BF255" s="2248"/>
      <c r="BG255" s="2248"/>
      <c r="BH255" s="2248"/>
      <c r="BI255" s="2248"/>
      <c r="BJ255" s="2248"/>
      <c r="BK255" s="2248"/>
      <c r="BL255" s="2248"/>
      <c r="BM255" s="2248"/>
      <c r="BN255" s="2248"/>
      <c r="BO255" s="2248"/>
      <c r="BP255" s="2248"/>
      <c r="BQ255" s="2248"/>
      <c r="BR255" s="2248"/>
    </row>
    <row r="256" spans="1:70" s="2249" customFormat="1" ht="18" customHeight="1">
      <c r="A256" s="2355"/>
      <c r="B256" s="2344"/>
      <c r="C256" s="2337"/>
      <c r="D256" s="2337"/>
      <c r="E256" s="2337"/>
      <c r="F256" s="1064"/>
      <c r="G256" s="1064"/>
      <c r="H256" s="2356"/>
      <c r="I256" s="2369"/>
      <c r="J256" s="2370"/>
      <c r="K256" s="1327" t="s">
        <v>382</v>
      </c>
      <c r="L256" s="2358" t="s">
        <v>6</v>
      </c>
      <c r="M256" s="2350">
        <v>2400</v>
      </c>
      <c r="N256" s="1068" t="s">
        <v>383</v>
      </c>
      <c r="O256" s="1058"/>
      <c r="P256" s="1033"/>
      <c r="Q256" s="932"/>
      <c r="R256" s="932"/>
      <c r="S256" s="932"/>
      <c r="V256" s="2247"/>
      <c r="W256" s="2248"/>
      <c r="X256" s="2248"/>
      <c r="Y256" s="2248"/>
      <c r="Z256" s="2248"/>
      <c r="AA256" s="2248"/>
      <c r="AB256" s="2248"/>
      <c r="AC256" s="2248"/>
      <c r="AD256" s="2248" t="s">
        <v>2078</v>
      </c>
      <c r="AE256" s="2248"/>
      <c r="AF256" s="2248"/>
      <c r="AG256" s="2248"/>
      <c r="AH256" s="2248"/>
      <c r="AI256" s="2248"/>
      <c r="AJ256" s="2248"/>
      <c r="AK256" s="2248"/>
      <c r="AL256" s="2248"/>
      <c r="AM256" s="2248"/>
      <c r="AN256" s="2248"/>
      <c r="AO256" s="2248"/>
      <c r="AP256" s="2248"/>
      <c r="AQ256" s="2248"/>
      <c r="AR256" s="2248"/>
      <c r="AS256" s="2248"/>
      <c r="AT256" s="2248"/>
      <c r="AU256" s="2248"/>
      <c r="AV256" s="2248"/>
      <c r="AW256" s="2248"/>
      <c r="AX256" s="2248"/>
      <c r="AY256" s="2248"/>
      <c r="AZ256" s="2248"/>
      <c r="BA256" s="2248"/>
      <c r="BB256" s="2248"/>
      <c r="BC256" s="2248"/>
      <c r="BD256" s="2248"/>
      <c r="BE256" s="2248"/>
      <c r="BF256" s="2248"/>
      <c r="BG256" s="2248"/>
      <c r="BH256" s="2248"/>
      <c r="BI256" s="2248"/>
      <c r="BJ256" s="2248"/>
      <c r="BK256" s="2248"/>
      <c r="BL256" s="2248"/>
      <c r="BM256" s="2248"/>
      <c r="BN256" s="2248"/>
      <c r="BO256" s="2248"/>
      <c r="BP256" s="2248"/>
      <c r="BQ256" s="2248"/>
      <c r="BR256" s="2248"/>
    </row>
    <row r="257" spans="1:70" s="2249" customFormat="1" ht="18" customHeight="1">
      <c r="A257" s="2355"/>
      <c r="B257" s="2344"/>
      <c r="C257" s="2337"/>
      <c r="D257" s="2337"/>
      <c r="E257" s="2337"/>
      <c r="F257" s="1064"/>
      <c r="G257" s="1064"/>
      <c r="H257" s="2356"/>
      <c r="I257" s="2369"/>
      <c r="J257" s="2370"/>
      <c r="K257" s="1327" t="s">
        <v>384</v>
      </c>
      <c r="L257" s="2358" t="s">
        <v>6</v>
      </c>
      <c r="M257" s="2350">
        <v>130</v>
      </c>
      <c r="N257" s="1068" t="s">
        <v>385</v>
      </c>
      <c r="O257" s="1058"/>
      <c r="P257" s="1033"/>
      <c r="Q257" s="932"/>
      <c r="R257" s="932"/>
      <c r="S257" s="932"/>
      <c r="V257" s="2247"/>
      <c r="W257" s="2248"/>
      <c r="X257" s="2248"/>
      <c r="Y257" s="2248"/>
      <c r="Z257" s="2248"/>
      <c r="AA257" s="2248"/>
      <c r="AB257" s="2248"/>
      <c r="AC257" s="2248"/>
      <c r="AD257" s="2248" t="s">
        <v>2079</v>
      </c>
      <c r="AE257" s="2248"/>
      <c r="AF257" s="2248"/>
      <c r="AG257" s="2248"/>
      <c r="AH257" s="2248"/>
      <c r="AI257" s="2248"/>
      <c r="AJ257" s="2248"/>
      <c r="AK257" s="2248"/>
      <c r="AL257" s="2248"/>
      <c r="AM257" s="2248"/>
      <c r="AN257" s="2248"/>
      <c r="AO257" s="2248"/>
      <c r="AP257" s="2248"/>
      <c r="AQ257" s="2248"/>
      <c r="AR257" s="2248"/>
      <c r="AS257" s="2248"/>
      <c r="AT257" s="2248"/>
      <c r="AU257" s="2248"/>
      <c r="AV257" s="2248"/>
      <c r="AW257" s="2248"/>
      <c r="AX257" s="2248"/>
      <c r="AY257" s="2248"/>
      <c r="AZ257" s="2248"/>
      <c r="BA257" s="2248"/>
      <c r="BB257" s="2248"/>
      <c r="BC257" s="2248"/>
      <c r="BD257" s="2248"/>
      <c r="BE257" s="2248"/>
      <c r="BF257" s="2248"/>
      <c r="BG257" s="2248"/>
      <c r="BH257" s="2248"/>
      <c r="BI257" s="2248"/>
      <c r="BJ257" s="2248"/>
      <c r="BK257" s="2248"/>
      <c r="BL257" s="2248"/>
      <c r="BM257" s="2248"/>
      <c r="BN257" s="2248"/>
      <c r="BO257" s="2248"/>
      <c r="BP257" s="2248"/>
      <c r="BQ257" s="2248"/>
      <c r="BR257" s="2248"/>
    </row>
    <row r="258" spans="1:70" s="2249" customFormat="1" ht="18" customHeight="1">
      <c r="A258" s="2355"/>
      <c r="B258" s="2344"/>
      <c r="C258" s="2337"/>
      <c r="D258" s="2337"/>
      <c r="E258" s="2337"/>
      <c r="F258" s="1064"/>
      <c r="G258" s="1064"/>
      <c r="H258" s="2356"/>
      <c r="I258" s="2369"/>
      <c r="J258" s="2370"/>
      <c r="K258" s="1327" t="s">
        <v>386</v>
      </c>
      <c r="L258" s="2358" t="s">
        <v>6</v>
      </c>
      <c r="M258" s="2350">
        <v>130</v>
      </c>
      <c r="N258" s="1068" t="s">
        <v>387</v>
      </c>
      <c r="O258" s="1058"/>
      <c r="P258" s="1033"/>
      <c r="Q258" s="932"/>
      <c r="R258" s="932"/>
      <c r="S258" s="932"/>
      <c r="V258" s="2247"/>
      <c r="W258" s="2248"/>
      <c r="X258" s="2248"/>
      <c r="Y258" s="2248"/>
      <c r="Z258" s="2248"/>
      <c r="AA258" s="2248"/>
      <c r="AB258" s="2248"/>
      <c r="AC258" s="2248"/>
      <c r="AD258" s="2248" t="s">
        <v>2080</v>
      </c>
      <c r="AE258" s="2248"/>
      <c r="AF258" s="2248"/>
      <c r="AG258" s="2248"/>
      <c r="AH258" s="2248"/>
      <c r="AI258" s="2248"/>
      <c r="AJ258" s="2248"/>
      <c r="AK258" s="2248"/>
      <c r="AL258" s="2248"/>
      <c r="AM258" s="2248"/>
      <c r="AN258" s="2248"/>
      <c r="AO258" s="2248"/>
      <c r="AP258" s="2248"/>
      <c r="AQ258" s="2248"/>
      <c r="AR258" s="2248"/>
      <c r="AS258" s="2248"/>
      <c r="AT258" s="2248"/>
      <c r="AU258" s="2248"/>
      <c r="AV258" s="2248"/>
      <c r="AW258" s="2248"/>
      <c r="AX258" s="2248"/>
      <c r="AY258" s="2248"/>
      <c r="AZ258" s="2248"/>
      <c r="BA258" s="2248"/>
      <c r="BB258" s="2248"/>
      <c r="BC258" s="2248"/>
      <c r="BD258" s="2248"/>
      <c r="BE258" s="2248"/>
      <c r="BF258" s="2248"/>
      <c r="BG258" s="2248"/>
      <c r="BH258" s="2248"/>
      <c r="BI258" s="2248"/>
      <c r="BJ258" s="2248"/>
      <c r="BK258" s="2248"/>
      <c r="BL258" s="2248"/>
      <c r="BM258" s="2248"/>
      <c r="BN258" s="2248"/>
      <c r="BO258" s="2248"/>
      <c r="BP258" s="2248"/>
      <c r="BQ258" s="2248"/>
      <c r="BR258" s="2248"/>
    </row>
    <row r="259" spans="1:70" s="2249" customFormat="1" ht="18" customHeight="1">
      <c r="A259" s="2355"/>
      <c r="B259" s="2344"/>
      <c r="C259" s="2337"/>
      <c r="D259" s="2337"/>
      <c r="E259" s="2337"/>
      <c r="F259" s="1064"/>
      <c r="G259" s="1064"/>
      <c r="H259" s="2356"/>
      <c r="I259" s="2369"/>
      <c r="J259" s="2370"/>
      <c r="K259" s="1327" t="s">
        <v>388</v>
      </c>
      <c r="L259" s="2358" t="s">
        <v>6</v>
      </c>
      <c r="M259" s="2350">
        <v>200</v>
      </c>
      <c r="N259" s="1068" t="s">
        <v>389</v>
      </c>
      <c r="O259" s="1058"/>
      <c r="P259" s="1033"/>
      <c r="Q259" s="932"/>
      <c r="R259" s="932"/>
      <c r="S259" s="932"/>
      <c r="V259" s="2247"/>
      <c r="W259" s="2248"/>
      <c r="X259" s="2248"/>
      <c r="Y259" s="2248"/>
      <c r="Z259" s="2248"/>
      <c r="AA259" s="2248"/>
      <c r="AB259" s="2248"/>
      <c r="AC259" s="2248"/>
      <c r="AD259" s="2248" t="s">
        <v>2081</v>
      </c>
      <c r="AE259" s="2248"/>
      <c r="AF259" s="2248"/>
      <c r="AG259" s="2248"/>
      <c r="AH259" s="2248"/>
      <c r="AI259" s="2248"/>
      <c r="AJ259" s="2248"/>
      <c r="AK259" s="2248"/>
      <c r="AL259" s="2248"/>
      <c r="AM259" s="2248"/>
      <c r="AN259" s="2248"/>
      <c r="AO259" s="2248"/>
      <c r="AP259" s="2248"/>
      <c r="AQ259" s="2248"/>
      <c r="AR259" s="2248"/>
      <c r="AS259" s="2248"/>
      <c r="AT259" s="2248"/>
      <c r="AU259" s="2248"/>
      <c r="AV259" s="2248"/>
      <c r="AW259" s="2248"/>
      <c r="AX259" s="2248"/>
      <c r="AY259" s="2248"/>
      <c r="AZ259" s="2248"/>
      <c r="BA259" s="2248"/>
      <c r="BB259" s="2248"/>
      <c r="BC259" s="2248"/>
      <c r="BD259" s="2248"/>
      <c r="BE259" s="2248"/>
      <c r="BF259" s="2248"/>
      <c r="BG259" s="2248"/>
      <c r="BH259" s="2248"/>
      <c r="BI259" s="2248"/>
      <c r="BJ259" s="2248"/>
      <c r="BK259" s="2248"/>
      <c r="BL259" s="2248"/>
      <c r="BM259" s="2248"/>
      <c r="BN259" s="2248"/>
      <c r="BO259" s="2248"/>
      <c r="BP259" s="2248"/>
      <c r="BQ259" s="2248"/>
      <c r="BR259" s="2248"/>
    </row>
    <row r="260" spans="1:70" s="2249" customFormat="1" ht="18" customHeight="1">
      <c r="A260" s="2355"/>
      <c r="B260" s="2344"/>
      <c r="C260" s="2337"/>
      <c r="D260" s="2337"/>
      <c r="E260" s="2337"/>
      <c r="F260" s="1064"/>
      <c r="G260" s="1064"/>
      <c r="H260" s="2356"/>
      <c r="I260" s="2369"/>
      <c r="J260" s="2370"/>
      <c r="K260" s="1327" t="s">
        <v>390</v>
      </c>
      <c r="L260" s="2358" t="s">
        <v>6</v>
      </c>
      <c r="M260" s="2350">
        <v>1500</v>
      </c>
      <c r="N260" s="1068" t="s">
        <v>391</v>
      </c>
      <c r="O260" s="1058"/>
      <c r="P260" s="1033"/>
      <c r="Q260" s="932"/>
      <c r="R260" s="932"/>
      <c r="S260" s="932"/>
      <c r="V260" s="2247"/>
      <c r="W260" s="2248"/>
      <c r="X260" s="2248"/>
      <c r="Y260" s="2248"/>
      <c r="Z260" s="2248"/>
      <c r="AA260" s="2248"/>
      <c r="AB260" s="2248"/>
      <c r="AC260" s="2248"/>
      <c r="AD260" s="2248" t="s">
        <v>2082</v>
      </c>
      <c r="AE260" s="2248"/>
      <c r="AF260" s="2248"/>
      <c r="AG260" s="2248"/>
      <c r="AH260" s="2248"/>
      <c r="AI260" s="2248"/>
      <c r="AJ260" s="2248"/>
      <c r="AK260" s="2248"/>
      <c r="AL260" s="2248"/>
      <c r="AM260" s="2248"/>
      <c r="AN260" s="2248"/>
      <c r="AO260" s="2248"/>
      <c r="AP260" s="2248"/>
      <c r="AQ260" s="2248"/>
      <c r="AR260" s="2248"/>
      <c r="AS260" s="2248"/>
      <c r="AT260" s="2248"/>
      <c r="AU260" s="2248"/>
      <c r="AV260" s="2248"/>
      <c r="AW260" s="2248"/>
      <c r="AX260" s="2248"/>
      <c r="AY260" s="2248"/>
      <c r="AZ260" s="2248"/>
      <c r="BA260" s="2248"/>
      <c r="BB260" s="2248"/>
      <c r="BC260" s="2248"/>
      <c r="BD260" s="2248"/>
      <c r="BE260" s="2248"/>
      <c r="BF260" s="2248"/>
      <c r="BG260" s="2248"/>
      <c r="BH260" s="2248"/>
      <c r="BI260" s="2248"/>
      <c r="BJ260" s="2248"/>
      <c r="BK260" s="2248"/>
      <c r="BL260" s="2248"/>
      <c r="BM260" s="2248"/>
      <c r="BN260" s="2248"/>
      <c r="BO260" s="2248"/>
      <c r="BP260" s="2248"/>
      <c r="BQ260" s="2248"/>
      <c r="BR260" s="2248"/>
    </row>
    <row r="261" spans="1:70" s="2249" customFormat="1" ht="18" customHeight="1">
      <c r="A261" s="2355"/>
      <c r="B261" s="2344"/>
      <c r="C261" s="2337"/>
      <c r="D261" s="2337"/>
      <c r="E261" s="2337"/>
      <c r="F261" s="1064"/>
      <c r="G261" s="1064"/>
      <c r="H261" s="2356"/>
      <c r="I261" s="2369"/>
      <c r="J261" s="2370"/>
      <c r="K261" s="1327" t="s">
        <v>717</v>
      </c>
      <c r="L261" s="2358" t="s">
        <v>6</v>
      </c>
      <c r="M261" s="2350">
        <f>10*12</f>
        <v>120</v>
      </c>
      <c r="N261" s="1068" t="s">
        <v>718</v>
      </c>
      <c r="O261" s="1058"/>
      <c r="P261" s="1033"/>
      <c r="Q261" s="932"/>
      <c r="R261" s="932"/>
      <c r="S261" s="932"/>
      <c r="V261" s="2247"/>
      <c r="W261" s="2248"/>
      <c r="X261" s="2248"/>
      <c r="Y261" s="2248"/>
      <c r="Z261" s="2248"/>
      <c r="AA261" s="2248"/>
      <c r="AB261" s="2248"/>
      <c r="AC261" s="2248"/>
      <c r="AD261" s="2248" t="s">
        <v>2083</v>
      </c>
      <c r="AE261" s="2248"/>
      <c r="AF261" s="2248"/>
      <c r="AG261" s="2248"/>
      <c r="AH261" s="2248"/>
      <c r="AI261" s="2248"/>
      <c r="AJ261" s="2248"/>
      <c r="AK261" s="2248"/>
      <c r="AL261" s="2248"/>
      <c r="AM261" s="2248"/>
      <c r="AN261" s="2248"/>
      <c r="AO261" s="2248"/>
      <c r="AP261" s="2248"/>
      <c r="AQ261" s="2248"/>
      <c r="AR261" s="2248"/>
      <c r="AS261" s="2248"/>
      <c r="AT261" s="2248"/>
      <c r="AU261" s="2248"/>
      <c r="AV261" s="2248"/>
      <c r="AW261" s="2248"/>
      <c r="AX261" s="2248"/>
      <c r="AY261" s="2248"/>
      <c r="AZ261" s="2248"/>
      <c r="BA261" s="2248"/>
      <c r="BB261" s="2248"/>
      <c r="BC261" s="2248"/>
      <c r="BD261" s="2248"/>
      <c r="BE261" s="2248"/>
      <c r="BF261" s="2248"/>
      <c r="BG261" s="2248"/>
      <c r="BH261" s="2248"/>
      <c r="BI261" s="2248"/>
      <c r="BJ261" s="2248"/>
      <c r="BK261" s="2248"/>
      <c r="BL261" s="2248"/>
      <c r="BM261" s="2248"/>
      <c r="BN261" s="2248"/>
      <c r="BO261" s="2248"/>
      <c r="BP261" s="2248"/>
      <c r="BQ261" s="2248"/>
      <c r="BR261" s="2248"/>
    </row>
    <row r="262" spans="1:70" s="2249" customFormat="1" ht="18" customHeight="1">
      <c r="A262" s="2355"/>
      <c r="B262" s="2344"/>
      <c r="C262" s="2337"/>
      <c r="D262" s="2337"/>
      <c r="E262" s="2337"/>
      <c r="F262" s="1064"/>
      <c r="G262" s="1064"/>
      <c r="H262" s="2356"/>
      <c r="I262" s="2369"/>
      <c r="J262" s="2370"/>
      <c r="K262" s="1060" t="s">
        <v>2084</v>
      </c>
      <c r="L262" s="2352" t="s">
        <v>6</v>
      </c>
      <c r="M262" s="2350">
        <v>9840</v>
      </c>
      <c r="N262" s="1067" t="s">
        <v>719</v>
      </c>
      <c r="O262" s="1058"/>
      <c r="P262" s="1033"/>
      <c r="Q262" s="932"/>
      <c r="R262" s="932"/>
      <c r="S262" s="932"/>
      <c r="V262" s="2247"/>
      <c r="W262" s="2248"/>
      <c r="X262" s="2248"/>
      <c r="Y262" s="2248"/>
      <c r="Z262" s="2248"/>
      <c r="AA262" s="2248"/>
      <c r="AB262" s="2248"/>
      <c r="AC262" s="2248"/>
      <c r="AD262" s="2248" t="s">
        <v>2085</v>
      </c>
      <c r="AE262" s="2248"/>
      <c r="AF262" s="2248"/>
      <c r="AG262" s="2248"/>
      <c r="AH262" s="2248"/>
      <c r="AI262" s="2248"/>
      <c r="AJ262" s="2248"/>
      <c r="AK262" s="2248"/>
      <c r="AL262" s="2248"/>
      <c r="AM262" s="2248"/>
      <c r="AN262" s="2248"/>
      <c r="AO262" s="2248"/>
      <c r="AP262" s="2248"/>
      <c r="AQ262" s="2248"/>
      <c r="AR262" s="2248"/>
      <c r="AS262" s="2248"/>
      <c r="AT262" s="2248"/>
      <c r="AU262" s="2248"/>
      <c r="AV262" s="2248"/>
      <c r="AW262" s="2248"/>
      <c r="AX262" s="2248"/>
      <c r="AY262" s="2248"/>
      <c r="AZ262" s="2248"/>
      <c r="BA262" s="2248"/>
      <c r="BB262" s="2248"/>
      <c r="BC262" s="2248"/>
      <c r="BD262" s="2248"/>
      <c r="BE262" s="2248"/>
      <c r="BF262" s="2248"/>
      <c r="BG262" s="2248"/>
      <c r="BH262" s="2248"/>
      <c r="BI262" s="2248"/>
      <c r="BJ262" s="2248"/>
      <c r="BK262" s="2248"/>
      <c r="BL262" s="2248"/>
      <c r="BM262" s="2248"/>
      <c r="BN262" s="2248"/>
      <c r="BO262" s="2248"/>
      <c r="BP262" s="2248"/>
      <c r="BQ262" s="2248"/>
      <c r="BR262" s="2248"/>
    </row>
    <row r="263" spans="1:70" s="2249" customFormat="1" ht="18" customHeight="1">
      <c r="A263" s="2355"/>
      <c r="B263" s="2344"/>
      <c r="C263" s="2337"/>
      <c r="D263" s="2337"/>
      <c r="E263" s="2337"/>
      <c r="F263" s="1064"/>
      <c r="G263" s="1064"/>
      <c r="H263" s="2356"/>
      <c r="I263" s="2369"/>
      <c r="J263" s="2370"/>
      <c r="K263" s="1060" t="s">
        <v>720</v>
      </c>
      <c r="L263" s="2352" t="s">
        <v>6</v>
      </c>
      <c r="M263" s="2350">
        <f>630*12</f>
        <v>7560</v>
      </c>
      <c r="N263" s="1067" t="s">
        <v>721</v>
      </c>
      <c r="O263" s="1058"/>
      <c r="P263" s="1033"/>
      <c r="Q263" s="932"/>
      <c r="R263" s="932"/>
      <c r="S263" s="932"/>
      <c r="V263" s="2247"/>
      <c r="W263" s="2248"/>
      <c r="X263" s="2248"/>
      <c r="Y263" s="2248"/>
      <c r="Z263" s="2248"/>
      <c r="AA263" s="2248"/>
      <c r="AB263" s="2248"/>
      <c r="AC263" s="2248"/>
      <c r="AD263" s="2248" t="s">
        <v>2086</v>
      </c>
      <c r="AE263" s="2248"/>
      <c r="AF263" s="2248"/>
      <c r="AG263" s="2248"/>
      <c r="AH263" s="2248"/>
      <c r="AI263" s="2248"/>
      <c r="AJ263" s="2248"/>
      <c r="AK263" s="2248"/>
      <c r="AL263" s="2248"/>
      <c r="AM263" s="2248"/>
      <c r="AN263" s="2248"/>
      <c r="AO263" s="2248"/>
      <c r="AP263" s="2248"/>
      <c r="AQ263" s="2248"/>
      <c r="AR263" s="2248"/>
      <c r="AS263" s="2248"/>
      <c r="AT263" s="2248"/>
      <c r="AU263" s="2248"/>
      <c r="AV263" s="2248"/>
      <c r="AW263" s="2248"/>
      <c r="AX263" s="2248"/>
      <c r="AY263" s="2248"/>
      <c r="AZ263" s="2248"/>
      <c r="BA263" s="2248"/>
      <c r="BB263" s="2248"/>
      <c r="BC263" s="2248"/>
      <c r="BD263" s="2248"/>
      <c r="BE263" s="2248"/>
      <c r="BF263" s="2248"/>
      <c r="BG263" s="2248"/>
      <c r="BH263" s="2248"/>
      <c r="BI263" s="2248"/>
      <c r="BJ263" s="2248"/>
      <c r="BK263" s="2248"/>
      <c r="BL263" s="2248"/>
      <c r="BM263" s="2248"/>
      <c r="BN263" s="2248"/>
      <c r="BO263" s="2248"/>
      <c r="BP263" s="2248"/>
      <c r="BQ263" s="2248"/>
      <c r="BR263" s="2248"/>
    </row>
    <row r="264" spans="1:70" s="2249" customFormat="1" ht="18" customHeight="1">
      <c r="A264" s="2355"/>
      <c r="B264" s="2344"/>
      <c r="C264" s="2337"/>
      <c r="D264" s="2337"/>
      <c r="E264" s="2337"/>
      <c r="F264" s="1064"/>
      <c r="G264" s="942" t="s">
        <v>322</v>
      </c>
      <c r="H264" s="2345">
        <f>M264</f>
        <v>6600</v>
      </c>
      <c r="I264" s="2367">
        <v>4320</v>
      </c>
      <c r="J264" s="2371">
        <f>H264-I264</f>
        <v>2280</v>
      </c>
      <c r="K264" s="1329" t="s">
        <v>331</v>
      </c>
      <c r="L264" s="2372"/>
      <c r="M264" s="2342">
        <f>SUM(M265:M267)</f>
        <v>6600</v>
      </c>
      <c r="N264" s="1069"/>
      <c r="O264" s="1058"/>
      <c r="P264" s="1033"/>
      <c r="Q264" s="932"/>
      <c r="R264" s="932"/>
      <c r="S264" s="932"/>
      <c r="V264" s="2247"/>
      <c r="W264" s="2248"/>
      <c r="X264" s="2248"/>
      <c r="Y264" s="2248"/>
      <c r="Z264" s="2248"/>
      <c r="AA264" s="2248"/>
      <c r="AB264" s="2248"/>
      <c r="AC264" s="2248"/>
      <c r="AD264" s="2248"/>
      <c r="AE264" s="2248"/>
      <c r="AF264" s="2248"/>
      <c r="AG264" s="2248"/>
      <c r="AH264" s="2248"/>
      <c r="AI264" s="2248"/>
      <c r="AJ264" s="2248"/>
      <c r="AK264" s="2248"/>
      <c r="AL264" s="2248"/>
      <c r="AM264" s="2248"/>
      <c r="AN264" s="2248"/>
      <c r="AO264" s="2248"/>
      <c r="AP264" s="2248"/>
      <c r="AQ264" s="2248"/>
      <c r="AR264" s="2248"/>
      <c r="AS264" s="2248"/>
      <c r="AT264" s="2248"/>
      <c r="AU264" s="2248"/>
      <c r="AV264" s="2248"/>
      <c r="AW264" s="2248"/>
      <c r="AX264" s="2248"/>
      <c r="AY264" s="2248"/>
      <c r="AZ264" s="2248"/>
      <c r="BA264" s="2248"/>
      <c r="BB264" s="2248"/>
      <c r="BC264" s="2248"/>
      <c r="BD264" s="2248"/>
      <c r="BE264" s="2248"/>
      <c r="BF264" s="2248"/>
      <c r="BG264" s="2248"/>
      <c r="BH264" s="2248"/>
      <c r="BI264" s="2248"/>
      <c r="BJ264" s="2248"/>
      <c r="BK264" s="2248"/>
      <c r="BL264" s="2248"/>
      <c r="BM264" s="2248"/>
      <c r="BN264" s="2248"/>
      <c r="BO264" s="2248"/>
      <c r="BP264" s="2248"/>
      <c r="BQ264" s="2248"/>
      <c r="BR264" s="2248"/>
    </row>
    <row r="265" spans="1:70" s="2249" customFormat="1" ht="18" customHeight="1">
      <c r="A265" s="2355"/>
      <c r="B265" s="2344"/>
      <c r="C265" s="2337"/>
      <c r="D265" s="2337"/>
      <c r="E265" s="2337"/>
      <c r="F265" s="1064"/>
      <c r="G265" s="939"/>
      <c r="H265" s="2348"/>
      <c r="I265" s="2356"/>
      <c r="J265" s="2373"/>
      <c r="K265" s="1327" t="s">
        <v>2087</v>
      </c>
      <c r="L265" s="2352" t="s">
        <v>6</v>
      </c>
      <c r="M265" s="2718">
        <v>2280</v>
      </c>
      <c r="N265" s="1068"/>
      <c r="O265" s="1058"/>
      <c r="P265" s="1033"/>
      <c r="Q265" s="932"/>
      <c r="R265" s="932"/>
      <c r="S265" s="932"/>
      <c r="V265" s="2247"/>
      <c r="W265" s="2248"/>
      <c r="X265" s="2248"/>
      <c r="Y265" s="2248"/>
      <c r="Z265" s="2248"/>
      <c r="AA265" s="2248"/>
      <c r="AB265" s="2248"/>
      <c r="AC265" s="2248"/>
      <c r="AD265" s="2248" t="s">
        <v>2088</v>
      </c>
      <c r="AE265" s="2248"/>
      <c r="AF265" s="2248"/>
      <c r="AG265" s="2248"/>
      <c r="AH265" s="2248"/>
      <c r="AI265" s="2248"/>
      <c r="AJ265" s="2248"/>
      <c r="AK265" s="2248"/>
      <c r="AL265" s="2248"/>
      <c r="AM265" s="2248"/>
      <c r="AN265" s="2248"/>
      <c r="AO265" s="2248"/>
      <c r="AP265" s="2248"/>
      <c r="AQ265" s="2248"/>
      <c r="AR265" s="2248"/>
      <c r="AS265" s="2248"/>
      <c r="AT265" s="2248"/>
      <c r="AU265" s="2248"/>
      <c r="AV265" s="2248"/>
      <c r="AW265" s="2248"/>
      <c r="AX265" s="2248"/>
      <c r="AY265" s="2248"/>
      <c r="AZ265" s="2248"/>
      <c r="BA265" s="2248"/>
      <c r="BB265" s="2248"/>
      <c r="BC265" s="2248"/>
      <c r="BD265" s="2248"/>
      <c r="BE265" s="2248"/>
      <c r="BF265" s="2248"/>
      <c r="BG265" s="2248"/>
      <c r="BH265" s="2248"/>
      <c r="BI265" s="2248"/>
      <c r="BJ265" s="2248"/>
      <c r="BK265" s="2248"/>
      <c r="BL265" s="2248"/>
      <c r="BM265" s="2248"/>
      <c r="BN265" s="2248"/>
      <c r="BO265" s="2248"/>
      <c r="BP265" s="2248"/>
      <c r="BQ265" s="2248"/>
      <c r="BR265" s="2248"/>
    </row>
    <row r="266" spans="1:70" s="2249" customFormat="1" ht="18" customHeight="1">
      <c r="A266" s="2355"/>
      <c r="B266" s="2344"/>
      <c r="C266" s="2337"/>
      <c r="D266" s="2337"/>
      <c r="E266" s="2337"/>
      <c r="F266" s="1064"/>
      <c r="G266" s="1330"/>
      <c r="H266" s="2348"/>
      <c r="I266" s="2348"/>
      <c r="J266" s="2373"/>
      <c r="K266" s="1060" t="s">
        <v>722</v>
      </c>
      <c r="L266" s="2352" t="s">
        <v>6</v>
      </c>
      <c r="M266" s="2362">
        <f>44*5*12</f>
        <v>2640</v>
      </c>
      <c r="N266" s="1067" t="s">
        <v>723</v>
      </c>
      <c r="O266" s="1058"/>
      <c r="P266" s="1033"/>
      <c r="Q266" s="932"/>
      <c r="R266" s="932"/>
      <c r="S266" s="932"/>
      <c r="V266" s="2247"/>
      <c r="W266" s="2248"/>
      <c r="X266" s="2248"/>
      <c r="Y266" s="2248"/>
      <c r="Z266" s="2248"/>
      <c r="AA266" s="2248"/>
      <c r="AB266" s="2248"/>
      <c r="AC266" s="2248"/>
      <c r="AD266" s="2248" t="s">
        <v>723</v>
      </c>
      <c r="AE266" s="2248"/>
      <c r="AF266" s="2248"/>
      <c r="AG266" s="2248"/>
      <c r="AH266" s="2248"/>
      <c r="AI266" s="2248"/>
      <c r="AJ266" s="2248"/>
      <c r="AK266" s="2248"/>
      <c r="AL266" s="2248"/>
      <c r="AM266" s="2248"/>
      <c r="AN266" s="2248"/>
      <c r="AO266" s="2248"/>
      <c r="AP266" s="2248"/>
      <c r="AQ266" s="2248"/>
      <c r="AR266" s="2248"/>
      <c r="AS266" s="2248"/>
      <c r="AT266" s="2248"/>
      <c r="AU266" s="2248"/>
      <c r="AV266" s="2248"/>
      <c r="AW266" s="2248"/>
      <c r="AX266" s="2248"/>
      <c r="AY266" s="2248"/>
      <c r="AZ266" s="2248"/>
      <c r="BA266" s="2248"/>
      <c r="BB266" s="2248"/>
      <c r="BC266" s="2248"/>
      <c r="BD266" s="2248"/>
      <c r="BE266" s="2248"/>
      <c r="BF266" s="2248"/>
      <c r="BG266" s="2248"/>
      <c r="BH266" s="2248"/>
      <c r="BI266" s="2248"/>
      <c r="BJ266" s="2248"/>
      <c r="BK266" s="2248"/>
      <c r="BL266" s="2248"/>
      <c r="BM266" s="2248"/>
      <c r="BN266" s="2248"/>
      <c r="BO266" s="2248"/>
      <c r="BP266" s="2248"/>
      <c r="BQ266" s="2248"/>
      <c r="BR266" s="2248"/>
    </row>
    <row r="267" spans="1:70" s="2249" customFormat="1" ht="18" customHeight="1">
      <c r="A267" s="2355"/>
      <c r="B267" s="2344"/>
      <c r="C267" s="2337"/>
      <c r="D267" s="2337"/>
      <c r="E267" s="2337"/>
      <c r="F267" s="1064"/>
      <c r="G267" s="1330"/>
      <c r="H267" s="2348"/>
      <c r="I267" s="2348"/>
      <c r="J267" s="2373"/>
      <c r="K267" s="1060" t="s">
        <v>724</v>
      </c>
      <c r="L267" s="2352" t="s">
        <v>6</v>
      </c>
      <c r="M267" s="2362">
        <f>70*2*12</f>
        <v>1680</v>
      </c>
      <c r="N267" s="1067" t="s">
        <v>501</v>
      </c>
      <c r="O267" s="1058"/>
      <c r="P267" s="1033"/>
      <c r="Q267" s="932"/>
      <c r="R267" s="932"/>
      <c r="S267" s="932"/>
      <c r="V267" s="2247"/>
      <c r="W267" s="2248"/>
      <c r="X267" s="2248"/>
      <c r="Y267" s="2248"/>
      <c r="Z267" s="2248"/>
      <c r="AA267" s="2248"/>
      <c r="AB267" s="2248"/>
      <c r="AC267" s="2248"/>
      <c r="AD267" s="2248" t="s">
        <v>2089</v>
      </c>
      <c r="AE267" s="2248"/>
      <c r="AF267" s="2248"/>
      <c r="AG267" s="2248"/>
      <c r="AH267" s="2248"/>
      <c r="AI267" s="2248"/>
      <c r="AJ267" s="2248"/>
      <c r="AK267" s="2248"/>
      <c r="AL267" s="2248"/>
      <c r="AM267" s="2248"/>
      <c r="AN267" s="2248"/>
      <c r="AO267" s="2248"/>
      <c r="AP267" s="2248"/>
      <c r="AQ267" s="2248"/>
      <c r="AR267" s="2248"/>
      <c r="AS267" s="2248"/>
      <c r="AT267" s="2248"/>
      <c r="AU267" s="2248"/>
      <c r="AV267" s="2248"/>
      <c r="AW267" s="2248"/>
      <c r="AX267" s="2248"/>
      <c r="AY267" s="2248"/>
      <c r="AZ267" s="2248"/>
      <c r="BA267" s="2248"/>
      <c r="BB267" s="2248"/>
      <c r="BC267" s="2248"/>
      <c r="BD267" s="2248"/>
      <c r="BE267" s="2248"/>
      <c r="BF267" s="2248"/>
      <c r="BG267" s="2248"/>
      <c r="BH267" s="2248"/>
      <c r="BI267" s="2248"/>
      <c r="BJ267" s="2248"/>
      <c r="BK267" s="2248"/>
      <c r="BL267" s="2248"/>
      <c r="BM267" s="2248"/>
      <c r="BN267" s="2248"/>
      <c r="BO267" s="2248"/>
      <c r="BP267" s="2248"/>
      <c r="BQ267" s="2248"/>
      <c r="BR267" s="2248"/>
    </row>
    <row r="268" spans="1:70" s="2249" customFormat="1" ht="18" customHeight="1">
      <c r="A268" s="2355"/>
      <c r="B268" s="2344"/>
      <c r="C268" s="2337"/>
      <c r="D268" s="2337"/>
      <c r="E268" s="2337"/>
      <c r="F268" s="1064"/>
      <c r="G268" s="942" t="s">
        <v>323</v>
      </c>
      <c r="H268" s="2364">
        <f>M268</f>
        <v>500</v>
      </c>
      <c r="I268" s="2364">
        <v>500</v>
      </c>
      <c r="J268" s="2374">
        <f>H268-I268</f>
        <v>0</v>
      </c>
      <c r="K268" s="1329" t="s">
        <v>332</v>
      </c>
      <c r="L268" s="2365"/>
      <c r="M268" s="2342">
        <f>SUM(M269)</f>
        <v>500</v>
      </c>
      <c r="N268" s="1069"/>
      <c r="O268" s="1058"/>
      <c r="P268" s="1033"/>
      <c r="Q268" s="932"/>
      <c r="R268" s="932"/>
      <c r="S268" s="932"/>
      <c r="V268" s="2247"/>
      <c r="W268" s="2248"/>
      <c r="X268" s="2248"/>
      <c r="Y268" s="2248"/>
      <c r="Z268" s="2248"/>
      <c r="AA268" s="2248"/>
      <c r="AB268" s="2248"/>
      <c r="AC268" s="2248"/>
      <c r="AD268" s="2248"/>
      <c r="AE268" s="2248"/>
      <c r="AF268" s="2248"/>
      <c r="AG268" s="2248"/>
      <c r="AH268" s="2248"/>
      <c r="AI268" s="2248"/>
      <c r="AJ268" s="2248"/>
      <c r="AK268" s="2248"/>
      <c r="AL268" s="2248"/>
      <c r="AM268" s="2248"/>
      <c r="AN268" s="2248"/>
      <c r="AO268" s="2248"/>
      <c r="AP268" s="2248"/>
      <c r="AQ268" s="2248"/>
      <c r="AR268" s="2248"/>
      <c r="AS268" s="2248"/>
      <c r="AT268" s="2248"/>
      <c r="AU268" s="2248"/>
      <c r="AV268" s="2248"/>
      <c r="AW268" s="2248"/>
      <c r="AX268" s="2248"/>
      <c r="AY268" s="2248"/>
      <c r="AZ268" s="2248"/>
      <c r="BA268" s="2248"/>
      <c r="BB268" s="2248"/>
      <c r="BC268" s="2248"/>
      <c r="BD268" s="2248"/>
      <c r="BE268" s="2248"/>
      <c r="BF268" s="2248"/>
      <c r="BG268" s="2248"/>
      <c r="BH268" s="2248"/>
      <c r="BI268" s="2248"/>
      <c r="BJ268" s="2248"/>
      <c r="BK268" s="2248"/>
      <c r="BL268" s="2248"/>
      <c r="BM268" s="2248"/>
      <c r="BN268" s="2248"/>
      <c r="BO268" s="2248"/>
      <c r="BP268" s="2248"/>
      <c r="BQ268" s="2248"/>
      <c r="BR268" s="2248"/>
    </row>
    <row r="269" spans="1:70" s="2249" customFormat="1" ht="18" customHeight="1">
      <c r="A269" s="2355"/>
      <c r="B269" s="2344"/>
      <c r="C269" s="2337"/>
      <c r="D269" s="2337"/>
      <c r="E269" s="2337"/>
      <c r="F269" s="1064"/>
      <c r="G269" s="1330"/>
      <c r="H269" s="2348"/>
      <c r="I269" s="2348"/>
      <c r="J269" s="2373"/>
      <c r="K269" s="1327" t="s">
        <v>999</v>
      </c>
      <c r="L269" s="2358" t="s">
        <v>292</v>
      </c>
      <c r="M269" s="2359">
        <v>500</v>
      </c>
      <c r="N269" s="1068" t="s">
        <v>725</v>
      </c>
      <c r="O269" s="1058"/>
      <c r="P269" s="1033"/>
      <c r="Q269" s="932"/>
      <c r="R269" s="932"/>
      <c r="S269" s="932"/>
      <c r="V269" s="2247"/>
      <c r="W269" s="2248"/>
      <c r="X269" s="2248"/>
      <c r="Y269" s="2248"/>
      <c r="Z269" s="2248"/>
      <c r="AA269" s="2248"/>
      <c r="AB269" s="2248"/>
      <c r="AC269" s="2248"/>
      <c r="AD269" s="2248" t="s">
        <v>2090</v>
      </c>
      <c r="AE269" s="2248"/>
      <c r="AF269" s="2248"/>
      <c r="AG269" s="2248"/>
      <c r="AH269" s="2248"/>
      <c r="AI269" s="2248"/>
      <c r="AJ269" s="2248"/>
      <c r="AK269" s="2248"/>
      <c r="AL269" s="2248"/>
      <c r="AM269" s="2248"/>
      <c r="AN269" s="2248"/>
      <c r="AO269" s="2248"/>
      <c r="AP269" s="2248"/>
      <c r="AQ269" s="2248"/>
      <c r="AR269" s="2248"/>
      <c r="AS269" s="2248"/>
      <c r="AT269" s="2248"/>
      <c r="AU269" s="2248"/>
      <c r="AV269" s="2248"/>
      <c r="AW269" s="2248"/>
      <c r="AX269" s="2248"/>
      <c r="AY269" s="2248"/>
      <c r="AZ269" s="2248"/>
      <c r="BA269" s="2248"/>
      <c r="BB269" s="2248"/>
      <c r="BC269" s="2248"/>
      <c r="BD269" s="2248"/>
      <c r="BE269" s="2248"/>
      <c r="BF269" s="2248"/>
      <c r="BG269" s="2248"/>
      <c r="BH269" s="2248"/>
      <c r="BI269" s="2248"/>
      <c r="BJ269" s="2248"/>
      <c r="BK269" s="2248"/>
      <c r="BL269" s="2248"/>
      <c r="BM269" s="2248"/>
      <c r="BN269" s="2248"/>
      <c r="BO269" s="2248"/>
      <c r="BP269" s="2248"/>
      <c r="BQ269" s="2248"/>
      <c r="BR269" s="2248"/>
    </row>
    <row r="270" spans="1:70" s="2249" customFormat="1" ht="18" customHeight="1">
      <c r="A270" s="2355"/>
      <c r="B270" s="2344"/>
      <c r="C270" s="2337"/>
      <c r="D270" s="2337"/>
      <c r="E270" s="2337"/>
      <c r="F270" s="939"/>
      <c r="G270" s="1321" t="s">
        <v>726</v>
      </c>
      <c r="H270" s="2345">
        <f>M270</f>
        <v>132843</v>
      </c>
      <c r="I270" s="2345">
        <v>128043</v>
      </c>
      <c r="J270" s="2346">
        <f>H270-I270</f>
        <v>4800</v>
      </c>
      <c r="K270" s="1329" t="s">
        <v>392</v>
      </c>
      <c r="L270" s="2372"/>
      <c r="M270" s="2719">
        <f>SUM(M271:M279)</f>
        <v>132843</v>
      </c>
      <c r="N270" s="2366"/>
      <c r="O270" s="1058"/>
      <c r="P270" s="1033"/>
      <c r="Q270" s="932"/>
      <c r="R270" s="932"/>
      <c r="S270" s="932"/>
      <c r="V270" s="2247"/>
      <c r="W270" s="2248"/>
      <c r="X270" s="2248"/>
      <c r="Y270" s="2248"/>
      <c r="Z270" s="2248"/>
      <c r="AA270" s="2248"/>
      <c r="AB270" s="2248"/>
      <c r="AC270" s="2248"/>
      <c r="AD270" s="2248"/>
      <c r="AE270" s="2248"/>
      <c r="AF270" s="2248"/>
      <c r="AG270" s="2248"/>
      <c r="AH270" s="2248"/>
      <c r="AI270" s="2248"/>
      <c r="AJ270" s="2248"/>
      <c r="AK270" s="2248"/>
      <c r="AL270" s="2248"/>
      <c r="AM270" s="2248"/>
      <c r="AN270" s="2248"/>
      <c r="AO270" s="2248"/>
      <c r="AP270" s="2248"/>
      <c r="AQ270" s="2248"/>
      <c r="AR270" s="2248"/>
      <c r="AS270" s="2248"/>
      <c r="AT270" s="2248"/>
      <c r="AU270" s="2248"/>
      <c r="AV270" s="2248"/>
      <c r="AW270" s="2248"/>
      <c r="AX270" s="2248"/>
      <c r="AY270" s="2248"/>
      <c r="AZ270" s="2248"/>
      <c r="BA270" s="2248"/>
      <c r="BB270" s="2248"/>
      <c r="BC270" s="2248"/>
      <c r="BD270" s="2248"/>
      <c r="BE270" s="2248"/>
      <c r="BF270" s="2248"/>
      <c r="BG270" s="2248"/>
      <c r="BH270" s="2248"/>
      <c r="BI270" s="2248"/>
      <c r="BJ270" s="2248"/>
      <c r="BK270" s="2248"/>
      <c r="BL270" s="2248"/>
      <c r="BM270" s="2248"/>
      <c r="BN270" s="2248"/>
      <c r="BO270" s="2248"/>
      <c r="BP270" s="2248"/>
      <c r="BQ270" s="2248"/>
      <c r="BR270" s="2248"/>
    </row>
    <row r="271" spans="1:70" s="2249" customFormat="1" ht="18" customHeight="1">
      <c r="A271" s="2355"/>
      <c r="B271" s="2344"/>
      <c r="C271" s="2337"/>
      <c r="D271" s="2337"/>
      <c r="E271" s="2337"/>
      <c r="F271" s="1064"/>
      <c r="G271" s="1331"/>
      <c r="H271" s="2356"/>
      <c r="I271" s="2348"/>
      <c r="J271" s="2375"/>
      <c r="K271" s="1327" t="s">
        <v>727</v>
      </c>
      <c r="L271" s="2358" t="s">
        <v>292</v>
      </c>
      <c r="M271" s="2376">
        <v>1063</v>
      </c>
      <c r="N271" s="1068" t="s">
        <v>728</v>
      </c>
      <c r="O271" s="1058"/>
      <c r="P271" s="1033"/>
      <c r="Q271" s="932"/>
      <c r="R271" s="932"/>
      <c r="S271" s="932"/>
      <c r="V271" s="2247"/>
      <c r="W271" s="2248"/>
      <c r="X271" s="2248"/>
      <c r="Y271" s="2248"/>
      <c r="Z271" s="2248"/>
      <c r="AA271" s="2248"/>
      <c r="AB271" s="2248"/>
      <c r="AC271" s="2248"/>
      <c r="AD271" s="2377" t="s">
        <v>668</v>
      </c>
      <c r="AE271" s="2245"/>
      <c r="AF271" s="2248"/>
      <c r="AG271" s="2248"/>
      <c r="AH271" s="2248"/>
      <c r="AI271" s="2248"/>
      <c r="AJ271" s="2248"/>
      <c r="AK271" s="2248"/>
      <c r="AL271" s="2248"/>
      <c r="AM271" s="2248"/>
      <c r="AN271" s="2248"/>
      <c r="AO271" s="2248"/>
      <c r="AP271" s="2248"/>
      <c r="AQ271" s="2248"/>
      <c r="AR271" s="2248"/>
      <c r="AS271" s="2248"/>
      <c r="AT271" s="2248"/>
      <c r="AU271" s="2248"/>
      <c r="AV271" s="2248"/>
      <c r="AW271" s="2248"/>
      <c r="AX271" s="2248"/>
      <c r="AY271" s="2248"/>
      <c r="AZ271" s="2248"/>
      <c r="BA271" s="2248"/>
      <c r="BB271" s="2248"/>
      <c r="BC271" s="2248"/>
      <c r="BD271" s="2248"/>
      <c r="BE271" s="2248"/>
      <c r="BF271" s="2248"/>
      <c r="BG271" s="2248"/>
      <c r="BH271" s="2248"/>
      <c r="BI271" s="2248"/>
      <c r="BJ271" s="2248"/>
      <c r="BK271" s="2248"/>
      <c r="BL271" s="2248"/>
      <c r="BM271" s="2248"/>
      <c r="BN271" s="2248"/>
      <c r="BO271" s="2248"/>
      <c r="BP271" s="2248"/>
      <c r="BQ271" s="2248"/>
      <c r="BR271" s="2248"/>
    </row>
    <row r="272" spans="1:70" s="2249" customFormat="1" ht="18" customHeight="1">
      <c r="A272" s="2355"/>
      <c r="B272" s="2344"/>
      <c r="C272" s="2337"/>
      <c r="D272" s="2337"/>
      <c r="E272" s="2337"/>
      <c r="F272" s="1331"/>
      <c r="G272" s="1331"/>
      <c r="H272" s="2348"/>
      <c r="I272" s="2348"/>
      <c r="J272" s="2373"/>
      <c r="K272" s="1060" t="s">
        <v>729</v>
      </c>
      <c r="L272" s="2352" t="s">
        <v>6</v>
      </c>
      <c r="M272" s="2362">
        <f>200*12</f>
        <v>2400</v>
      </c>
      <c r="N272" s="1068" t="s">
        <v>393</v>
      </c>
      <c r="O272" s="1058"/>
      <c r="P272" s="1033"/>
      <c r="Q272" s="932"/>
      <c r="R272" s="932"/>
      <c r="S272" s="932"/>
      <c r="V272" s="2247"/>
      <c r="W272" s="2248"/>
      <c r="X272" s="2248"/>
      <c r="Y272" s="2248"/>
      <c r="Z272" s="2248"/>
      <c r="AA272" s="2248"/>
      <c r="AB272" s="2248"/>
      <c r="AC272" s="2248"/>
      <c r="AD272" s="2378" t="s">
        <v>2030</v>
      </c>
      <c r="AE272" s="2245"/>
      <c r="AF272" s="2248"/>
      <c r="AG272" s="2248"/>
      <c r="AH272" s="2248"/>
      <c r="AI272" s="2248"/>
      <c r="AJ272" s="2248"/>
      <c r="AK272" s="2248"/>
      <c r="AL272" s="2248"/>
      <c r="AM272" s="2248"/>
      <c r="AN272" s="2248"/>
      <c r="AO272" s="2248"/>
      <c r="AP272" s="2248"/>
      <c r="AQ272" s="2248"/>
      <c r="AR272" s="2248"/>
      <c r="AS272" s="2248"/>
      <c r="AT272" s="2248"/>
      <c r="AU272" s="2248"/>
      <c r="AV272" s="2248"/>
      <c r="AW272" s="2248"/>
      <c r="AX272" s="2248"/>
      <c r="AY272" s="2248"/>
      <c r="AZ272" s="2248"/>
      <c r="BA272" s="2248"/>
      <c r="BB272" s="2248"/>
      <c r="BC272" s="2248"/>
      <c r="BD272" s="2248"/>
      <c r="BE272" s="2248"/>
      <c r="BF272" s="2248"/>
      <c r="BG272" s="2248"/>
      <c r="BH272" s="2248"/>
      <c r="BI272" s="2248"/>
      <c r="BJ272" s="2248"/>
      <c r="BK272" s="2248"/>
      <c r="BL272" s="2248"/>
      <c r="BM272" s="2248"/>
      <c r="BN272" s="2248"/>
      <c r="BO272" s="2248"/>
      <c r="BP272" s="2248"/>
      <c r="BQ272" s="2248"/>
      <c r="BR272" s="2248"/>
    </row>
    <row r="273" spans="1:70" s="2249" customFormat="1" ht="18" customHeight="1">
      <c r="A273" s="2355"/>
      <c r="B273" s="2344"/>
      <c r="C273" s="2337"/>
      <c r="D273" s="2337"/>
      <c r="E273" s="2337"/>
      <c r="F273" s="1330"/>
      <c r="G273" s="1330"/>
      <c r="H273" s="2348"/>
      <c r="I273" s="2348"/>
      <c r="J273" s="2373"/>
      <c r="K273" s="1060" t="s">
        <v>2402</v>
      </c>
      <c r="L273" s="2352" t="s">
        <v>6</v>
      </c>
      <c r="M273" s="2362">
        <v>33600</v>
      </c>
      <c r="N273" s="1067" t="s">
        <v>394</v>
      </c>
      <c r="O273" s="1058"/>
      <c r="P273" s="1033"/>
      <c r="Q273" s="932"/>
      <c r="R273" s="932"/>
      <c r="S273" s="932"/>
      <c r="V273" s="2247"/>
      <c r="W273" s="2248"/>
      <c r="X273" s="2248"/>
      <c r="Y273" s="2248"/>
      <c r="Z273" s="2248"/>
      <c r="AA273" s="2248"/>
      <c r="AB273" s="2248"/>
      <c r="AC273" s="2248"/>
      <c r="AD273" s="2248" t="s">
        <v>2091</v>
      </c>
      <c r="AE273" s="2248"/>
      <c r="AF273" s="2248"/>
      <c r="AG273" s="2248"/>
      <c r="AH273" s="2248"/>
      <c r="AI273" s="2248"/>
      <c r="AJ273" s="2248"/>
      <c r="AK273" s="2248"/>
      <c r="AL273" s="2248"/>
      <c r="AM273" s="2248"/>
      <c r="AN273" s="2248"/>
      <c r="AO273" s="2248"/>
      <c r="AP273" s="2248"/>
      <c r="AQ273" s="2248"/>
      <c r="AR273" s="2248"/>
      <c r="AS273" s="2248"/>
      <c r="AT273" s="2248"/>
      <c r="AU273" s="2248"/>
      <c r="AV273" s="2248"/>
      <c r="AW273" s="2248"/>
      <c r="AX273" s="2248"/>
      <c r="AY273" s="2248"/>
      <c r="AZ273" s="2248"/>
      <c r="BA273" s="2248"/>
      <c r="BB273" s="2248"/>
      <c r="BC273" s="2248"/>
      <c r="BD273" s="2248"/>
      <c r="BE273" s="2248"/>
      <c r="BF273" s="2248"/>
      <c r="BG273" s="2248"/>
      <c r="BH273" s="2248"/>
      <c r="BI273" s="2248"/>
      <c r="BJ273" s="2248"/>
      <c r="BK273" s="2248"/>
      <c r="BL273" s="2248"/>
      <c r="BM273" s="2248"/>
      <c r="BN273" s="2248"/>
      <c r="BO273" s="2248"/>
      <c r="BP273" s="2248"/>
      <c r="BQ273" s="2248"/>
      <c r="BR273" s="2248"/>
    </row>
    <row r="274" spans="1:70" s="2249" customFormat="1" ht="18" customHeight="1">
      <c r="A274" s="2355"/>
      <c r="B274" s="2344"/>
      <c r="C274" s="2337"/>
      <c r="D274" s="2337"/>
      <c r="E274" s="2337"/>
      <c r="F274" s="1330"/>
      <c r="G274" s="1330"/>
      <c r="H274" s="2348"/>
      <c r="I274" s="2348"/>
      <c r="J274" s="2373"/>
      <c r="K274" s="1060" t="s">
        <v>1000</v>
      </c>
      <c r="L274" s="2352" t="s">
        <v>6</v>
      </c>
      <c r="M274" s="2362">
        <v>31200</v>
      </c>
      <c r="N274" s="1067" t="s">
        <v>395</v>
      </c>
      <c r="O274" s="1058"/>
      <c r="P274" s="1033"/>
      <c r="Q274" s="932"/>
      <c r="R274" s="932"/>
      <c r="S274" s="932"/>
      <c r="V274" s="2247"/>
      <c r="W274" s="2248"/>
      <c r="X274" s="2248"/>
      <c r="Y274" s="2248"/>
      <c r="Z274" s="2248"/>
      <c r="AA274" s="2248"/>
      <c r="AB274" s="2248"/>
      <c r="AC274" s="2248"/>
      <c r="AD274" s="2248" t="s">
        <v>2091</v>
      </c>
      <c r="AE274" s="2248"/>
      <c r="AF274" s="2248"/>
      <c r="AG274" s="2248"/>
      <c r="AH274" s="2248"/>
      <c r="AI274" s="2248"/>
      <c r="AJ274" s="2248"/>
      <c r="AK274" s="2248"/>
      <c r="AL274" s="2248"/>
      <c r="AM274" s="2248"/>
      <c r="AN274" s="2248"/>
      <c r="AO274" s="2248"/>
      <c r="AP274" s="2248"/>
      <c r="AQ274" s="2248"/>
      <c r="AR274" s="2248"/>
      <c r="AS274" s="2248"/>
      <c r="AT274" s="2248"/>
      <c r="AU274" s="2248"/>
      <c r="AV274" s="2248"/>
      <c r="AW274" s="2248"/>
      <c r="AX274" s="2248"/>
      <c r="AY274" s="2248"/>
      <c r="AZ274" s="2248"/>
      <c r="BA274" s="2248"/>
      <c r="BB274" s="2248"/>
      <c r="BC274" s="2248"/>
      <c r="BD274" s="2248"/>
      <c r="BE274" s="2248"/>
      <c r="BF274" s="2248"/>
      <c r="BG274" s="2248"/>
      <c r="BH274" s="2248"/>
      <c r="BI274" s="2248"/>
      <c r="BJ274" s="2248"/>
      <c r="BK274" s="2248"/>
      <c r="BL274" s="2248"/>
      <c r="BM274" s="2248"/>
      <c r="BN274" s="2248"/>
      <c r="BO274" s="2248"/>
      <c r="BP274" s="2248"/>
      <c r="BQ274" s="2248"/>
      <c r="BR274" s="2248"/>
    </row>
    <row r="275" spans="1:70" s="2249" customFormat="1" ht="18" customHeight="1">
      <c r="A275" s="2355"/>
      <c r="B275" s="2344"/>
      <c r="C275" s="2337"/>
      <c r="D275" s="2337"/>
      <c r="E275" s="2337"/>
      <c r="F275" s="1330"/>
      <c r="G275" s="1330"/>
      <c r="H275" s="2348"/>
      <c r="I275" s="2348"/>
      <c r="J275" s="2373"/>
      <c r="K275" s="1060" t="s">
        <v>2403</v>
      </c>
      <c r="L275" s="2352" t="s">
        <v>6</v>
      </c>
      <c r="M275" s="2362">
        <v>63600</v>
      </c>
      <c r="N275" s="1067" t="s">
        <v>730</v>
      </c>
      <c r="O275" s="1058"/>
      <c r="P275" s="1033"/>
      <c r="Q275" s="932"/>
      <c r="R275" s="932"/>
      <c r="S275" s="932"/>
      <c r="V275" s="2247"/>
      <c r="W275" s="2248"/>
      <c r="X275" s="2248"/>
      <c r="Y275" s="2248"/>
      <c r="Z275" s="2248"/>
      <c r="AA275" s="2248"/>
      <c r="AB275" s="2248"/>
      <c r="AC275" s="2248"/>
      <c r="AD275" s="2248" t="s">
        <v>2091</v>
      </c>
      <c r="AE275" s="2248"/>
      <c r="AF275" s="2248"/>
      <c r="AG275" s="2248"/>
      <c r="AH275" s="2248"/>
      <c r="AI275" s="2248"/>
      <c r="AJ275" s="2248"/>
      <c r="AK275" s="2248"/>
      <c r="AL275" s="2248"/>
      <c r="AM275" s="2248"/>
      <c r="AN275" s="2248"/>
      <c r="AO275" s="2248"/>
      <c r="AP275" s="2248"/>
      <c r="AQ275" s="2248"/>
      <c r="AR275" s="2248"/>
      <c r="AS275" s="2248"/>
      <c r="AT275" s="2248"/>
      <c r="AU275" s="2248"/>
      <c r="AV275" s="2248"/>
      <c r="AW275" s="2248"/>
      <c r="AX275" s="2248"/>
      <c r="AY275" s="2248"/>
      <c r="AZ275" s="2248"/>
      <c r="BA275" s="2248"/>
      <c r="BB275" s="2248"/>
      <c r="BC275" s="2248"/>
      <c r="BD275" s="2248"/>
      <c r="BE275" s="2248"/>
      <c r="BF275" s="2248"/>
      <c r="BG275" s="2248"/>
      <c r="BH275" s="2248"/>
      <c r="BI275" s="2248"/>
      <c r="BJ275" s="2248"/>
      <c r="BK275" s="2248"/>
      <c r="BL275" s="2248"/>
      <c r="BM275" s="2248"/>
      <c r="BN275" s="2248"/>
      <c r="BO275" s="2248"/>
      <c r="BP275" s="2248"/>
      <c r="BQ275" s="2248"/>
      <c r="BR275" s="2248"/>
    </row>
    <row r="276" spans="1:70" s="2249" customFormat="1" ht="18" customHeight="1">
      <c r="A276" s="2355"/>
      <c r="B276" s="2344"/>
      <c r="C276" s="2337"/>
      <c r="D276" s="2337"/>
      <c r="E276" s="2337"/>
      <c r="F276" s="1330"/>
      <c r="G276" s="1330"/>
      <c r="H276" s="2348"/>
      <c r="I276" s="2348"/>
      <c r="J276" s="2373"/>
      <c r="K276" s="1060" t="s">
        <v>731</v>
      </c>
      <c r="L276" s="2352" t="s">
        <v>6</v>
      </c>
      <c r="M276" s="2362">
        <v>400</v>
      </c>
      <c r="N276" s="1068" t="s">
        <v>866</v>
      </c>
      <c r="O276" s="1058"/>
      <c r="P276" s="1033"/>
      <c r="Q276" s="932"/>
      <c r="R276" s="932"/>
      <c r="S276" s="932"/>
      <c r="V276" s="2247"/>
      <c r="W276" s="2248"/>
      <c r="X276" s="2248"/>
      <c r="Y276" s="2248"/>
      <c r="Z276" s="2248"/>
      <c r="AA276" s="2248"/>
      <c r="AB276" s="2248"/>
      <c r="AC276" s="2248"/>
      <c r="AD276" s="2248" t="s">
        <v>2092</v>
      </c>
      <c r="AE276" s="2248"/>
      <c r="AF276" s="2248"/>
      <c r="AG276" s="2248"/>
      <c r="AH276" s="2248"/>
      <c r="AI276" s="2248"/>
      <c r="AJ276" s="2248"/>
      <c r="AK276" s="2248"/>
      <c r="AL276" s="2248"/>
      <c r="AM276" s="2248"/>
      <c r="AN276" s="2248"/>
      <c r="AO276" s="2248"/>
      <c r="AP276" s="2248"/>
      <c r="AQ276" s="2248"/>
      <c r="AR276" s="2248"/>
      <c r="AS276" s="2248"/>
      <c r="AT276" s="2248"/>
      <c r="AU276" s="2248"/>
      <c r="AV276" s="2248"/>
      <c r="AW276" s="2248"/>
      <c r="AX276" s="2248"/>
      <c r="AY276" s="2248"/>
      <c r="AZ276" s="2248"/>
      <c r="BA276" s="2248"/>
      <c r="BB276" s="2248"/>
      <c r="BC276" s="2248"/>
      <c r="BD276" s="2248"/>
      <c r="BE276" s="2248"/>
      <c r="BF276" s="2248"/>
      <c r="BG276" s="2248"/>
      <c r="BH276" s="2248"/>
      <c r="BI276" s="2248"/>
      <c r="BJ276" s="2248"/>
      <c r="BK276" s="2248"/>
      <c r="BL276" s="2248"/>
      <c r="BM276" s="2248"/>
      <c r="BN276" s="2248"/>
      <c r="BO276" s="2248"/>
      <c r="BP276" s="2248"/>
      <c r="BQ276" s="2248"/>
      <c r="BR276" s="2248"/>
    </row>
    <row r="277" spans="1:70" s="2249" customFormat="1" ht="18" customHeight="1">
      <c r="A277" s="2355"/>
      <c r="B277" s="2344"/>
      <c r="C277" s="2337"/>
      <c r="D277" s="2337"/>
      <c r="E277" s="2337"/>
      <c r="F277" s="1330"/>
      <c r="G277" s="1330"/>
      <c r="H277" s="2348"/>
      <c r="I277" s="2348"/>
      <c r="J277" s="2373"/>
      <c r="K277" s="1060" t="s">
        <v>732</v>
      </c>
      <c r="L277" s="2352" t="s">
        <v>6</v>
      </c>
      <c r="M277" s="2362">
        <f>80*6</f>
        <v>480</v>
      </c>
      <c r="N277" s="1068" t="s">
        <v>396</v>
      </c>
      <c r="O277" s="1058"/>
      <c r="P277" s="1033"/>
      <c r="Q277" s="932"/>
      <c r="R277" s="932"/>
      <c r="S277" s="932"/>
      <c r="V277" s="2247"/>
      <c r="W277" s="2248"/>
      <c r="X277" s="2248"/>
      <c r="Y277" s="2248"/>
      <c r="Z277" s="2248"/>
      <c r="AA277" s="2248"/>
      <c r="AB277" s="2248"/>
      <c r="AC277" s="2248"/>
      <c r="AD277" s="2248" t="s">
        <v>2093</v>
      </c>
      <c r="AE277" s="2248"/>
      <c r="AF277" s="2248"/>
      <c r="AG277" s="2248"/>
      <c r="AH277" s="2248"/>
      <c r="AI277" s="2248"/>
      <c r="AJ277" s="2248"/>
      <c r="AK277" s="2248"/>
      <c r="AL277" s="2248"/>
      <c r="AM277" s="2248"/>
      <c r="AN277" s="2248"/>
      <c r="AO277" s="2248"/>
      <c r="AP277" s="2248"/>
      <c r="AQ277" s="2248"/>
      <c r="AR277" s="2248"/>
      <c r="AS277" s="2248"/>
      <c r="AT277" s="2248"/>
      <c r="AU277" s="2248"/>
      <c r="AV277" s="2248"/>
      <c r="AW277" s="2248"/>
      <c r="AX277" s="2248"/>
      <c r="AY277" s="2248"/>
      <c r="AZ277" s="2248"/>
      <c r="BA277" s="2248"/>
      <c r="BB277" s="2248"/>
      <c r="BC277" s="2248"/>
      <c r="BD277" s="2248"/>
      <c r="BE277" s="2248"/>
      <c r="BF277" s="2248"/>
      <c r="BG277" s="2248"/>
      <c r="BH277" s="2248"/>
      <c r="BI277" s="2248"/>
      <c r="BJ277" s="2248"/>
      <c r="BK277" s="2248"/>
      <c r="BL277" s="2248"/>
      <c r="BM277" s="2248"/>
      <c r="BN277" s="2248"/>
      <c r="BO277" s="2248"/>
      <c r="BP277" s="2248"/>
      <c r="BQ277" s="2248"/>
      <c r="BR277" s="2248"/>
    </row>
    <row r="278" spans="1:70" s="2249" customFormat="1" ht="18" customHeight="1">
      <c r="A278" s="2355"/>
      <c r="B278" s="2344"/>
      <c r="C278" s="2337"/>
      <c r="D278" s="2337"/>
      <c r="E278" s="2337"/>
      <c r="F278" s="1331"/>
      <c r="G278" s="1331"/>
      <c r="H278" s="2348"/>
      <c r="I278" s="2348"/>
      <c r="J278" s="2373"/>
      <c r="K278" s="1060" t="s">
        <v>2094</v>
      </c>
      <c r="L278" s="2352" t="s">
        <v>6</v>
      </c>
      <c r="M278" s="2362">
        <v>50</v>
      </c>
      <c r="N278" s="1068" t="s">
        <v>867</v>
      </c>
      <c r="O278" s="1058"/>
      <c r="P278" s="1033"/>
      <c r="Q278" s="932"/>
      <c r="R278" s="932"/>
      <c r="S278" s="932"/>
      <c r="V278" s="2247"/>
      <c r="W278" s="2248"/>
      <c r="X278" s="2248"/>
      <c r="Y278" s="2248"/>
      <c r="Z278" s="2248"/>
      <c r="AA278" s="2248"/>
      <c r="AB278" s="2248"/>
      <c r="AC278" s="2248"/>
      <c r="AD278" s="2248" t="s">
        <v>2095</v>
      </c>
      <c r="AE278" s="2248"/>
      <c r="AF278" s="2248"/>
      <c r="AG278" s="2248"/>
      <c r="AH278" s="2248"/>
      <c r="AI278" s="2248"/>
      <c r="AJ278" s="2248"/>
      <c r="AK278" s="2248"/>
      <c r="AL278" s="2248"/>
      <c r="AM278" s="2248"/>
      <c r="AN278" s="2248"/>
      <c r="AO278" s="2248"/>
      <c r="AP278" s="2248"/>
      <c r="AQ278" s="2248"/>
      <c r="AR278" s="2248"/>
      <c r="AS278" s="2248"/>
      <c r="AT278" s="2248"/>
      <c r="AU278" s="2248"/>
      <c r="AV278" s="2248"/>
      <c r="AW278" s="2248"/>
      <c r="AX278" s="2248"/>
      <c r="AY278" s="2248"/>
      <c r="AZ278" s="2248"/>
      <c r="BA278" s="2248"/>
      <c r="BB278" s="2248"/>
      <c r="BC278" s="2248"/>
      <c r="BD278" s="2248"/>
      <c r="BE278" s="2248"/>
      <c r="BF278" s="2248"/>
      <c r="BG278" s="2248"/>
      <c r="BH278" s="2248"/>
      <c r="BI278" s="2248"/>
      <c r="BJ278" s="2248"/>
      <c r="BK278" s="2248"/>
      <c r="BL278" s="2248"/>
      <c r="BM278" s="2248"/>
      <c r="BN278" s="2248"/>
      <c r="BO278" s="2248"/>
      <c r="BP278" s="2248"/>
      <c r="BQ278" s="2248"/>
      <c r="BR278" s="2248"/>
    </row>
    <row r="279" spans="1:70" s="2249" customFormat="1" ht="18" customHeight="1" thickBot="1">
      <c r="A279" s="2355"/>
      <c r="B279" s="2344"/>
      <c r="C279" s="2337"/>
      <c r="D279" s="2337"/>
      <c r="E279" s="2337"/>
      <c r="F279" s="1332"/>
      <c r="G279" s="1332"/>
      <c r="H279" s="2379"/>
      <c r="I279" s="2379"/>
      <c r="J279" s="2380"/>
      <c r="K279" s="1333" t="s">
        <v>2096</v>
      </c>
      <c r="L279" s="2381" t="s">
        <v>6</v>
      </c>
      <c r="M279" s="2382">
        <v>50</v>
      </c>
      <c r="N279" s="1070" t="s">
        <v>733</v>
      </c>
      <c r="O279" s="1058"/>
      <c r="P279" s="1033"/>
      <c r="Q279" s="932"/>
      <c r="R279" s="932"/>
      <c r="S279" s="932"/>
      <c r="V279" s="2247"/>
      <c r="W279" s="2248"/>
      <c r="X279" s="2248"/>
      <c r="Y279" s="2248"/>
      <c r="Z279" s="2248"/>
      <c r="AA279" s="2248"/>
      <c r="AB279" s="2248"/>
      <c r="AC279" s="2248"/>
      <c r="AD279" s="2248" t="s">
        <v>2097</v>
      </c>
      <c r="AE279" s="2248"/>
      <c r="AF279" s="2248"/>
      <c r="AG279" s="2248"/>
      <c r="AH279" s="2248"/>
      <c r="AI279" s="2248"/>
      <c r="AJ279" s="2248"/>
      <c r="AK279" s="2248"/>
      <c r="AL279" s="2248"/>
      <c r="AM279" s="2248"/>
      <c r="AN279" s="2248"/>
      <c r="AO279" s="2248"/>
      <c r="AP279" s="2248"/>
      <c r="AQ279" s="2248"/>
      <c r="AR279" s="2248"/>
      <c r="AS279" s="2248"/>
      <c r="AT279" s="2248"/>
      <c r="AU279" s="2248"/>
      <c r="AV279" s="2248"/>
      <c r="AW279" s="2248"/>
      <c r="AX279" s="2248"/>
      <c r="AY279" s="2248"/>
      <c r="AZ279" s="2248"/>
      <c r="BA279" s="2248"/>
      <c r="BB279" s="2248"/>
      <c r="BC279" s="2248"/>
      <c r="BD279" s="2248"/>
      <c r="BE279" s="2248"/>
      <c r="BF279" s="2248"/>
      <c r="BG279" s="2248"/>
      <c r="BH279" s="2248"/>
      <c r="BI279" s="2248"/>
      <c r="BJ279" s="2248"/>
      <c r="BK279" s="2248"/>
      <c r="BL279" s="2248"/>
      <c r="BM279" s="2248"/>
      <c r="BN279" s="2248"/>
      <c r="BO279" s="2248"/>
      <c r="BP279" s="2248"/>
      <c r="BQ279" s="2248"/>
      <c r="BR279" s="2248"/>
    </row>
    <row r="280" spans="1:70" s="2" customFormat="1" ht="18" customHeight="1">
      <c r="A280" s="64"/>
      <c r="B280" s="22"/>
      <c r="C280" s="22"/>
      <c r="D280" s="1026" t="s">
        <v>868</v>
      </c>
      <c r="E280" s="1027"/>
      <c r="F280" s="1027"/>
      <c r="G280" s="1028"/>
      <c r="H280" s="825">
        <f>H281</f>
        <v>34244</v>
      </c>
      <c r="I280" s="825">
        <f>I281</f>
        <v>37096</v>
      </c>
      <c r="J280" s="826">
        <f>H280-I280</f>
        <v>-2852</v>
      </c>
      <c r="K280" s="1055"/>
      <c r="L280" s="1056"/>
      <c r="M280" s="1057"/>
      <c r="N280" s="1022"/>
      <c r="O280" s="3"/>
      <c r="P280" s="68"/>
      <c r="Q280" s="1023"/>
      <c r="R280" s="1023"/>
      <c r="S280" s="1023"/>
      <c r="T280" s="1024"/>
      <c r="U280" s="1025"/>
    </row>
    <row r="281" spans="1:70" s="2" customFormat="1" ht="18" customHeight="1">
      <c r="A281" s="64"/>
      <c r="B281" s="22"/>
      <c r="C281" s="832"/>
      <c r="D281" s="1032"/>
      <c r="E281" s="1026" t="s">
        <v>855</v>
      </c>
      <c r="F281" s="1027"/>
      <c r="G281" s="1028"/>
      <c r="H281" s="825">
        <f>H282+H286</f>
        <v>34244</v>
      </c>
      <c r="I281" s="825">
        <f>I282+I286</f>
        <v>37096</v>
      </c>
      <c r="J281" s="826">
        <f>H281-I281</f>
        <v>-2852</v>
      </c>
      <c r="K281" s="728"/>
      <c r="L281" s="827"/>
      <c r="M281" s="694">
        <f>M441+M594+M600+M603+M658</f>
        <v>0</v>
      </c>
      <c r="N281" s="1022"/>
      <c r="O281" s="3"/>
      <c r="P281" s="68"/>
      <c r="Q281" s="1023"/>
      <c r="R281" s="1023"/>
      <c r="S281" s="1023"/>
      <c r="T281" s="76"/>
      <c r="U281" s="1025"/>
    </row>
    <row r="282" spans="1:70" s="2249" customFormat="1" ht="18" customHeight="1">
      <c r="A282" s="2355"/>
      <c r="B282" s="2344"/>
      <c r="C282" s="2337"/>
      <c r="D282" s="2337"/>
      <c r="E282" s="2337"/>
      <c r="F282" s="3020" t="s">
        <v>734</v>
      </c>
      <c r="G282" s="3020"/>
      <c r="H282" s="2340">
        <f>M282</f>
        <v>395</v>
      </c>
      <c r="I282" s="2340">
        <f>I283</f>
        <v>747</v>
      </c>
      <c r="J282" s="2383">
        <f>H282-I282</f>
        <v>-352</v>
      </c>
      <c r="K282" s="1652" t="s">
        <v>734</v>
      </c>
      <c r="L282" s="2384"/>
      <c r="M282" s="2385">
        <f>M283</f>
        <v>395</v>
      </c>
      <c r="N282" s="1071"/>
      <c r="O282" s="1058"/>
      <c r="P282" s="1033"/>
      <c r="Q282" s="932"/>
      <c r="R282" s="932"/>
      <c r="S282" s="932"/>
      <c r="V282" s="2247"/>
      <c r="W282" s="2248"/>
      <c r="X282" s="2248"/>
      <c r="Y282" s="2248"/>
      <c r="Z282" s="2248"/>
      <c r="AA282" s="2248"/>
      <c r="AB282" s="2248"/>
      <c r="AC282" s="2248"/>
      <c r="AD282" s="2248"/>
      <c r="AE282" s="2248"/>
      <c r="AF282" s="2248"/>
      <c r="AG282" s="2248"/>
      <c r="AH282" s="2248"/>
      <c r="AI282" s="2248"/>
      <c r="AJ282" s="2248"/>
      <c r="AK282" s="2248"/>
      <c r="AL282" s="2248"/>
      <c r="AM282" s="2248"/>
      <c r="AN282" s="2248"/>
      <c r="AO282" s="2248"/>
      <c r="AP282" s="2248"/>
      <c r="AQ282" s="2248"/>
      <c r="AR282" s="2248"/>
      <c r="AS282" s="2248"/>
      <c r="AT282" s="2248"/>
      <c r="AU282" s="2248"/>
      <c r="AV282" s="2248"/>
      <c r="AW282" s="2248"/>
      <c r="AX282" s="2248"/>
      <c r="AY282" s="2248"/>
      <c r="AZ282" s="2248"/>
      <c r="BA282" s="2248"/>
      <c r="BB282" s="2248"/>
      <c r="BC282" s="2248"/>
      <c r="BD282" s="2248"/>
      <c r="BE282" s="2248"/>
      <c r="BF282" s="2248"/>
      <c r="BG282" s="2248"/>
      <c r="BH282" s="2248"/>
      <c r="BI282" s="2248"/>
      <c r="BJ282" s="2248"/>
      <c r="BK282" s="2248"/>
      <c r="BL282" s="2248"/>
      <c r="BM282" s="2248"/>
      <c r="BN282" s="2248"/>
      <c r="BO282" s="2248"/>
      <c r="BP282" s="2248"/>
      <c r="BQ282" s="2248"/>
      <c r="BR282" s="2248"/>
    </row>
    <row r="283" spans="1:70" s="2249" customFormat="1" ht="18" customHeight="1">
      <c r="A283" s="2355"/>
      <c r="B283" s="2344"/>
      <c r="C283" s="2337"/>
      <c r="D283" s="2337"/>
      <c r="E283" s="2337"/>
      <c r="F283" s="942"/>
      <c r="G283" s="1334" t="s">
        <v>693</v>
      </c>
      <c r="H283" s="2345">
        <f>M283</f>
        <v>395</v>
      </c>
      <c r="I283" s="2386">
        <v>747</v>
      </c>
      <c r="J283" s="2387">
        <f>H283-I283</f>
        <v>-352</v>
      </c>
      <c r="K283" s="2388" t="s">
        <v>694</v>
      </c>
      <c r="L283" s="2372"/>
      <c r="M283" s="2342">
        <f>SUM(M284:M285)</f>
        <v>395</v>
      </c>
      <c r="N283" s="2366"/>
      <c r="O283" s="1058"/>
      <c r="P283" s="1033"/>
      <c r="Q283" s="932"/>
      <c r="R283" s="932"/>
      <c r="S283" s="932"/>
      <c r="V283" s="2247"/>
      <c r="W283" s="2248"/>
      <c r="X283" s="2248"/>
      <c r="Y283" s="2248"/>
      <c r="Z283" s="2248"/>
      <c r="AA283" s="2248"/>
      <c r="AB283" s="2248"/>
      <c r="AC283" s="2248"/>
      <c r="AD283" s="2248"/>
      <c r="AE283" s="2248"/>
      <c r="AF283" s="2248"/>
      <c r="AG283" s="2248"/>
      <c r="AH283" s="2248"/>
      <c r="AI283" s="2248"/>
      <c r="AJ283" s="2248"/>
      <c r="AK283" s="2248"/>
      <c r="AL283" s="2248"/>
      <c r="AM283" s="2248"/>
      <c r="AN283" s="2248"/>
      <c r="AO283" s="2248"/>
      <c r="AP283" s="2248"/>
      <c r="AQ283" s="2248"/>
      <c r="AR283" s="2248"/>
      <c r="AS283" s="2248"/>
      <c r="AT283" s="2248"/>
      <c r="AU283" s="2248"/>
      <c r="AV283" s="2248"/>
      <c r="AW283" s="2248"/>
      <c r="AX283" s="2248"/>
      <c r="AY283" s="2248"/>
      <c r="AZ283" s="2248"/>
      <c r="BA283" s="2248"/>
      <c r="BB283" s="2248"/>
      <c r="BC283" s="2248"/>
      <c r="BD283" s="2248"/>
      <c r="BE283" s="2248"/>
      <c r="BF283" s="2248"/>
      <c r="BG283" s="2248"/>
      <c r="BH283" s="2248"/>
      <c r="BI283" s="2248"/>
      <c r="BJ283" s="2248"/>
      <c r="BK283" s="2248"/>
      <c r="BL283" s="2248"/>
      <c r="BM283" s="2248"/>
      <c r="BN283" s="2248"/>
      <c r="BO283" s="2248"/>
      <c r="BP283" s="2248"/>
      <c r="BQ283" s="2248"/>
      <c r="BR283" s="2248"/>
    </row>
    <row r="284" spans="1:70" s="2249" customFormat="1" ht="18" customHeight="1">
      <c r="A284" s="2355"/>
      <c r="B284" s="2344"/>
      <c r="C284" s="2337"/>
      <c r="D284" s="2337"/>
      <c r="E284" s="2337"/>
      <c r="F284" s="1064"/>
      <c r="G284" s="1072"/>
      <c r="H284" s="2348"/>
      <c r="I284" s="2348"/>
      <c r="J284" s="2357"/>
      <c r="K284" s="1073" t="s">
        <v>735</v>
      </c>
      <c r="L284" s="1074" t="s">
        <v>6</v>
      </c>
      <c r="M284" s="2362">
        <f>60*6</f>
        <v>360</v>
      </c>
      <c r="N284" s="2351" t="s">
        <v>736</v>
      </c>
      <c r="O284" s="1058"/>
      <c r="P284" s="1033"/>
      <c r="Q284" s="932"/>
      <c r="R284" s="932"/>
      <c r="S284" s="932"/>
      <c r="V284" s="2247"/>
      <c r="W284" s="2248"/>
      <c r="X284" s="2248"/>
      <c r="Y284" s="2248"/>
      <c r="Z284" s="2248"/>
      <c r="AA284" s="2248"/>
      <c r="AB284" s="2248"/>
      <c r="AC284" s="2248"/>
      <c r="AD284" s="2248" t="s">
        <v>2098</v>
      </c>
      <c r="AE284" s="2248"/>
      <c r="AF284" s="2248"/>
      <c r="AG284" s="2248"/>
      <c r="AH284" s="2248"/>
      <c r="AI284" s="2248"/>
      <c r="AJ284" s="2248"/>
      <c r="AK284" s="2248"/>
      <c r="AL284" s="2248"/>
      <c r="AM284" s="2248"/>
      <c r="AN284" s="2248"/>
      <c r="AO284" s="2248"/>
      <c r="AP284" s="2248"/>
      <c r="AQ284" s="2248"/>
      <c r="AR284" s="2248"/>
      <c r="AS284" s="2248"/>
      <c r="AT284" s="2248"/>
      <c r="AU284" s="2248"/>
      <c r="AV284" s="2248"/>
      <c r="AW284" s="2248"/>
      <c r="AX284" s="2248"/>
      <c r="AY284" s="2248"/>
      <c r="AZ284" s="2248"/>
      <c r="BA284" s="2248"/>
      <c r="BB284" s="2248"/>
      <c r="BC284" s="2248"/>
      <c r="BD284" s="2248"/>
      <c r="BE284" s="2248"/>
      <c r="BF284" s="2248"/>
      <c r="BG284" s="2248"/>
      <c r="BH284" s="2248"/>
      <c r="BI284" s="2248"/>
      <c r="BJ284" s="2248"/>
      <c r="BK284" s="2248"/>
      <c r="BL284" s="2248"/>
      <c r="BM284" s="2248"/>
      <c r="BN284" s="2248"/>
      <c r="BO284" s="2248"/>
      <c r="BP284" s="2248"/>
      <c r="BQ284" s="2248"/>
      <c r="BR284" s="2248"/>
    </row>
    <row r="285" spans="1:70" s="2249" customFormat="1" ht="18" customHeight="1" thickBot="1">
      <c r="A285" s="2355"/>
      <c r="B285" s="2344"/>
      <c r="C285" s="2337"/>
      <c r="D285" s="2337"/>
      <c r="E285" s="2337"/>
      <c r="F285" s="1075"/>
      <c r="G285" s="1076"/>
      <c r="H285" s="2379"/>
      <c r="I285" s="2379"/>
      <c r="J285" s="2389"/>
      <c r="K285" s="1077" t="s">
        <v>2099</v>
      </c>
      <c r="L285" s="1041" t="s">
        <v>6</v>
      </c>
      <c r="M285" s="2390">
        <v>35</v>
      </c>
      <c r="N285" s="2391" t="s">
        <v>737</v>
      </c>
      <c r="O285" s="1058"/>
      <c r="P285" s="1033"/>
      <c r="Q285" s="932"/>
      <c r="R285" s="932"/>
      <c r="S285" s="932"/>
      <c r="V285" s="2247"/>
      <c r="W285" s="2248"/>
      <c r="X285" s="2248"/>
      <c r="Y285" s="2248"/>
      <c r="Z285" s="2248"/>
      <c r="AA285" s="2248"/>
      <c r="AB285" s="2248"/>
      <c r="AC285" s="2248"/>
      <c r="AD285" s="2248" t="s">
        <v>2033</v>
      </c>
      <c r="AE285" s="2248"/>
      <c r="AF285" s="2248"/>
      <c r="AG285" s="2248"/>
      <c r="AH285" s="2248"/>
      <c r="AI285" s="2248"/>
      <c r="AJ285" s="2248"/>
      <c r="AK285" s="2248"/>
      <c r="AL285" s="2248"/>
      <c r="AM285" s="2248"/>
      <c r="AN285" s="2248"/>
      <c r="AO285" s="2248"/>
      <c r="AP285" s="2248"/>
      <c r="AQ285" s="2248"/>
      <c r="AR285" s="2248"/>
      <c r="AS285" s="2248"/>
      <c r="AT285" s="2248"/>
      <c r="AU285" s="2248"/>
      <c r="AV285" s="2248"/>
      <c r="AW285" s="2248"/>
      <c r="AX285" s="2248"/>
      <c r="AY285" s="2248"/>
      <c r="AZ285" s="2248"/>
      <c r="BA285" s="2248"/>
      <c r="BB285" s="2248"/>
      <c r="BC285" s="2248"/>
      <c r="BD285" s="2248"/>
      <c r="BE285" s="2248"/>
      <c r="BF285" s="2248"/>
      <c r="BG285" s="2248"/>
      <c r="BH285" s="2248"/>
      <c r="BI285" s="2248"/>
      <c r="BJ285" s="2248"/>
      <c r="BK285" s="2248"/>
      <c r="BL285" s="2248"/>
      <c r="BM285" s="2248"/>
      <c r="BN285" s="2248"/>
      <c r="BO285" s="2248"/>
      <c r="BP285" s="2248"/>
      <c r="BQ285" s="2248"/>
      <c r="BR285" s="2248"/>
    </row>
    <row r="286" spans="1:70" s="2249" customFormat="1" ht="18" customHeight="1">
      <c r="A286" s="2355"/>
      <c r="B286" s="2344"/>
      <c r="C286" s="2337"/>
      <c r="D286" s="2392"/>
      <c r="E286" s="2392"/>
      <c r="F286" s="1078" t="s">
        <v>336</v>
      </c>
      <c r="G286" s="1079"/>
      <c r="H286" s="2393">
        <f>H287</f>
        <v>33849</v>
      </c>
      <c r="I286" s="2394">
        <f>I287</f>
        <v>36349</v>
      </c>
      <c r="J286" s="2395">
        <f>J287</f>
        <v>-2500</v>
      </c>
      <c r="K286" s="1080" t="s">
        <v>336</v>
      </c>
      <c r="L286" s="2396"/>
      <c r="M286" s="2397">
        <f>M287</f>
        <v>33849</v>
      </c>
      <c r="N286" s="2398"/>
      <c r="O286" s="1058"/>
      <c r="P286" s="1033"/>
      <c r="Q286" s="932"/>
      <c r="R286" s="932"/>
      <c r="S286" s="932"/>
      <c r="V286" s="2247"/>
      <c r="W286" s="2248"/>
      <c r="X286" s="2248"/>
      <c r="Y286" s="2248"/>
      <c r="Z286" s="2248"/>
      <c r="AA286" s="2248"/>
      <c r="AB286" s="2248"/>
      <c r="AC286" s="2248"/>
      <c r="AD286" s="2248"/>
      <c r="AE286" s="2248"/>
      <c r="AF286" s="2248"/>
      <c r="AG286" s="2248"/>
      <c r="AH286" s="2248"/>
      <c r="AI286" s="2248"/>
      <c r="AJ286" s="2248"/>
      <c r="AK286" s="2248"/>
      <c r="AL286" s="2248"/>
      <c r="AM286" s="2248"/>
      <c r="AN286" s="2248"/>
      <c r="AO286" s="2248"/>
      <c r="AP286" s="2248"/>
      <c r="AQ286" s="2248"/>
      <c r="AR286" s="2248"/>
      <c r="AS286" s="2248"/>
      <c r="AT286" s="2248"/>
      <c r="AU286" s="2248"/>
      <c r="AV286" s="2248"/>
      <c r="AW286" s="2248"/>
      <c r="AX286" s="2248"/>
      <c r="AY286" s="2248"/>
      <c r="AZ286" s="2248"/>
      <c r="BA286" s="2248"/>
      <c r="BB286" s="2248"/>
      <c r="BC286" s="2248"/>
      <c r="BD286" s="2248"/>
      <c r="BE286" s="2248"/>
      <c r="BF286" s="2248"/>
      <c r="BG286" s="2248"/>
      <c r="BH286" s="2248"/>
      <c r="BI286" s="2248"/>
      <c r="BJ286" s="2248"/>
      <c r="BK286" s="2248"/>
      <c r="BL286" s="2248"/>
      <c r="BM286" s="2248"/>
      <c r="BN286" s="2248"/>
      <c r="BO286" s="2248"/>
      <c r="BP286" s="2248"/>
      <c r="BQ286" s="2248"/>
      <c r="BR286" s="2248"/>
    </row>
    <row r="287" spans="1:70" s="2249" customFormat="1" ht="18" customHeight="1">
      <c r="A287" s="2355"/>
      <c r="B287" s="2344"/>
      <c r="C287" s="2337"/>
      <c r="D287" s="2392"/>
      <c r="E287" s="2392"/>
      <c r="F287" s="1320"/>
      <c r="G287" s="1319" t="s">
        <v>738</v>
      </c>
      <c r="H287" s="2399">
        <f>M287</f>
        <v>33849</v>
      </c>
      <c r="I287" s="2399">
        <v>36349</v>
      </c>
      <c r="J287" s="2400">
        <f>H287-I287</f>
        <v>-2500</v>
      </c>
      <c r="K287" s="1653" t="s">
        <v>337</v>
      </c>
      <c r="L287" s="2372"/>
      <c r="M287" s="2401">
        <f>SUM(M288+M292)</f>
        <v>33849</v>
      </c>
      <c r="N287" s="2402"/>
      <c r="O287" s="1058"/>
      <c r="P287" s="1033"/>
      <c r="Q287" s="932"/>
      <c r="R287" s="932"/>
      <c r="S287" s="932"/>
      <c r="V287" s="2247"/>
      <c r="W287" s="2248"/>
      <c r="X287" s="2248"/>
      <c r="Y287" s="2248"/>
      <c r="Z287" s="2248"/>
      <c r="AA287" s="2248"/>
      <c r="AB287" s="2248"/>
      <c r="AC287" s="2248"/>
      <c r="AD287" s="2248"/>
      <c r="AE287" s="2248"/>
      <c r="AF287" s="2248"/>
      <c r="AG287" s="2248"/>
      <c r="AH287" s="2248"/>
      <c r="AI287" s="2248"/>
      <c r="AJ287" s="2248"/>
      <c r="AK287" s="2248"/>
      <c r="AL287" s="2248"/>
      <c r="AM287" s="2248"/>
      <c r="AN287" s="2248"/>
      <c r="AO287" s="2248"/>
      <c r="AP287" s="2248"/>
      <c r="AQ287" s="2248"/>
      <c r="AR287" s="2248"/>
      <c r="AS287" s="2248"/>
      <c r="AT287" s="2248"/>
      <c r="AU287" s="2248"/>
      <c r="AV287" s="2248"/>
      <c r="AW287" s="2248"/>
      <c r="AX287" s="2248"/>
      <c r="AY287" s="2248"/>
      <c r="AZ287" s="2248"/>
      <c r="BA287" s="2248"/>
      <c r="BB287" s="2248"/>
      <c r="BC287" s="2248"/>
      <c r="BD287" s="2248"/>
      <c r="BE287" s="2248"/>
      <c r="BF287" s="2248"/>
      <c r="BG287" s="2248"/>
      <c r="BH287" s="2248"/>
      <c r="BI287" s="2248"/>
      <c r="BJ287" s="2248"/>
      <c r="BK287" s="2248"/>
      <c r="BL287" s="2248"/>
      <c r="BM287" s="2248"/>
      <c r="BN287" s="2248"/>
      <c r="BO287" s="2248"/>
      <c r="BP287" s="2248"/>
      <c r="BQ287" s="2248"/>
      <c r="BR287" s="2248"/>
    </row>
    <row r="288" spans="1:70" s="2249" customFormat="1" ht="18" customHeight="1">
      <c r="A288" s="2355"/>
      <c r="B288" s="2344"/>
      <c r="C288" s="2337"/>
      <c r="D288" s="2337"/>
      <c r="E288" s="2337"/>
      <c r="F288" s="1331"/>
      <c r="G288" s="1331"/>
      <c r="H288" s="2399"/>
      <c r="I288" s="2399"/>
      <c r="J288" s="2403"/>
      <c r="K288" s="1335" t="s">
        <v>739</v>
      </c>
      <c r="L288" s="2352"/>
      <c r="M288" s="2362">
        <f>SUM(M289:M291)</f>
        <v>5200</v>
      </c>
      <c r="N288" s="1068"/>
      <c r="O288" s="1058"/>
      <c r="P288" s="1033"/>
      <c r="Q288" s="932"/>
      <c r="R288" s="932"/>
      <c r="S288" s="932"/>
      <c r="V288" s="2247"/>
      <c r="W288" s="2248"/>
      <c r="X288" s="2248"/>
      <c r="Y288" s="2248"/>
      <c r="Z288" s="2248"/>
      <c r="AA288" s="2248"/>
      <c r="AB288" s="2248"/>
      <c r="AC288" s="2248"/>
      <c r="AD288" s="2248"/>
      <c r="AE288" s="2248"/>
      <c r="AF288" s="2248"/>
      <c r="AG288" s="2248"/>
      <c r="AH288" s="2248"/>
      <c r="AI288" s="2248"/>
      <c r="AJ288" s="2248"/>
      <c r="AK288" s="2248"/>
      <c r="AL288" s="2248"/>
      <c r="AM288" s="2248"/>
      <c r="AN288" s="2248"/>
      <c r="AO288" s="2248"/>
      <c r="AP288" s="2248"/>
      <c r="AQ288" s="2248"/>
      <c r="AR288" s="2248"/>
      <c r="AS288" s="2248"/>
      <c r="AT288" s="2248"/>
      <c r="AU288" s="2248"/>
      <c r="AV288" s="2248"/>
      <c r="AW288" s="2248"/>
      <c r="AX288" s="2248"/>
      <c r="AY288" s="2248"/>
      <c r="AZ288" s="2248"/>
      <c r="BA288" s="2248"/>
      <c r="BB288" s="2248"/>
      <c r="BC288" s="2248"/>
      <c r="BD288" s="2248"/>
      <c r="BE288" s="2248"/>
      <c r="BF288" s="2248"/>
      <c r="BG288" s="2248"/>
      <c r="BH288" s="2248"/>
      <c r="BI288" s="2248"/>
      <c r="BJ288" s="2248"/>
      <c r="BK288" s="2248"/>
      <c r="BL288" s="2248"/>
      <c r="BM288" s="2248"/>
      <c r="BN288" s="2248"/>
      <c r="BO288" s="2248"/>
      <c r="BP288" s="2248"/>
      <c r="BQ288" s="2248"/>
      <c r="BR288" s="2248"/>
    </row>
    <row r="289" spans="1:70" s="2249" customFormat="1" ht="18" customHeight="1">
      <c r="A289" s="2355"/>
      <c r="B289" s="2344"/>
      <c r="C289" s="2337"/>
      <c r="D289" s="2337"/>
      <c r="E289" s="2337"/>
      <c r="F289" s="1331"/>
      <c r="G289" s="1331"/>
      <c r="H289" s="2399"/>
      <c r="I289" s="2399"/>
      <c r="J289" s="2404"/>
      <c r="K289" s="1335" t="s">
        <v>2313</v>
      </c>
      <c r="L289" s="2352" t="s">
        <v>292</v>
      </c>
      <c r="M289" s="2362">
        <v>2000</v>
      </c>
      <c r="N289" s="1067" t="s">
        <v>740</v>
      </c>
      <c r="O289" s="1058"/>
      <c r="P289" s="1033"/>
      <c r="Q289" s="932"/>
      <c r="R289" s="932"/>
      <c r="S289" s="932"/>
      <c r="V289" s="2247"/>
      <c r="W289" s="2248"/>
      <c r="X289" s="2248"/>
      <c r="Y289" s="2248"/>
      <c r="Z289" s="2248"/>
      <c r="AA289" s="2248"/>
      <c r="AB289" s="2248"/>
      <c r="AC289" s="2248"/>
      <c r="AD289" s="2248" t="s">
        <v>2100</v>
      </c>
      <c r="AE289" s="2248"/>
      <c r="AF289" s="2248"/>
      <c r="AG289" s="2248"/>
      <c r="AH289" s="2248"/>
      <c r="AI289" s="2248"/>
      <c r="AJ289" s="2248"/>
      <c r="AK289" s="2248"/>
      <c r="AL289" s="2248"/>
      <c r="AM289" s="2248"/>
      <c r="AN289" s="2248"/>
      <c r="AO289" s="2248"/>
      <c r="AP289" s="2248"/>
      <c r="AQ289" s="2248"/>
      <c r="AR289" s="2248"/>
      <c r="AS289" s="2248"/>
      <c r="AT289" s="2248"/>
      <c r="AU289" s="2248"/>
      <c r="AV289" s="2248"/>
      <c r="AW289" s="2248"/>
      <c r="AX289" s="2248"/>
      <c r="AY289" s="2248"/>
      <c r="AZ289" s="2248"/>
      <c r="BA289" s="2248"/>
      <c r="BB289" s="2248"/>
      <c r="BC289" s="2248"/>
      <c r="BD289" s="2248"/>
      <c r="BE289" s="2248"/>
      <c r="BF289" s="2248"/>
      <c r="BG289" s="2248"/>
      <c r="BH289" s="2248"/>
      <c r="BI289" s="2248"/>
      <c r="BJ289" s="2248"/>
      <c r="BK289" s="2248"/>
      <c r="BL289" s="2248"/>
      <c r="BM289" s="2248"/>
      <c r="BN289" s="2248"/>
      <c r="BO289" s="2248"/>
      <c r="BP289" s="2248"/>
      <c r="BQ289" s="2248"/>
      <c r="BR289" s="2248"/>
    </row>
    <row r="290" spans="1:70" s="2249" customFormat="1" ht="18" customHeight="1">
      <c r="A290" s="2355"/>
      <c r="B290" s="2344"/>
      <c r="C290" s="2337"/>
      <c r="D290" s="2337"/>
      <c r="E290" s="2337"/>
      <c r="F290" s="1331"/>
      <c r="G290" s="1331"/>
      <c r="H290" s="2399"/>
      <c r="I290" s="2399"/>
      <c r="J290" s="2404"/>
      <c r="K290" s="1335" t="s">
        <v>2314</v>
      </c>
      <c r="L290" s="2352" t="s">
        <v>292</v>
      </c>
      <c r="M290" s="2362">
        <v>1600</v>
      </c>
      <c r="N290" s="1068" t="s">
        <v>741</v>
      </c>
      <c r="O290" s="1058"/>
      <c r="P290" s="1033"/>
      <c r="Q290" s="932"/>
      <c r="R290" s="932"/>
      <c r="S290" s="932"/>
      <c r="V290" s="2247"/>
      <c r="W290" s="2248"/>
      <c r="X290" s="2248"/>
      <c r="Y290" s="2248"/>
      <c r="Z290" s="2248"/>
      <c r="AA290" s="2248"/>
      <c r="AB290" s="2248"/>
      <c r="AC290" s="2248"/>
      <c r="AD290" s="2248" t="s">
        <v>2101</v>
      </c>
      <c r="AE290" s="2248"/>
      <c r="AF290" s="2248"/>
      <c r="AG290" s="2248"/>
      <c r="AH290" s="2248"/>
      <c r="AI290" s="2248"/>
      <c r="AJ290" s="2248"/>
      <c r="AK290" s="2248"/>
      <c r="AL290" s="2248"/>
      <c r="AM290" s="2248"/>
      <c r="AN290" s="2248"/>
      <c r="AO290" s="2248"/>
      <c r="AP290" s="2248"/>
      <c r="AQ290" s="2248"/>
      <c r="AR290" s="2248"/>
      <c r="AS290" s="2248"/>
      <c r="AT290" s="2248"/>
      <c r="AU290" s="2248"/>
      <c r="AV290" s="2248"/>
      <c r="AW290" s="2248"/>
      <c r="AX290" s="2248"/>
      <c r="AY290" s="2248"/>
      <c r="AZ290" s="2248"/>
      <c r="BA290" s="2248"/>
      <c r="BB290" s="2248"/>
      <c r="BC290" s="2248"/>
      <c r="BD290" s="2248"/>
      <c r="BE290" s="2248"/>
      <c r="BF290" s="2248"/>
      <c r="BG290" s="2248"/>
      <c r="BH290" s="2248"/>
      <c r="BI290" s="2248"/>
      <c r="BJ290" s="2248"/>
      <c r="BK290" s="2248"/>
      <c r="BL290" s="2248"/>
      <c r="BM290" s="2248"/>
      <c r="BN290" s="2248"/>
      <c r="BO290" s="2248"/>
      <c r="BP290" s="2248"/>
      <c r="BQ290" s="2248"/>
      <c r="BR290" s="2248"/>
    </row>
    <row r="291" spans="1:70" s="2249" customFormat="1" ht="18" customHeight="1">
      <c r="A291" s="2355"/>
      <c r="B291" s="2344"/>
      <c r="C291" s="2337"/>
      <c r="D291" s="2337"/>
      <c r="E291" s="2337"/>
      <c r="F291" s="1331"/>
      <c r="G291" s="1331"/>
      <c r="H291" s="2399"/>
      <c r="I291" s="2399"/>
      <c r="J291" s="2404"/>
      <c r="K291" s="1335" t="s">
        <v>2315</v>
      </c>
      <c r="L291" s="2352" t="s">
        <v>292</v>
      </c>
      <c r="M291" s="2362">
        <v>1600</v>
      </c>
      <c r="N291" s="1068" t="s">
        <v>742</v>
      </c>
      <c r="O291" s="1058"/>
      <c r="P291" s="1033"/>
      <c r="Q291" s="932"/>
      <c r="R291" s="932"/>
      <c r="V291" s="2247"/>
      <c r="W291" s="2248"/>
      <c r="X291" s="2248"/>
      <c r="Y291" s="2248"/>
      <c r="Z291" s="2248"/>
      <c r="AA291" s="2248"/>
      <c r="AB291" s="2248"/>
      <c r="AC291" s="2248"/>
      <c r="AD291" s="2248" t="s">
        <v>2102</v>
      </c>
      <c r="AE291" s="2248"/>
      <c r="AF291" s="2248"/>
      <c r="AG291" s="2248"/>
      <c r="AH291" s="2248"/>
      <c r="AI291" s="2248"/>
      <c r="AJ291" s="2248"/>
      <c r="AK291" s="2248"/>
      <c r="AL291" s="2248"/>
      <c r="AM291" s="2248"/>
      <c r="AN291" s="2248"/>
      <c r="AO291" s="2248"/>
      <c r="AP291" s="2248"/>
      <c r="AQ291" s="2248"/>
      <c r="AR291" s="2248"/>
      <c r="AS291" s="2248"/>
      <c r="AT291" s="2248"/>
      <c r="AU291" s="2248"/>
      <c r="AV291" s="2248"/>
      <c r="AW291" s="2248"/>
      <c r="AX291" s="2248"/>
      <c r="AY291" s="2248"/>
      <c r="AZ291" s="2248"/>
      <c r="BA291" s="2248"/>
      <c r="BB291" s="2248"/>
      <c r="BC291" s="2248"/>
      <c r="BD291" s="2248"/>
      <c r="BE291" s="2248"/>
      <c r="BF291" s="2248"/>
      <c r="BG291" s="2248"/>
      <c r="BH291" s="2248"/>
      <c r="BI291" s="2248"/>
      <c r="BJ291" s="2248"/>
      <c r="BK291" s="2248"/>
      <c r="BL291" s="2248"/>
      <c r="BM291" s="2248"/>
      <c r="BN291" s="2248"/>
      <c r="BO291" s="2248"/>
      <c r="BP291" s="2248"/>
      <c r="BQ291" s="2248"/>
      <c r="BR291" s="2248"/>
    </row>
    <row r="292" spans="1:70" s="2249" customFormat="1" ht="18" customHeight="1">
      <c r="A292" s="2355"/>
      <c r="B292" s="2344"/>
      <c r="C292" s="2337"/>
      <c r="D292" s="2337"/>
      <c r="E292" s="2337"/>
      <c r="F292" s="1331"/>
      <c r="G292" s="1331"/>
      <c r="H292" s="2399"/>
      <c r="I292" s="2399"/>
      <c r="J292" s="2404"/>
      <c r="K292" s="1335" t="s">
        <v>2103</v>
      </c>
      <c r="L292" s="2352"/>
      <c r="M292" s="2362">
        <f>SUM(M293:M305)</f>
        <v>28649</v>
      </c>
      <c r="N292" s="1068"/>
      <c r="O292" s="1058"/>
      <c r="P292" s="1033"/>
      <c r="Q292" s="932"/>
      <c r="R292" s="932"/>
      <c r="V292" s="2247"/>
      <c r="W292" s="2248"/>
      <c r="X292" s="2248"/>
      <c r="Y292" s="2248"/>
      <c r="Z292" s="2248"/>
      <c r="AA292" s="2248"/>
      <c r="AB292" s="2248"/>
      <c r="AC292" s="2248"/>
      <c r="AD292" s="2248"/>
      <c r="AE292" s="2248"/>
      <c r="AF292" s="2248"/>
      <c r="AG292" s="2248"/>
      <c r="AH292" s="2248"/>
      <c r="AI292" s="2248"/>
      <c r="AJ292" s="2248"/>
      <c r="AK292" s="2248"/>
      <c r="AL292" s="2248"/>
      <c r="AM292" s="2248"/>
      <c r="AN292" s="2248"/>
      <c r="AO292" s="2248"/>
      <c r="AP292" s="2248"/>
      <c r="AQ292" s="2248"/>
      <c r="AR292" s="2248"/>
      <c r="AS292" s="2248"/>
      <c r="AT292" s="2248"/>
      <c r="AU292" s="2248"/>
      <c r="AV292" s="2248"/>
      <c r="AW292" s="2248"/>
      <c r="AX292" s="2248"/>
      <c r="AY292" s="2248"/>
      <c r="AZ292" s="2248"/>
      <c r="BA292" s="2248"/>
      <c r="BB292" s="2248"/>
      <c r="BC292" s="2248"/>
      <c r="BD292" s="2248"/>
      <c r="BE292" s="2248"/>
      <c r="BF292" s="2248"/>
      <c r="BG292" s="2248"/>
      <c r="BH292" s="2248"/>
      <c r="BI292" s="2248"/>
      <c r="BJ292" s="2248"/>
      <c r="BK292" s="2248"/>
      <c r="BL292" s="2248"/>
      <c r="BM292" s="2248"/>
      <c r="BN292" s="2248"/>
      <c r="BO292" s="2248"/>
      <c r="BP292" s="2248"/>
      <c r="BQ292" s="2248"/>
      <c r="BR292" s="2248"/>
    </row>
    <row r="293" spans="1:70" s="2249" customFormat="1" ht="18" customHeight="1">
      <c r="A293" s="2355"/>
      <c r="B293" s="2344"/>
      <c r="C293" s="2337"/>
      <c r="D293" s="2337"/>
      <c r="E293" s="2337"/>
      <c r="F293" s="1331"/>
      <c r="G293" s="1331"/>
      <c r="H293" s="2399"/>
      <c r="I293" s="2399"/>
      <c r="J293" s="2404"/>
      <c r="K293" s="1335" t="s">
        <v>743</v>
      </c>
      <c r="L293" s="2352" t="s">
        <v>292</v>
      </c>
      <c r="M293" s="2362">
        <f>1*4249</f>
        <v>4249</v>
      </c>
      <c r="N293" s="1068" t="s">
        <v>744</v>
      </c>
      <c r="O293" s="1058"/>
      <c r="P293" s="1033"/>
      <c r="Q293" s="932"/>
      <c r="R293" s="932"/>
      <c r="V293" s="2247"/>
      <c r="W293" s="2248"/>
      <c r="X293" s="2248"/>
      <c r="Y293" s="2248"/>
      <c r="Z293" s="2248"/>
      <c r="AA293" s="2248"/>
      <c r="AB293" s="2248"/>
      <c r="AC293" s="2248"/>
      <c r="AD293" s="2248"/>
      <c r="AE293" s="2248"/>
      <c r="AF293" s="2248"/>
      <c r="AG293" s="2248"/>
      <c r="AH293" s="2248"/>
      <c r="AI293" s="2248"/>
      <c r="AJ293" s="2248"/>
      <c r="AK293" s="2248"/>
      <c r="AL293" s="2248"/>
      <c r="AM293" s="2248"/>
      <c r="AN293" s="2248"/>
      <c r="AO293" s="2248"/>
      <c r="AP293" s="2248"/>
      <c r="AQ293" s="2248"/>
      <c r="AR293" s="2248"/>
      <c r="AS293" s="2248"/>
      <c r="AT293" s="2248"/>
      <c r="AU293" s="2248"/>
      <c r="AV293" s="2248"/>
      <c r="AW293" s="2248"/>
      <c r="AX293" s="2248"/>
      <c r="AY293" s="2248"/>
      <c r="AZ293" s="2248"/>
      <c r="BA293" s="2248"/>
      <c r="BB293" s="2248"/>
      <c r="BC293" s="2248"/>
      <c r="BD293" s="2248"/>
      <c r="BE293" s="2248"/>
      <c r="BF293" s="2248"/>
      <c r="BG293" s="2248"/>
      <c r="BH293" s="2248"/>
      <c r="BI293" s="2248"/>
      <c r="BJ293" s="2248"/>
      <c r="BK293" s="2248"/>
      <c r="BL293" s="2248"/>
      <c r="BM293" s="2248"/>
      <c r="BN293" s="2248"/>
      <c r="BO293" s="2248"/>
      <c r="BP293" s="2248"/>
      <c r="BQ293" s="2248"/>
      <c r="BR293" s="2248"/>
    </row>
    <row r="294" spans="1:70" s="2249" customFormat="1" ht="18" customHeight="1">
      <c r="A294" s="2355"/>
      <c r="B294" s="2344"/>
      <c r="C294" s="2337"/>
      <c r="D294" s="2337"/>
      <c r="E294" s="2337"/>
      <c r="F294" s="1331"/>
      <c r="G294" s="1331"/>
      <c r="H294" s="2399"/>
      <c r="I294" s="2399"/>
      <c r="J294" s="2404"/>
      <c r="K294" s="1335" t="s">
        <v>2404</v>
      </c>
      <c r="L294" s="2352" t="s">
        <v>292</v>
      </c>
      <c r="M294" s="2362">
        <v>1500</v>
      </c>
      <c r="N294" s="1068"/>
      <c r="O294" s="1058"/>
      <c r="P294" s="1033"/>
      <c r="Q294" s="932"/>
      <c r="R294" s="932"/>
      <c r="V294" s="2247"/>
      <c r="W294" s="2248"/>
      <c r="X294" s="2248"/>
      <c r="Y294" s="2248"/>
      <c r="Z294" s="2248"/>
      <c r="AA294" s="2248"/>
      <c r="AB294" s="2248"/>
      <c r="AC294" s="2248"/>
      <c r="AD294" s="2248" t="s">
        <v>2104</v>
      </c>
      <c r="AE294" s="2248"/>
      <c r="AF294" s="2248"/>
      <c r="AG294" s="2248"/>
      <c r="AH294" s="2248"/>
      <c r="AI294" s="2248"/>
      <c r="AJ294" s="2248"/>
      <c r="AK294" s="2248"/>
      <c r="AL294" s="2248"/>
      <c r="AM294" s="2248"/>
      <c r="AN294" s="2248"/>
      <c r="AO294" s="2248"/>
      <c r="AP294" s="2248"/>
      <c r="AQ294" s="2248"/>
      <c r="AR294" s="2248"/>
      <c r="AS294" s="2248"/>
      <c r="AT294" s="2248"/>
      <c r="AU294" s="2248"/>
      <c r="AV294" s="2248"/>
      <c r="AW294" s="2248"/>
      <c r="AX294" s="2248"/>
      <c r="AY294" s="2248"/>
      <c r="AZ294" s="2248"/>
      <c r="BA294" s="2248"/>
      <c r="BB294" s="2248"/>
      <c r="BC294" s="2248"/>
      <c r="BD294" s="2248"/>
      <c r="BE294" s="2248"/>
      <c r="BF294" s="2248"/>
      <c r="BG294" s="2248"/>
      <c r="BH294" s="2248"/>
      <c r="BI294" s="2248"/>
      <c r="BJ294" s="2248"/>
      <c r="BK294" s="2248"/>
      <c r="BL294" s="2248"/>
      <c r="BM294" s="2248"/>
      <c r="BN294" s="2248"/>
      <c r="BO294" s="2248"/>
      <c r="BP294" s="2248"/>
      <c r="BQ294" s="2248"/>
      <c r="BR294" s="2248"/>
    </row>
    <row r="295" spans="1:70" s="2249" customFormat="1" ht="18" customHeight="1">
      <c r="A295" s="2355"/>
      <c r="B295" s="2344"/>
      <c r="C295" s="2337"/>
      <c r="D295" s="2337"/>
      <c r="E295" s="2337"/>
      <c r="F295" s="1331"/>
      <c r="G295" s="1331"/>
      <c r="H295" s="2399"/>
      <c r="I295" s="2399"/>
      <c r="J295" s="2404"/>
      <c r="K295" s="1335" t="s">
        <v>2105</v>
      </c>
      <c r="L295" s="2352" t="s">
        <v>292</v>
      </c>
      <c r="M295" s="2362">
        <v>4500</v>
      </c>
      <c r="N295" s="1068"/>
      <c r="O295" s="1058"/>
      <c r="P295" s="1033"/>
      <c r="Q295" s="932"/>
      <c r="R295" s="932"/>
      <c r="V295" s="2247"/>
      <c r="W295" s="2248"/>
      <c r="X295" s="2248"/>
      <c r="Y295" s="2248"/>
      <c r="Z295" s="2248"/>
      <c r="AA295" s="2248"/>
      <c r="AB295" s="2248"/>
      <c r="AC295" s="2248"/>
      <c r="AD295" s="2248" t="s">
        <v>2106</v>
      </c>
      <c r="AE295" s="2248"/>
      <c r="AF295" s="2248"/>
      <c r="AG295" s="2248"/>
      <c r="AH295" s="2248"/>
      <c r="AI295" s="2248"/>
      <c r="AJ295" s="2248"/>
      <c r="AK295" s="2248"/>
      <c r="AL295" s="2248"/>
      <c r="AM295" s="2248"/>
      <c r="AN295" s="2248"/>
      <c r="AO295" s="2248"/>
      <c r="AP295" s="2248"/>
      <c r="AQ295" s="2248"/>
      <c r="AR295" s="2248"/>
      <c r="AS295" s="2248"/>
      <c r="AT295" s="2248"/>
      <c r="AU295" s="2248"/>
      <c r="AV295" s="2248"/>
      <c r="AW295" s="2248"/>
      <c r="AX295" s="2248"/>
      <c r="AY295" s="2248"/>
      <c r="AZ295" s="2248"/>
      <c r="BA295" s="2248"/>
      <c r="BB295" s="2248"/>
      <c r="BC295" s="2248"/>
      <c r="BD295" s="2248"/>
      <c r="BE295" s="2248"/>
      <c r="BF295" s="2248"/>
      <c r="BG295" s="2248"/>
      <c r="BH295" s="2248"/>
      <c r="BI295" s="2248"/>
      <c r="BJ295" s="2248"/>
      <c r="BK295" s="2248"/>
      <c r="BL295" s="2248"/>
      <c r="BM295" s="2248"/>
      <c r="BN295" s="2248"/>
      <c r="BO295" s="2248"/>
      <c r="BP295" s="2248"/>
      <c r="BQ295" s="2248"/>
      <c r="BR295" s="2248"/>
    </row>
    <row r="296" spans="1:70" s="2249" customFormat="1" ht="18" customHeight="1">
      <c r="A296" s="2355"/>
      <c r="B296" s="2344"/>
      <c r="C296" s="2337"/>
      <c r="D296" s="2337"/>
      <c r="E296" s="2337"/>
      <c r="F296" s="1331"/>
      <c r="G296" s="1331"/>
      <c r="H296" s="2399"/>
      <c r="I296" s="2399"/>
      <c r="J296" s="2404"/>
      <c r="K296" s="1335" t="s">
        <v>2405</v>
      </c>
      <c r="L296" s="2352" t="s">
        <v>292</v>
      </c>
      <c r="M296" s="2362">
        <v>7000</v>
      </c>
      <c r="N296" s="1067" t="s">
        <v>745</v>
      </c>
      <c r="O296" s="1058"/>
      <c r="P296" s="1033"/>
      <c r="Q296" s="932"/>
      <c r="R296" s="932"/>
      <c r="V296" s="2247"/>
      <c r="W296" s="2248"/>
      <c r="X296" s="2248"/>
      <c r="Y296" s="2248"/>
      <c r="Z296" s="2248"/>
      <c r="AA296" s="2248"/>
      <c r="AB296" s="2248"/>
      <c r="AC296" s="2248"/>
      <c r="AD296" s="2248" t="s">
        <v>2107</v>
      </c>
      <c r="AE296" s="2248"/>
      <c r="AF296" s="2248"/>
      <c r="AG296" s="2248"/>
      <c r="AH296" s="2248"/>
      <c r="AI296" s="2248"/>
      <c r="AJ296" s="2248"/>
      <c r="AK296" s="2248"/>
      <c r="AL296" s="2248"/>
      <c r="AM296" s="2248"/>
      <c r="AN296" s="2248"/>
      <c r="AO296" s="2248"/>
      <c r="AP296" s="2248"/>
      <c r="AQ296" s="2248"/>
      <c r="AR296" s="2248"/>
      <c r="AS296" s="2248"/>
      <c r="AT296" s="2248"/>
      <c r="AU296" s="2248"/>
      <c r="AV296" s="2248"/>
      <c r="AW296" s="2248"/>
      <c r="AX296" s="2248"/>
      <c r="AY296" s="2248"/>
      <c r="AZ296" s="2248"/>
      <c r="BA296" s="2248"/>
      <c r="BB296" s="2248"/>
      <c r="BC296" s="2248"/>
      <c r="BD296" s="2248"/>
      <c r="BE296" s="2248"/>
      <c r="BF296" s="2248"/>
      <c r="BG296" s="2248"/>
      <c r="BH296" s="2248"/>
      <c r="BI296" s="2248"/>
      <c r="BJ296" s="2248"/>
      <c r="BK296" s="2248"/>
      <c r="BL296" s="2248"/>
      <c r="BM296" s="2248"/>
      <c r="BN296" s="2248"/>
      <c r="BO296" s="2248"/>
      <c r="BP296" s="2248"/>
      <c r="BQ296" s="2248"/>
      <c r="BR296" s="2248"/>
    </row>
    <row r="297" spans="1:70" s="2249" customFormat="1" ht="18" customHeight="1">
      <c r="A297" s="2355"/>
      <c r="B297" s="2344"/>
      <c r="C297" s="2337"/>
      <c r="D297" s="2337"/>
      <c r="E297" s="2337"/>
      <c r="F297" s="1331"/>
      <c r="G297" s="1331"/>
      <c r="H297" s="2399"/>
      <c r="I297" s="2399"/>
      <c r="J297" s="2404"/>
      <c r="K297" s="1335" t="s">
        <v>2108</v>
      </c>
      <c r="L297" s="2352" t="s">
        <v>292</v>
      </c>
      <c r="M297" s="2362">
        <v>500</v>
      </c>
      <c r="N297" s="1067"/>
      <c r="O297" s="1058"/>
      <c r="P297" s="1033"/>
      <c r="Q297" s="932"/>
      <c r="R297" s="932"/>
      <c r="V297" s="2247"/>
      <c r="W297" s="2248"/>
      <c r="X297" s="2248"/>
      <c r="Y297" s="2248"/>
      <c r="Z297" s="2248"/>
      <c r="AA297" s="2248"/>
      <c r="AB297" s="2248"/>
      <c r="AC297" s="2248"/>
      <c r="AD297" s="2248" t="s">
        <v>2109</v>
      </c>
      <c r="AE297" s="2248"/>
      <c r="AF297" s="2248"/>
      <c r="AG297" s="2248"/>
      <c r="AH297" s="2248"/>
      <c r="AI297" s="2248"/>
      <c r="AJ297" s="2248"/>
      <c r="AK297" s="2248"/>
      <c r="AL297" s="2248"/>
      <c r="AM297" s="2248"/>
      <c r="AN297" s="2248"/>
      <c r="AO297" s="2248"/>
      <c r="AP297" s="2248"/>
      <c r="AQ297" s="2248"/>
      <c r="AR297" s="2248"/>
      <c r="AS297" s="2248"/>
      <c r="AT297" s="2248"/>
      <c r="AU297" s="2248"/>
      <c r="AV297" s="2248"/>
      <c r="AW297" s="2248"/>
      <c r="AX297" s="2248"/>
      <c r="AY297" s="2248"/>
      <c r="AZ297" s="2248"/>
      <c r="BA297" s="2248"/>
      <c r="BB297" s="2248"/>
      <c r="BC297" s="2248"/>
      <c r="BD297" s="2248"/>
      <c r="BE297" s="2248"/>
      <c r="BF297" s="2248"/>
      <c r="BG297" s="2248"/>
      <c r="BH297" s="2248"/>
      <c r="BI297" s="2248"/>
      <c r="BJ297" s="2248"/>
      <c r="BK297" s="2248"/>
      <c r="BL297" s="2248"/>
      <c r="BM297" s="2248"/>
      <c r="BN297" s="2248"/>
      <c r="BO297" s="2248"/>
      <c r="BP297" s="2248"/>
      <c r="BQ297" s="2248"/>
      <c r="BR297" s="2248"/>
    </row>
    <row r="298" spans="1:70" s="2249" customFormat="1" ht="18" hidden="1" customHeight="1">
      <c r="A298" s="2355"/>
      <c r="B298" s="2344"/>
      <c r="C298" s="2337"/>
      <c r="D298" s="2337"/>
      <c r="E298" s="2337"/>
      <c r="F298" s="1331"/>
      <c r="G298" s="1331"/>
      <c r="H298" s="2399"/>
      <c r="I298" s="2399"/>
      <c r="J298" s="2404"/>
      <c r="K298" s="1335" t="s">
        <v>2316</v>
      </c>
      <c r="L298" s="2352" t="s">
        <v>292</v>
      </c>
      <c r="M298" s="2362">
        <v>0</v>
      </c>
      <c r="N298" s="1067"/>
      <c r="O298" s="1058"/>
      <c r="P298" s="1033"/>
      <c r="Q298" s="932"/>
      <c r="R298" s="932"/>
      <c r="V298" s="2247"/>
      <c r="W298" s="2248"/>
      <c r="X298" s="2248"/>
      <c r="Y298" s="2248"/>
      <c r="Z298" s="2248"/>
      <c r="AA298" s="2248"/>
      <c r="AB298" s="2248"/>
      <c r="AC298" s="2248"/>
      <c r="AD298" s="2248" t="s">
        <v>2110</v>
      </c>
      <c r="AE298" s="2248"/>
      <c r="AF298" s="2248"/>
      <c r="AG298" s="2248"/>
      <c r="AH298" s="2248"/>
      <c r="AI298" s="2248"/>
      <c r="AJ298" s="2248"/>
      <c r="AK298" s="2248"/>
      <c r="AL298" s="2248"/>
      <c r="AM298" s="2248"/>
      <c r="AN298" s="2248"/>
      <c r="AO298" s="2248"/>
      <c r="AP298" s="2248"/>
      <c r="AQ298" s="2248"/>
      <c r="AR298" s="2248"/>
      <c r="AS298" s="2248"/>
      <c r="AT298" s="2248"/>
      <c r="AU298" s="2248"/>
      <c r="AV298" s="2248"/>
      <c r="AW298" s="2248"/>
      <c r="AX298" s="2248"/>
      <c r="AY298" s="2248"/>
      <c r="AZ298" s="2248"/>
      <c r="BA298" s="2248"/>
      <c r="BB298" s="2248"/>
      <c r="BC298" s="2248"/>
      <c r="BD298" s="2248"/>
      <c r="BE298" s="2248"/>
      <c r="BF298" s="2248"/>
      <c r="BG298" s="2248"/>
      <c r="BH298" s="2248"/>
      <c r="BI298" s="2248"/>
      <c r="BJ298" s="2248"/>
      <c r="BK298" s="2248"/>
      <c r="BL298" s="2248"/>
      <c r="BM298" s="2248"/>
      <c r="BN298" s="2248"/>
      <c r="BO298" s="2248"/>
      <c r="BP298" s="2248"/>
      <c r="BQ298" s="2248"/>
      <c r="BR298" s="2248"/>
    </row>
    <row r="299" spans="1:70" s="2249" customFormat="1" ht="18" customHeight="1">
      <c r="A299" s="2355"/>
      <c r="B299" s="2344"/>
      <c r="C299" s="2337"/>
      <c r="D299" s="2337"/>
      <c r="E299" s="2337"/>
      <c r="F299" s="1331"/>
      <c r="G299" s="1331"/>
      <c r="H299" s="2399"/>
      <c r="I299" s="2399"/>
      <c r="J299" s="2404"/>
      <c r="K299" s="1335" t="s">
        <v>2111</v>
      </c>
      <c r="L299" s="2352" t="s">
        <v>292</v>
      </c>
      <c r="M299" s="2362">
        <f>200*12</f>
        <v>2400</v>
      </c>
      <c r="N299" s="1068" t="s">
        <v>869</v>
      </c>
      <c r="O299" s="1058"/>
      <c r="P299" s="1033"/>
      <c r="Q299" s="932"/>
      <c r="R299" s="932"/>
      <c r="V299" s="2247"/>
      <c r="W299" s="2248"/>
      <c r="X299" s="2248"/>
      <c r="Y299" s="2248"/>
      <c r="Z299" s="2248"/>
      <c r="AA299" s="2248"/>
      <c r="AB299" s="2248"/>
      <c r="AC299" s="2248"/>
      <c r="AD299" s="2248" t="s">
        <v>2112</v>
      </c>
      <c r="AE299" s="2248"/>
      <c r="AF299" s="2248"/>
      <c r="AG299" s="2248"/>
      <c r="AH299" s="2248"/>
      <c r="AI299" s="2248"/>
      <c r="AJ299" s="2248"/>
      <c r="AK299" s="2248"/>
      <c r="AL299" s="2248"/>
      <c r="AM299" s="2248"/>
      <c r="AN299" s="2248"/>
      <c r="AO299" s="2248"/>
      <c r="AP299" s="2248"/>
      <c r="AQ299" s="2248"/>
      <c r="AR299" s="2248"/>
      <c r="AS299" s="2248"/>
      <c r="AT299" s="2248"/>
      <c r="AU299" s="2248"/>
      <c r="AV299" s="2248"/>
      <c r="AW299" s="2248"/>
      <c r="AX299" s="2248"/>
      <c r="AY299" s="2248"/>
      <c r="AZ299" s="2248"/>
      <c r="BA299" s="2248"/>
      <c r="BB299" s="2248"/>
      <c r="BC299" s="2248"/>
      <c r="BD299" s="2248"/>
      <c r="BE299" s="2248"/>
      <c r="BF299" s="2248"/>
      <c r="BG299" s="2248"/>
      <c r="BH299" s="2248"/>
      <c r="BI299" s="2248"/>
      <c r="BJ299" s="2248"/>
      <c r="BK299" s="2248"/>
      <c r="BL299" s="2248"/>
      <c r="BM299" s="2248"/>
      <c r="BN299" s="2248"/>
      <c r="BO299" s="2248"/>
      <c r="BP299" s="2248"/>
      <c r="BQ299" s="2248"/>
      <c r="BR299" s="2248"/>
    </row>
    <row r="300" spans="1:70" s="2249" customFormat="1" ht="18" customHeight="1">
      <c r="A300" s="2355"/>
      <c r="B300" s="2344"/>
      <c r="C300" s="2337"/>
      <c r="D300" s="2337"/>
      <c r="E300" s="2337"/>
      <c r="F300" s="1331"/>
      <c r="G300" s="1331"/>
      <c r="H300" s="2399"/>
      <c r="I300" s="2399"/>
      <c r="J300" s="2404"/>
      <c r="K300" s="1335" t="s">
        <v>2113</v>
      </c>
      <c r="L300" s="2352" t="s">
        <v>292</v>
      </c>
      <c r="M300" s="2362">
        <f>1000*1</f>
        <v>1000</v>
      </c>
      <c r="N300" s="1068" t="s">
        <v>746</v>
      </c>
      <c r="O300" s="1058"/>
      <c r="P300" s="1033"/>
      <c r="Q300" s="932"/>
      <c r="R300" s="932"/>
      <c r="V300" s="2247"/>
      <c r="W300" s="2248"/>
      <c r="X300" s="2248"/>
      <c r="Y300" s="2248"/>
      <c r="Z300" s="2248"/>
      <c r="AA300" s="2248"/>
      <c r="AB300" s="2248"/>
      <c r="AC300" s="2248"/>
      <c r="AD300" s="2248" t="s">
        <v>2114</v>
      </c>
      <c r="AE300" s="2248"/>
      <c r="AF300" s="2248"/>
      <c r="AG300" s="2248"/>
      <c r="AH300" s="2248"/>
      <c r="AI300" s="2248"/>
      <c r="AJ300" s="2248"/>
      <c r="AK300" s="2248"/>
      <c r="AL300" s="2248"/>
      <c r="AM300" s="2248"/>
      <c r="AN300" s="2248"/>
      <c r="AO300" s="2248"/>
      <c r="AP300" s="2248"/>
      <c r="AQ300" s="2248"/>
      <c r="AR300" s="2248"/>
      <c r="AS300" s="2248"/>
      <c r="AT300" s="2248"/>
      <c r="AU300" s="2248"/>
      <c r="AV300" s="2248"/>
      <c r="AW300" s="2248"/>
      <c r="AX300" s="2248"/>
      <c r="AY300" s="2248"/>
      <c r="AZ300" s="2248"/>
      <c r="BA300" s="2248"/>
      <c r="BB300" s="2248"/>
      <c r="BC300" s="2248"/>
      <c r="BD300" s="2248"/>
      <c r="BE300" s="2248"/>
      <c r="BF300" s="2248"/>
      <c r="BG300" s="2248"/>
      <c r="BH300" s="2248"/>
      <c r="BI300" s="2248"/>
      <c r="BJ300" s="2248"/>
      <c r="BK300" s="2248"/>
      <c r="BL300" s="2248"/>
      <c r="BM300" s="2248"/>
      <c r="BN300" s="2248"/>
      <c r="BO300" s="2248"/>
      <c r="BP300" s="2248"/>
      <c r="BQ300" s="2248"/>
      <c r="BR300" s="2248"/>
    </row>
    <row r="301" spans="1:70" s="2249" customFormat="1" ht="18" customHeight="1">
      <c r="A301" s="2355"/>
      <c r="B301" s="2344"/>
      <c r="C301" s="2337"/>
      <c r="D301" s="2337"/>
      <c r="E301" s="2337"/>
      <c r="F301" s="1331"/>
      <c r="G301" s="1331"/>
      <c r="H301" s="2399"/>
      <c r="I301" s="2399"/>
      <c r="J301" s="2404"/>
      <c r="K301" s="2666" t="s">
        <v>2115</v>
      </c>
      <c r="L301" s="2352" t="s">
        <v>292</v>
      </c>
      <c r="M301" s="2362">
        <v>4500</v>
      </c>
      <c r="N301" s="1067" t="s">
        <v>747</v>
      </c>
      <c r="O301" s="1058"/>
      <c r="P301" s="1033"/>
      <c r="Q301" s="932"/>
      <c r="R301" s="932"/>
      <c r="V301" s="2247"/>
      <c r="W301" s="2248"/>
      <c r="X301" s="2248"/>
      <c r="Y301" s="2248"/>
      <c r="Z301" s="2248"/>
      <c r="AA301" s="2248"/>
      <c r="AB301" s="2248"/>
      <c r="AC301" s="2248"/>
      <c r="AD301" s="2248" t="s">
        <v>2116</v>
      </c>
      <c r="AE301" s="2248"/>
      <c r="AF301" s="2248"/>
      <c r="AG301" s="2248"/>
      <c r="AH301" s="2248"/>
      <c r="AI301" s="2248"/>
      <c r="AJ301" s="2248"/>
      <c r="AK301" s="2248"/>
      <c r="AL301" s="2248"/>
      <c r="AM301" s="2248"/>
      <c r="AN301" s="2248"/>
      <c r="AO301" s="2248"/>
      <c r="AP301" s="2248"/>
      <c r="AQ301" s="2248"/>
      <c r="AR301" s="2248"/>
      <c r="AS301" s="2248"/>
      <c r="AT301" s="2248"/>
      <c r="AU301" s="2248"/>
      <c r="AV301" s="2248"/>
      <c r="AW301" s="2248"/>
      <c r="AX301" s="2248"/>
      <c r="AY301" s="2248"/>
      <c r="AZ301" s="2248"/>
      <c r="BA301" s="2248"/>
      <c r="BB301" s="2248"/>
      <c r="BC301" s="2248"/>
      <c r="BD301" s="2248"/>
      <c r="BE301" s="2248"/>
      <c r="BF301" s="2248"/>
      <c r="BG301" s="2248"/>
      <c r="BH301" s="2248"/>
      <c r="BI301" s="2248"/>
      <c r="BJ301" s="2248"/>
      <c r="BK301" s="2248"/>
      <c r="BL301" s="2248"/>
      <c r="BM301" s="2248"/>
      <c r="BN301" s="2248"/>
      <c r="BO301" s="2248"/>
      <c r="BP301" s="2248"/>
      <c r="BQ301" s="2248"/>
      <c r="BR301" s="2248"/>
    </row>
    <row r="302" spans="1:70" s="2249" customFormat="1" ht="18" hidden="1" customHeight="1">
      <c r="A302" s="2355"/>
      <c r="B302" s="2344"/>
      <c r="C302" s="2337"/>
      <c r="D302" s="2337"/>
      <c r="E302" s="2337"/>
      <c r="F302" s="1331"/>
      <c r="G302" s="1331"/>
      <c r="H302" s="2399"/>
      <c r="I302" s="2399"/>
      <c r="J302" s="2404"/>
      <c r="K302" s="2666" t="s">
        <v>2317</v>
      </c>
      <c r="L302" s="2352" t="s">
        <v>292</v>
      </c>
      <c r="M302" s="2362">
        <v>0</v>
      </c>
      <c r="N302" s="1067"/>
      <c r="O302" s="1058"/>
      <c r="P302" s="1033"/>
      <c r="Q302" s="932"/>
      <c r="R302" s="932"/>
      <c r="V302" s="2247"/>
      <c r="W302" s="2248"/>
      <c r="X302" s="2248"/>
      <c r="Y302" s="2248"/>
      <c r="Z302" s="2248"/>
      <c r="AA302" s="2248"/>
      <c r="AB302" s="2248"/>
      <c r="AC302" s="2248"/>
      <c r="AD302" s="2248" t="s">
        <v>2117</v>
      </c>
      <c r="AE302" s="2248"/>
      <c r="AF302" s="2248"/>
      <c r="AG302" s="2248"/>
      <c r="AH302" s="2248"/>
      <c r="AI302" s="2248"/>
      <c r="AJ302" s="2248"/>
      <c r="AK302" s="2248"/>
      <c r="AL302" s="2248"/>
      <c r="AM302" s="2248"/>
      <c r="AN302" s="2248"/>
      <c r="AO302" s="2248"/>
      <c r="AP302" s="2248"/>
      <c r="AQ302" s="2248"/>
      <c r="AR302" s="2248"/>
      <c r="AS302" s="2248"/>
      <c r="AT302" s="2248"/>
      <c r="AU302" s="2248"/>
      <c r="AV302" s="2248"/>
      <c r="AW302" s="2248"/>
      <c r="AX302" s="2248"/>
      <c r="AY302" s="2248"/>
      <c r="AZ302" s="2248"/>
      <c r="BA302" s="2248"/>
      <c r="BB302" s="2248"/>
      <c r="BC302" s="2248"/>
      <c r="BD302" s="2248"/>
      <c r="BE302" s="2248"/>
      <c r="BF302" s="2248"/>
      <c r="BG302" s="2248"/>
      <c r="BH302" s="2248"/>
      <c r="BI302" s="2248"/>
      <c r="BJ302" s="2248"/>
      <c r="BK302" s="2248"/>
      <c r="BL302" s="2248"/>
      <c r="BM302" s="2248"/>
      <c r="BN302" s="2248"/>
      <c r="BO302" s="2248"/>
      <c r="BP302" s="2248"/>
      <c r="BQ302" s="2248"/>
      <c r="BR302" s="2248"/>
    </row>
    <row r="303" spans="1:70" s="2249" customFormat="1" ht="18" hidden="1" customHeight="1">
      <c r="A303" s="2355"/>
      <c r="B303" s="2344"/>
      <c r="C303" s="2337"/>
      <c r="D303" s="2337"/>
      <c r="E303" s="2337"/>
      <c r="F303" s="1331"/>
      <c r="G303" s="1331"/>
      <c r="H303" s="2399"/>
      <c r="I303" s="2399"/>
      <c r="J303" s="2404"/>
      <c r="K303" s="2666" t="s">
        <v>2118</v>
      </c>
      <c r="L303" s="2352" t="s">
        <v>292</v>
      </c>
      <c r="M303" s="2362">
        <v>0</v>
      </c>
      <c r="N303" s="1067"/>
      <c r="O303" s="1058"/>
      <c r="P303" s="1033"/>
      <c r="Q303" s="932"/>
      <c r="R303" s="932"/>
      <c r="V303" s="2247"/>
      <c r="W303" s="2248"/>
      <c r="X303" s="2248"/>
      <c r="Y303" s="2248"/>
      <c r="Z303" s="2248"/>
      <c r="AA303" s="2248"/>
      <c r="AB303" s="2248"/>
      <c r="AC303" s="2248"/>
      <c r="AD303" s="2248" t="s">
        <v>2119</v>
      </c>
      <c r="AE303" s="2248"/>
      <c r="AF303" s="2248"/>
      <c r="AG303" s="2248"/>
      <c r="AH303" s="2248"/>
      <c r="AI303" s="2248"/>
      <c r="AJ303" s="2248"/>
      <c r="AK303" s="2248"/>
      <c r="AL303" s="2248"/>
      <c r="AM303" s="2248"/>
      <c r="AN303" s="2248"/>
      <c r="AO303" s="2248"/>
      <c r="AP303" s="2248"/>
      <c r="AQ303" s="2248"/>
      <c r="AR303" s="2248"/>
      <c r="AS303" s="2248"/>
      <c r="AT303" s="2248"/>
      <c r="AU303" s="2248"/>
      <c r="AV303" s="2248"/>
      <c r="AW303" s="2248"/>
      <c r="AX303" s="2248"/>
      <c r="AY303" s="2248"/>
      <c r="AZ303" s="2248"/>
      <c r="BA303" s="2248"/>
      <c r="BB303" s="2248"/>
      <c r="BC303" s="2248"/>
      <c r="BD303" s="2248"/>
      <c r="BE303" s="2248"/>
      <c r="BF303" s="2248"/>
      <c r="BG303" s="2248"/>
      <c r="BH303" s="2248"/>
      <c r="BI303" s="2248"/>
      <c r="BJ303" s="2248"/>
      <c r="BK303" s="2248"/>
      <c r="BL303" s="2248"/>
      <c r="BM303" s="2248"/>
      <c r="BN303" s="2248"/>
      <c r="BO303" s="2248"/>
      <c r="BP303" s="2248"/>
      <c r="BQ303" s="2248"/>
      <c r="BR303" s="2248"/>
    </row>
    <row r="304" spans="1:70" s="2249" customFormat="1" ht="18" hidden="1" customHeight="1">
      <c r="A304" s="2355"/>
      <c r="B304" s="2344"/>
      <c r="C304" s="2337"/>
      <c r="D304" s="2337"/>
      <c r="E304" s="2337"/>
      <c r="F304" s="1331"/>
      <c r="G304" s="1331"/>
      <c r="H304" s="2399"/>
      <c r="I304" s="2399"/>
      <c r="J304" s="2404"/>
      <c r="K304" s="2666" t="s">
        <v>2120</v>
      </c>
      <c r="L304" s="2352"/>
      <c r="M304" s="2362">
        <v>0</v>
      </c>
      <c r="N304" s="1067"/>
      <c r="O304" s="1058"/>
      <c r="P304" s="1033"/>
      <c r="Q304" s="932"/>
      <c r="R304" s="932"/>
      <c r="V304" s="2247"/>
      <c r="W304" s="2248"/>
      <c r="X304" s="2248"/>
      <c r="Y304" s="2248"/>
      <c r="Z304" s="2248"/>
      <c r="AA304" s="2248"/>
      <c r="AB304" s="2248"/>
      <c r="AC304" s="2248"/>
      <c r="AD304" s="2248" t="s">
        <v>2121</v>
      </c>
      <c r="AE304" s="2248"/>
      <c r="AF304" s="2248"/>
      <c r="AG304" s="2248"/>
      <c r="AH304" s="2248"/>
      <c r="AI304" s="2248"/>
      <c r="AJ304" s="2248"/>
      <c r="AK304" s="2248"/>
      <c r="AL304" s="2248"/>
      <c r="AM304" s="2248"/>
      <c r="AN304" s="2248"/>
      <c r="AO304" s="2248"/>
      <c r="AP304" s="2248"/>
      <c r="AQ304" s="2248"/>
      <c r="AR304" s="2248"/>
      <c r="AS304" s="2248"/>
      <c r="AT304" s="2248"/>
      <c r="AU304" s="2248"/>
      <c r="AV304" s="2248"/>
      <c r="AW304" s="2248"/>
      <c r="AX304" s="2248"/>
      <c r="AY304" s="2248"/>
      <c r="AZ304" s="2248"/>
      <c r="BA304" s="2248"/>
      <c r="BB304" s="2248"/>
      <c r="BC304" s="2248"/>
      <c r="BD304" s="2248"/>
      <c r="BE304" s="2248"/>
      <c r="BF304" s="2248"/>
      <c r="BG304" s="2248"/>
      <c r="BH304" s="2248"/>
      <c r="BI304" s="2248"/>
      <c r="BJ304" s="2248"/>
      <c r="BK304" s="2248"/>
      <c r="BL304" s="2248"/>
      <c r="BM304" s="2248"/>
      <c r="BN304" s="2248"/>
      <c r="BO304" s="2248"/>
      <c r="BP304" s="2248"/>
      <c r="BQ304" s="2248"/>
      <c r="BR304" s="2248"/>
    </row>
    <row r="305" spans="1:70" s="2249" customFormat="1" ht="18" customHeight="1" thickBot="1">
      <c r="A305" s="2355"/>
      <c r="B305" s="2344"/>
      <c r="C305" s="2337"/>
      <c r="D305" s="2337"/>
      <c r="E305" s="2337"/>
      <c r="F305" s="1331"/>
      <c r="G305" s="1331"/>
      <c r="H305" s="2399"/>
      <c r="I305" s="2399"/>
      <c r="J305" s="2404"/>
      <c r="K305" s="2666" t="s">
        <v>2122</v>
      </c>
      <c r="L305" s="2352" t="s">
        <v>292</v>
      </c>
      <c r="M305" s="2362">
        <v>3000</v>
      </c>
      <c r="N305" s="1068"/>
      <c r="O305" s="1058"/>
      <c r="P305" s="1033"/>
      <c r="Q305" s="932"/>
      <c r="R305" s="932"/>
      <c r="V305" s="2247"/>
      <c r="W305" s="2248"/>
      <c r="X305" s="2248"/>
      <c r="Y305" s="2248"/>
      <c r="Z305" s="2248"/>
      <c r="AA305" s="2248"/>
      <c r="AB305" s="2248"/>
      <c r="AC305" s="2248"/>
      <c r="AD305" s="2248" t="s">
        <v>2123</v>
      </c>
      <c r="AE305" s="2248"/>
      <c r="AF305" s="2248"/>
      <c r="AG305" s="2248"/>
      <c r="AH305" s="2248"/>
      <c r="AI305" s="2248"/>
      <c r="AJ305" s="2248"/>
      <c r="AK305" s="2248"/>
      <c r="AL305" s="2248"/>
      <c r="AM305" s="2248"/>
      <c r="AN305" s="2248"/>
      <c r="AO305" s="2248"/>
      <c r="AP305" s="2248"/>
      <c r="AQ305" s="2248"/>
      <c r="AR305" s="2248"/>
      <c r="AS305" s="2248"/>
      <c r="AT305" s="2248"/>
      <c r="AU305" s="2248"/>
      <c r="AV305" s="2248"/>
      <c r="AW305" s="2248"/>
      <c r="AX305" s="2248"/>
      <c r="AY305" s="2248"/>
      <c r="AZ305" s="2248"/>
      <c r="BA305" s="2248"/>
      <c r="BB305" s="2248"/>
      <c r="BC305" s="2248"/>
      <c r="BD305" s="2248"/>
      <c r="BE305" s="2248"/>
      <c r="BF305" s="2248"/>
      <c r="BG305" s="2248"/>
      <c r="BH305" s="2248"/>
      <c r="BI305" s="2248"/>
      <c r="BJ305" s="2248"/>
      <c r="BK305" s="2248"/>
      <c r="BL305" s="2248"/>
      <c r="BM305" s="2248"/>
      <c r="BN305" s="2248"/>
      <c r="BO305" s="2248"/>
      <c r="BP305" s="2248"/>
      <c r="BQ305" s="2248"/>
      <c r="BR305" s="2248"/>
    </row>
    <row r="306" spans="1:70" s="2" customFormat="1" ht="18" customHeight="1">
      <c r="A306" s="1709" t="s">
        <v>86</v>
      </c>
      <c r="B306" s="1019"/>
      <c r="C306" s="1020"/>
      <c r="D306" s="1020"/>
      <c r="E306" s="1020"/>
      <c r="F306" s="1020"/>
      <c r="G306" s="1021"/>
      <c r="H306" s="2405">
        <f>H307</f>
        <v>20640</v>
      </c>
      <c r="I306" s="2405">
        <f>I307</f>
        <v>25356</v>
      </c>
      <c r="J306" s="2405">
        <f t="shared" ref="J306:J312" si="13">H306-I306</f>
        <v>-4716</v>
      </c>
      <c r="K306" s="2406"/>
      <c r="L306" s="2407"/>
      <c r="M306" s="2408"/>
      <c r="N306" s="2096"/>
      <c r="O306" s="3"/>
      <c r="P306" s="68"/>
      <c r="Q306" s="1023"/>
      <c r="R306" s="1023"/>
      <c r="S306" s="1023"/>
      <c r="T306" s="1024"/>
      <c r="U306" s="1025"/>
    </row>
    <row r="307" spans="1:70" s="2" customFormat="1" ht="18" customHeight="1">
      <c r="A307" s="64"/>
      <c r="B307" s="1026" t="s">
        <v>1857</v>
      </c>
      <c r="C307" s="1026"/>
      <c r="D307" s="1027"/>
      <c r="E307" s="1027"/>
      <c r="F307" s="1027"/>
      <c r="G307" s="1028"/>
      <c r="H307" s="51">
        <f>H308+H318+H325</f>
        <v>20640</v>
      </c>
      <c r="I307" s="51">
        <f>I308+I318+I325</f>
        <v>25356</v>
      </c>
      <c r="J307" s="51">
        <f t="shared" si="13"/>
        <v>-4716</v>
      </c>
      <c r="K307" s="2093"/>
      <c r="L307" s="2094"/>
      <c r="M307" s="2095"/>
      <c r="N307" s="2096"/>
      <c r="O307" s="3"/>
      <c r="P307" s="68"/>
      <c r="Q307" s="1023"/>
      <c r="R307" s="1023"/>
      <c r="S307" s="1023"/>
      <c r="T307" s="1024"/>
      <c r="U307" s="1025"/>
    </row>
    <row r="308" spans="1:70" s="2" customFormat="1" ht="18" customHeight="1">
      <c r="A308" s="64"/>
      <c r="B308" s="22"/>
      <c r="C308" s="2097" t="s">
        <v>1858</v>
      </c>
      <c r="D308" s="1027"/>
      <c r="E308" s="1027"/>
      <c r="F308" s="1027"/>
      <c r="G308" s="1028"/>
      <c r="H308" s="51">
        <f t="shared" ref="H308:I311" si="14">H309</f>
        <v>19170</v>
      </c>
      <c r="I308" s="51">
        <f t="shared" si="14"/>
        <v>3470</v>
      </c>
      <c r="J308" s="51">
        <f t="shared" si="13"/>
        <v>15700</v>
      </c>
      <c r="K308" s="2093"/>
      <c r="L308" s="2094"/>
      <c r="M308" s="2095"/>
      <c r="N308" s="2098"/>
      <c r="O308" s="2099"/>
      <c r="P308" s="2099"/>
      <c r="Q308" s="2099"/>
      <c r="R308" s="2099"/>
      <c r="S308" s="2099"/>
      <c r="T308" s="2099"/>
      <c r="U308" s="2099"/>
    </row>
    <row r="309" spans="1:70" s="2" customFormat="1" ht="18" customHeight="1">
      <c r="A309" s="64"/>
      <c r="B309" s="22"/>
      <c r="C309" s="25"/>
      <c r="D309" s="2097" t="s">
        <v>2124</v>
      </c>
      <c r="E309" s="1027"/>
      <c r="F309" s="1027"/>
      <c r="G309" s="1028"/>
      <c r="H309" s="51">
        <f t="shared" si="14"/>
        <v>19170</v>
      </c>
      <c r="I309" s="51">
        <f t="shared" si="14"/>
        <v>3470</v>
      </c>
      <c r="J309" s="51">
        <f t="shared" si="13"/>
        <v>15700</v>
      </c>
      <c r="K309" s="1022"/>
      <c r="L309" s="849"/>
      <c r="M309" s="2095"/>
      <c r="N309" s="2096"/>
      <c r="O309" s="3"/>
      <c r="P309" s="68"/>
      <c r="Q309" s="1023"/>
      <c r="R309" s="1023"/>
      <c r="S309" s="1023"/>
      <c r="T309" s="1024"/>
      <c r="U309" s="1025"/>
    </row>
    <row r="310" spans="1:70" s="2" customFormat="1" ht="18" customHeight="1">
      <c r="A310" s="64"/>
      <c r="B310" s="22"/>
      <c r="C310" s="2101"/>
      <c r="D310" s="1032"/>
      <c r="E310" s="1026" t="s">
        <v>2125</v>
      </c>
      <c r="F310" s="1027"/>
      <c r="G310" s="1028"/>
      <c r="H310" s="51">
        <f t="shared" si="14"/>
        <v>19170</v>
      </c>
      <c r="I310" s="51">
        <f t="shared" si="14"/>
        <v>3470</v>
      </c>
      <c r="J310" s="51">
        <f t="shared" si="13"/>
        <v>15700</v>
      </c>
      <c r="K310" s="2102"/>
      <c r="L310" s="2103"/>
      <c r="M310" s="2104"/>
      <c r="N310" s="2096"/>
      <c r="O310" s="3"/>
      <c r="P310" s="68"/>
      <c r="Q310" s="1023"/>
      <c r="R310" s="1023"/>
      <c r="S310" s="1023"/>
      <c r="T310" s="76"/>
      <c r="U310" s="1025"/>
    </row>
    <row r="311" spans="1:70" s="2" customFormat="1" ht="18" customHeight="1">
      <c r="A311" s="64"/>
      <c r="B311" s="22"/>
      <c r="C311" s="1084"/>
      <c r="D311" s="22"/>
      <c r="E311" s="1025"/>
      <c r="F311" s="1085" t="s">
        <v>58</v>
      </c>
      <c r="G311" s="1086"/>
      <c r="H311" s="50">
        <f t="shared" si="14"/>
        <v>19170</v>
      </c>
      <c r="I311" s="50">
        <f t="shared" si="14"/>
        <v>3470</v>
      </c>
      <c r="J311" s="50">
        <f t="shared" si="13"/>
        <v>15700</v>
      </c>
      <c r="K311" s="2409"/>
      <c r="L311" s="2410"/>
      <c r="M311" s="2411"/>
      <c r="N311" s="2096"/>
      <c r="O311" s="3"/>
      <c r="P311" s="68"/>
      <c r="Q311" s="1023"/>
      <c r="R311" s="1023"/>
      <c r="S311" s="1023"/>
      <c r="T311" s="76"/>
      <c r="U311" s="1025"/>
    </row>
    <row r="312" spans="1:70" s="2" customFormat="1" ht="18" customHeight="1">
      <c r="A312" s="64"/>
      <c r="B312" s="22"/>
      <c r="C312" s="1084"/>
      <c r="D312" s="22"/>
      <c r="E312" s="1025"/>
      <c r="F312" s="1087"/>
      <c r="G312" s="22" t="s">
        <v>26</v>
      </c>
      <c r="H312" s="21">
        <f>M312</f>
        <v>19170</v>
      </c>
      <c r="I312" s="21">
        <v>3470</v>
      </c>
      <c r="J312" s="21">
        <f t="shared" si="13"/>
        <v>15700</v>
      </c>
      <c r="K312" s="688"/>
      <c r="L312" s="699"/>
      <c r="M312" s="475">
        <f>SUM(M314:M317)</f>
        <v>19170</v>
      </c>
      <c r="N312" s="2681"/>
      <c r="O312" s="2700"/>
      <c r="P312" s="68"/>
      <c r="Q312" s="1023"/>
      <c r="R312" s="1023"/>
      <c r="S312" s="1023"/>
      <c r="T312" s="76"/>
      <c r="U312" s="1025"/>
    </row>
    <row r="313" spans="1:70" ht="16.5" hidden="1" customHeight="1">
      <c r="A313" s="2776"/>
      <c r="B313" s="2412"/>
      <c r="C313" s="2412"/>
      <c r="D313" s="2412"/>
      <c r="E313" s="2412"/>
      <c r="F313" s="2412"/>
      <c r="G313" s="2412"/>
      <c r="H313" s="2413"/>
      <c r="I313" s="2413"/>
      <c r="J313" s="2414"/>
      <c r="K313" s="2701" t="s">
        <v>2393</v>
      </c>
      <c r="L313" s="2640" t="s">
        <v>6</v>
      </c>
      <c r="M313" s="2665">
        <v>0</v>
      </c>
      <c r="N313" s="2068" t="s">
        <v>2126</v>
      </c>
      <c r="P313" s="2415">
        <v>900000</v>
      </c>
      <c r="Q313" s="2415">
        <v>2</v>
      </c>
    </row>
    <row r="314" spans="1:70" ht="16.5" hidden="1" customHeight="1">
      <c r="A314" s="2776"/>
      <c r="B314" s="2412"/>
      <c r="C314" s="2412"/>
      <c r="D314" s="2412"/>
      <c r="E314" s="2412"/>
      <c r="F314" s="2412"/>
      <c r="G314" s="2412"/>
      <c r="H314" s="2413"/>
      <c r="I314" s="2413"/>
      <c r="J314" s="2414"/>
      <c r="K314" s="2701" t="s">
        <v>2394</v>
      </c>
      <c r="L314" s="2640" t="s">
        <v>6</v>
      </c>
      <c r="M314" s="2665">
        <v>0</v>
      </c>
      <c r="N314" s="2068" t="s">
        <v>2127</v>
      </c>
      <c r="P314" s="2415">
        <v>3500000</v>
      </c>
      <c r="Q314" s="2415">
        <v>2</v>
      </c>
    </row>
    <row r="315" spans="1:70" ht="16.5" customHeight="1">
      <c r="A315" s="2776"/>
      <c r="B315" s="2412"/>
      <c r="C315" s="2412"/>
      <c r="D315" s="2412"/>
      <c r="E315" s="2412"/>
      <c r="F315" s="2412"/>
      <c r="G315" s="2412"/>
      <c r="H315" s="2413"/>
      <c r="I315" s="2413"/>
      <c r="J315" s="2414"/>
      <c r="K315" s="2701" t="s">
        <v>2128</v>
      </c>
      <c r="L315" s="2640" t="s">
        <v>6</v>
      </c>
      <c r="M315" s="2665">
        <f t="shared" ref="M315" si="15">ROUNDUP(P315*Q315/1000,0)</f>
        <v>19170</v>
      </c>
      <c r="N315" s="2068" t="s">
        <v>2129</v>
      </c>
      <c r="P315" s="2415">
        <v>2130000</v>
      </c>
      <c r="Q315" s="2415">
        <v>9</v>
      </c>
    </row>
    <row r="316" spans="1:70" ht="16.5" hidden="1" customHeight="1">
      <c r="A316" s="2776"/>
      <c r="B316" s="2412"/>
      <c r="C316" s="2412"/>
      <c r="D316" s="2412"/>
      <c r="E316" s="2412"/>
      <c r="F316" s="2412"/>
      <c r="G316" s="2412"/>
      <c r="H316" s="2413"/>
      <c r="I316" s="2413"/>
      <c r="J316" s="2414"/>
      <c r="K316" s="2701" t="s">
        <v>2130</v>
      </c>
      <c r="L316" s="2640" t="s">
        <v>6</v>
      </c>
      <c r="M316" s="2777">
        <v>0</v>
      </c>
      <c r="N316" s="2068" t="s">
        <v>2131</v>
      </c>
      <c r="P316" s="2415">
        <v>3700000</v>
      </c>
      <c r="Q316" s="2415">
        <v>1</v>
      </c>
    </row>
    <row r="317" spans="1:70" ht="16.5" hidden="1" customHeight="1" thickBot="1">
      <c r="A317" s="2776"/>
      <c r="B317" s="2412"/>
      <c r="C317" s="2412"/>
      <c r="D317" s="2412"/>
      <c r="E317" s="2412"/>
      <c r="F317" s="2412"/>
      <c r="G317" s="2412"/>
      <c r="H317" s="2413"/>
      <c r="I317" s="2413"/>
      <c r="J317" s="2414"/>
      <c r="K317" s="2701" t="s">
        <v>2132</v>
      </c>
      <c r="L317" s="2640" t="s">
        <v>6</v>
      </c>
      <c r="M317" s="2777">
        <v>0</v>
      </c>
      <c r="N317" s="2416" t="s">
        <v>2133</v>
      </c>
      <c r="P317" s="2415">
        <v>500000</v>
      </c>
      <c r="Q317" s="2415">
        <v>1</v>
      </c>
    </row>
    <row r="318" spans="1:70" s="2" customFormat="1" ht="18" customHeight="1">
      <c r="A318" s="64"/>
      <c r="B318" s="22"/>
      <c r="C318" s="1339" t="s">
        <v>908</v>
      </c>
      <c r="D318" s="1027"/>
      <c r="E318" s="1027"/>
      <c r="F318" s="1027"/>
      <c r="G318" s="1028"/>
      <c r="H318" s="825">
        <f t="shared" ref="H318:I321" si="16">H319</f>
        <v>1470</v>
      </c>
      <c r="I318" s="825">
        <f t="shared" si="16"/>
        <v>21886</v>
      </c>
      <c r="J318" s="826">
        <f t="shared" ref="J318:J322" si="17">H318-I318</f>
        <v>-20416</v>
      </c>
      <c r="K318" s="1119"/>
      <c r="L318" s="1056"/>
      <c r="M318" s="1057"/>
      <c r="N318" s="2098"/>
      <c r="O318" s="2099"/>
      <c r="P318" s="2099"/>
      <c r="Q318" s="2099"/>
      <c r="R318" s="2099"/>
      <c r="S318" s="2099"/>
      <c r="T318" s="2099"/>
      <c r="U318" s="2099"/>
    </row>
    <row r="319" spans="1:70" s="2" customFormat="1" ht="18" customHeight="1">
      <c r="A319" s="64"/>
      <c r="B319" s="22"/>
      <c r="C319" s="25"/>
      <c r="D319" s="1339" t="s">
        <v>608</v>
      </c>
      <c r="E319" s="1027"/>
      <c r="F319" s="1027"/>
      <c r="G319" s="1028"/>
      <c r="H319" s="825">
        <f t="shared" si="16"/>
        <v>1470</v>
      </c>
      <c r="I319" s="825">
        <f t="shared" si="16"/>
        <v>21886</v>
      </c>
      <c r="J319" s="826">
        <f t="shared" si="17"/>
        <v>-20416</v>
      </c>
      <c r="K319" s="684"/>
      <c r="L319" s="1030"/>
      <c r="M319" s="680"/>
      <c r="N319" s="2096"/>
      <c r="O319" s="3"/>
      <c r="P319" s="68"/>
      <c r="Q319" s="1023"/>
      <c r="R319" s="1023"/>
      <c r="S319" s="1023"/>
      <c r="T319" s="1024"/>
      <c r="U319" s="1025"/>
    </row>
    <row r="320" spans="1:70" s="2" customFormat="1" ht="18" customHeight="1">
      <c r="A320" s="64"/>
      <c r="B320" s="22"/>
      <c r="C320" s="1031"/>
      <c r="D320" s="1032"/>
      <c r="E320" s="1026" t="s">
        <v>795</v>
      </c>
      <c r="F320" s="1027"/>
      <c r="G320" s="1028"/>
      <c r="H320" s="825">
        <f t="shared" si="16"/>
        <v>1470</v>
      </c>
      <c r="I320" s="825">
        <f t="shared" si="16"/>
        <v>21886</v>
      </c>
      <c r="J320" s="826">
        <f t="shared" si="17"/>
        <v>-20416</v>
      </c>
      <c r="K320" s="728"/>
      <c r="L320" s="827"/>
      <c r="M320" s="694"/>
      <c r="N320" s="2096"/>
      <c r="O320" s="3"/>
      <c r="P320" s="68"/>
      <c r="Q320" s="1023"/>
      <c r="R320" s="1023"/>
      <c r="S320" s="1023"/>
      <c r="T320" s="76"/>
      <c r="U320" s="1025"/>
    </row>
    <row r="321" spans="1:30" s="2" customFormat="1" ht="18" customHeight="1">
      <c r="A321" s="64"/>
      <c r="B321" s="22"/>
      <c r="C321" s="1084"/>
      <c r="D321" s="22"/>
      <c r="E321" s="1025"/>
      <c r="F321" s="1085" t="s">
        <v>870</v>
      </c>
      <c r="G321" s="1086"/>
      <c r="H321" s="755">
        <f t="shared" si="16"/>
        <v>1470</v>
      </c>
      <c r="I321" s="755">
        <f t="shared" si="16"/>
        <v>21886</v>
      </c>
      <c r="J321" s="477">
        <f t="shared" si="17"/>
        <v>-20416</v>
      </c>
      <c r="K321" s="696"/>
      <c r="L321" s="693"/>
      <c r="M321" s="697"/>
      <c r="N321" s="2096"/>
      <c r="O321" s="3"/>
      <c r="P321" s="68"/>
      <c r="Q321" s="1023"/>
      <c r="R321" s="1023"/>
      <c r="S321" s="1023"/>
      <c r="T321" s="76"/>
      <c r="U321" s="1025"/>
    </row>
    <row r="322" spans="1:30" s="2" customFormat="1" ht="18" customHeight="1">
      <c r="A322" s="64"/>
      <c r="B322" s="22"/>
      <c r="C322" s="1084"/>
      <c r="D322" s="22"/>
      <c r="E322" s="1025"/>
      <c r="F322" s="1087"/>
      <c r="G322" s="22" t="s">
        <v>871</v>
      </c>
      <c r="H322" s="756">
        <f>M322</f>
        <v>1470</v>
      </c>
      <c r="I322" s="756">
        <v>21886</v>
      </c>
      <c r="J322" s="474">
        <f t="shared" si="17"/>
        <v>-20416</v>
      </c>
      <c r="K322" s="688"/>
      <c r="L322" s="699"/>
      <c r="M322" s="475">
        <f>M324</f>
        <v>1470</v>
      </c>
      <c r="N322" s="2096"/>
      <c r="O322" s="3"/>
      <c r="P322" s="68"/>
      <c r="Q322" s="1023"/>
      <c r="R322" s="1023"/>
      <c r="S322" s="1023"/>
      <c r="T322" s="76"/>
      <c r="U322" s="1025"/>
    </row>
    <row r="323" spans="1:30" s="2422" customFormat="1" ht="16.5" customHeight="1">
      <c r="A323" s="2424"/>
      <c r="B323" s="2417"/>
      <c r="C323" s="2417"/>
      <c r="D323" s="2417"/>
      <c r="E323" s="2417"/>
      <c r="F323" s="2417"/>
      <c r="G323" s="2417"/>
      <c r="H323" s="2418"/>
      <c r="I323" s="2418"/>
      <c r="J323" s="2419"/>
      <c r="K323" s="2278" t="s">
        <v>2134</v>
      </c>
      <c r="L323" s="2420"/>
      <c r="M323" s="2665">
        <f t="shared" ref="M323:M324" si="18">ROUNDUP(P323*Q323/1000,0)</f>
        <v>500</v>
      </c>
      <c r="N323" s="2421" t="s">
        <v>2135</v>
      </c>
      <c r="P323" s="934">
        <v>500000</v>
      </c>
      <c r="Q323" s="934">
        <v>1</v>
      </c>
      <c r="R323" s="2423"/>
      <c r="S323" s="2423"/>
      <c r="T323" s="2423"/>
      <c r="U323" s="2423"/>
      <c r="V323" s="2423"/>
      <c r="W323" s="2423"/>
      <c r="X323" s="2423"/>
    </row>
    <row r="324" spans="1:30" s="2422" customFormat="1" ht="16.5" customHeight="1" thickBot="1">
      <c r="A324" s="2746"/>
      <c r="B324" s="2747"/>
      <c r="C324" s="2747"/>
      <c r="D324" s="2747"/>
      <c r="E324" s="2747"/>
      <c r="F324" s="2747"/>
      <c r="G324" s="2747"/>
      <c r="H324" s="2748"/>
      <c r="I324" s="2748"/>
      <c r="J324" s="2749"/>
      <c r="K324" s="2750" t="s">
        <v>872</v>
      </c>
      <c r="L324" s="2751"/>
      <c r="M324" s="2752">
        <f t="shared" si="18"/>
        <v>1470</v>
      </c>
      <c r="N324" s="2426" t="s">
        <v>2136</v>
      </c>
      <c r="P324" s="934">
        <v>1470000</v>
      </c>
      <c r="Q324" s="934">
        <v>1</v>
      </c>
      <c r="R324" s="2423"/>
      <c r="S324" s="2423"/>
      <c r="T324" s="2423"/>
      <c r="U324" s="2423"/>
      <c r="V324" s="2423"/>
      <c r="W324" s="2423"/>
      <c r="X324" s="2423"/>
    </row>
    <row r="325" spans="1:30" s="2" customFormat="1" ht="18" hidden="1" customHeight="1">
      <c r="A325" s="64"/>
      <c r="B325" s="22"/>
      <c r="C325" s="2743" t="s">
        <v>909</v>
      </c>
      <c r="D325" s="2744"/>
      <c r="E325" s="2744"/>
      <c r="F325" s="2744"/>
      <c r="G325" s="2745"/>
      <c r="H325" s="829">
        <f t="shared" ref="H325:I328" si="19">H326</f>
        <v>0</v>
      </c>
      <c r="I325" s="829">
        <f t="shared" si="19"/>
        <v>0</v>
      </c>
      <c r="J325" s="830">
        <f>H325-I325</f>
        <v>0</v>
      </c>
      <c r="K325" s="678"/>
      <c r="L325" s="679"/>
      <c r="M325" s="680"/>
      <c r="N325" s="2978"/>
      <c r="O325" s="2979"/>
      <c r="P325" s="2979"/>
      <c r="Q325" s="2979"/>
      <c r="R325" s="2979"/>
      <c r="S325" s="2979"/>
      <c r="T325" s="2979"/>
      <c r="U325" s="2979"/>
    </row>
    <row r="326" spans="1:30" s="2" customFormat="1" ht="18" hidden="1" customHeight="1">
      <c r="A326" s="64"/>
      <c r="B326" s="22"/>
      <c r="C326" s="25"/>
      <c r="D326" s="1339" t="s">
        <v>609</v>
      </c>
      <c r="E326" s="1027"/>
      <c r="F326" s="1027"/>
      <c r="G326" s="1028"/>
      <c r="H326" s="825">
        <f t="shared" si="19"/>
        <v>0</v>
      </c>
      <c r="I326" s="825">
        <f t="shared" si="19"/>
        <v>0</v>
      </c>
      <c r="J326" s="826">
        <f>H326-I326</f>
        <v>0</v>
      </c>
      <c r="K326" s="1090"/>
      <c r="L326" s="1091"/>
      <c r="M326" s="1057"/>
      <c r="N326" s="1022"/>
      <c r="O326" s="3"/>
      <c r="P326" s="68"/>
      <c r="Q326" s="1023"/>
      <c r="R326" s="1023"/>
      <c r="S326" s="1023"/>
      <c r="T326" s="1024"/>
      <c r="U326" s="1025"/>
    </row>
    <row r="327" spans="1:30" s="2" customFormat="1" ht="18" hidden="1" customHeight="1">
      <c r="A327" s="64"/>
      <c r="B327" s="22"/>
      <c r="C327" s="832"/>
      <c r="D327" s="1032"/>
      <c r="E327" s="1026" t="s">
        <v>795</v>
      </c>
      <c r="F327" s="1027"/>
      <c r="G327" s="1028"/>
      <c r="H327" s="825">
        <f t="shared" si="19"/>
        <v>0</v>
      </c>
      <c r="I327" s="825">
        <f t="shared" si="19"/>
        <v>0</v>
      </c>
      <c r="J327" s="826">
        <f>H327-I327</f>
        <v>0</v>
      </c>
      <c r="K327" s="728"/>
      <c r="L327" s="827"/>
      <c r="M327" s="694"/>
      <c r="N327" s="1022"/>
      <c r="O327" s="3"/>
      <c r="P327" s="68"/>
      <c r="Q327" s="1023"/>
      <c r="R327" s="1023"/>
      <c r="S327" s="1023"/>
      <c r="T327" s="76"/>
      <c r="U327" s="1025"/>
    </row>
    <row r="328" spans="1:30" s="2" customFormat="1" ht="18" hidden="1" customHeight="1">
      <c r="A328" s="64"/>
      <c r="B328" s="22"/>
      <c r="C328" s="22"/>
      <c r="D328" s="22"/>
      <c r="E328" s="1025"/>
      <c r="F328" s="1085" t="s">
        <v>870</v>
      </c>
      <c r="G328" s="1086"/>
      <c r="H328" s="755">
        <f t="shared" si="19"/>
        <v>0</v>
      </c>
      <c r="I328" s="755">
        <f t="shared" si="19"/>
        <v>0</v>
      </c>
      <c r="J328" s="477">
        <f>H328-I328</f>
        <v>0</v>
      </c>
      <c r="K328" s="696"/>
      <c r="L328" s="693"/>
      <c r="M328" s="697"/>
      <c r="N328" s="1022"/>
      <c r="O328" s="3"/>
      <c r="P328" s="68"/>
      <c r="Q328" s="1023"/>
      <c r="R328" s="1023"/>
      <c r="S328" s="1023"/>
      <c r="T328" s="76"/>
      <c r="U328" s="1025"/>
    </row>
    <row r="329" spans="1:30" s="2" customFormat="1" ht="18" hidden="1" customHeight="1">
      <c r="A329" s="64"/>
      <c r="B329" s="22"/>
      <c r="C329" s="1084"/>
      <c r="D329" s="22"/>
      <c r="E329" s="22"/>
      <c r="F329" s="22"/>
      <c r="G329" s="22" t="s">
        <v>871</v>
      </c>
      <c r="H329" s="756">
        <f>M329</f>
        <v>0</v>
      </c>
      <c r="I329" s="756">
        <v>0</v>
      </c>
      <c r="J329" s="474">
        <f>H329-I329</f>
        <v>0</v>
      </c>
      <c r="K329" s="688"/>
      <c r="L329" s="699"/>
      <c r="M329" s="475">
        <f>SUM(M330:M331)</f>
        <v>0</v>
      </c>
      <c r="N329" s="1022"/>
      <c r="O329" s="3"/>
      <c r="P329" s="68"/>
      <c r="Q329" s="1023"/>
      <c r="R329" s="1023"/>
      <c r="S329" s="1023"/>
      <c r="T329" s="76"/>
      <c r="U329" s="1025"/>
    </row>
    <row r="330" spans="1:30" s="2" customFormat="1" ht="18" hidden="1" customHeight="1">
      <c r="A330" s="64"/>
      <c r="B330" s="22"/>
      <c r="C330" s="1084"/>
      <c r="D330" s="22"/>
      <c r="E330" s="22"/>
      <c r="F330" s="22"/>
      <c r="G330" s="22"/>
      <c r="H330" s="2427"/>
      <c r="I330" s="756"/>
      <c r="J330" s="474"/>
      <c r="K330" s="688"/>
      <c r="L330" s="2667"/>
      <c r="M330" s="685"/>
      <c r="N330" s="1022"/>
      <c r="O330" s="3"/>
      <c r="P330" s="68"/>
      <c r="Q330" s="1023"/>
      <c r="R330" s="1023"/>
      <c r="S330" s="1023"/>
      <c r="T330" s="76"/>
      <c r="U330" s="1025"/>
      <c r="AD330" s="2" t="s">
        <v>2137</v>
      </c>
    </row>
    <row r="331" spans="1:30" s="2" customFormat="1" ht="18" hidden="1" customHeight="1">
      <c r="A331" s="64"/>
      <c r="B331" s="22"/>
      <c r="C331" s="1084"/>
      <c r="D331" s="22"/>
      <c r="E331" s="22"/>
      <c r="F331" s="22"/>
      <c r="G331" s="22"/>
      <c r="H331" s="2427"/>
      <c r="I331" s="756"/>
      <c r="J331" s="474"/>
      <c r="K331" s="688"/>
      <c r="L331" s="2667"/>
      <c r="M331" s="685"/>
      <c r="N331" s="1022"/>
      <c r="O331" s="3"/>
      <c r="P331" s="68"/>
      <c r="Q331" s="1023"/>
      <c r="R331" s="1023"/>
      <c r="S331" s="1023"/>
      <c r="T331" s="76"/>
      <c r="U331" s="1025"/>
      <c r="AD331" s="2" t="s">
        <v>2138</v>
      </c>
    </row>
  </sheetData>
  <protectedRanges>
    <protectedRange password="ECE8" sqref="O2:AF4" name="작성자만수정_1"/>
    <protectedRange password="ECE8" sqref="O318:AF322" name="작성자만수정_2_1_1_3"/>
    <protectedRange password="ECE8" sqref="O325:AF329" name="작성자만수정_2_1_1_5"/>
    <protectedRange password="ECE8" sqref="O330:AF331" name="작성자만수정_2_1_1_2_2"/>
    <protectedRange password="ECE8" sqref="O312:AF313" name="작성자만수정_2_1_1_7"/>
    <protectedRange password="ECE8" sqref="O7:AF9 O21:AF21 O101:AF102" name="작성자만수정_2_1_1_8"/>
    <protectedRange password="ECE8" sqref="O134:AF136 O149:AF149 O201:AF202" name="작성자만수정_2_1_1_1_3"/>
    <protectedRange password="ECE8" sqref="O229:AF248 O271:AC272 AE271:AF272 O251:AF270 O273:AF305" name="작성자만수정_2_1_1_2_1"/>
    <protectedRange password="ECE8" sqref="O249:AF250" name="작성자만수정_2_1_1_1_1_1"/>
  </protectedRanges>
  <mergeCells count="13">
    <mergeCell ref="N325:U325"/>
    <mergeCell ref="K2:M3"/>
    <mergeCell ref="A4:G4"/>
    <mergeCell ref="N95:N96"/>
    <mergeCell ref="N229:U229"/>
    <mergeCell ref="F232:G232"/>
    <mergeCell ref="F282:G282"/>
    <mergeCell ref="A2:A3"/>
    <mergeCell ref="B2:D2"/>
    <mergeCell ref="E2:G2"/>
    <mergeCell ref="H2:H3"/>
    <mergeCell ref="I2:I3"/>
    <mergeCell ref="J2:J3"/>
  </mergeCells>
  <phoneticPr fontId="15" type="noConversion"/>
  <conditionalFormatting sqref="J310:J311">
    <cfRule type="containsText" dxfId="347" priority="733" operator="containsText" text="허하나로">
      <formula>NOT(ISERROR(SEARCH("허하나로",H1272)))</formula>
    </cfRule>
    <cfRule type="containsText" dxfId="346" priority="734" operator="containsText" text="한별">
      <formula>NOT(ISERROR(SEARCH("한별",H1272)))</formula>
    </cfRule>
    <cfRule type="containsText" dxfId="345" priority="735" operator="containsText" text="정홍조">
      <formula>NOT(ISERROR(SEARCH("정홍조",H1272)))</formula>
    </cfRule>
    <cfRule type="containsText" dxfId="344" priority="736" operator="containsText" text="김지윤">
      <formula>NOT(ISERROR(SEARCH("김지윤",H1272)))</formula>
    </cfRule>
    <cfRule type="containsText" dxfId="343" priority="737" operator="containsText" text="전준영">
      <formula>NOT(ISERROR(SEARCH("전준영",H1272)))</formula>
    </cfRule>
    <cfRule type="containsText" dxfId="342" priority="738" operator="containsText" text="차재성">
      <formula>NOT(ISERROR(SEARCH("차재성",H1272)))</formula>
    </cfRule>
  </conditionalFormatting>
  <conditionalFormatting sqref="J6">
    <cfRule type="containsText" dxfId="341" priority="673" operator="containsText" text="허하나로">
      <formula>NOT(ISERROR(SEARCH("허하나로",H939)))</formula>
    </cfRule>
    <cfRule type="containsText" dxfId="340" priority="674" operator="containsText" text="한별">
      <formula>NOT(ISERROR(SEARCH("한별",H939)))</formula>
    </cfRule>
    <cfRule type="containsText" dxfId="339" priority="675" operator="containsText" text="정홍조">
      <formula>NOT(ISERROR(SEARCH("정홍조",H939)))</formula>
    </cfRule>
    <cfRule type="containsText" dxfId="338" priority="676" operator="containsText" text="김지윤">
      <formula>NOT(ISERROR(SEARCH("김지윤",H939)))</formula>
    </cfRule>
    <cfRule type="containsText" dxfId="337" priority="677" operator="containsText" text="전준영">
      <formula>NOT(ISERROR(SEARCH("전준영",H939)))</formula>
    </cfRule>
    <cfRule type="containsText" dxfId="336" priority="678" operator="containsText" text="차재성">
      <formula>NOT(ISERROR(SEARCH("차재성",H939)))</formula>
    </cfRule>
  </conditionalFormatting>
  <conditionalFormatting sqref="J309">
    <cfRule type="containsText" dxfId="335" priority="697" operator="containsText" text="허하나로">
      <formula>NOT(ISERROR(SEARCH("허하나로",H1271)))</formula>
    </cfRule>
    <cfRule type="containsText" dxfId="334" priority="698" operator="containsText" text="한별">
      <formula>NOT(ISERROR(SEARCH("한별",H1271)))</formula>
    </cfRule>
    <cfRule type="containsText" dxfId="333" priority="699" operator="containsText" text="정홍조">
      <formula>NOT(ISERROR(SEARCH("정홍조",H1271)))</formula>
    </cfRule>
    <cfRule type="containsText" dxfId="332" priority="700" operator="containsText" text="김지윤">
      <formula>NOT(ISERROR(SEARCH("김지윤",H1271)))</formula>
    </cfRule>
    <cfRule type="containsText" dxfId="331" priority="701" operator="containsText" text="전준영">
      <formula>NOT(ISERROR(SEARCH("전준영",H1271)))</formula>
    </cfRule>
    <cfRule type="containsText" dxfId="330" priority="702" operator="containsText" text="차재성">
      <formula>NOT(ISERROR(SEARCH("차재성",H1271)))</formula>
    </cfRule>
  </conditionalFormatting>
  <conditionalFormatting sqref="J308">
    <cfRule type="containsText" dxfId="329" priority="691" operator="containsText" text="허하나로">
      <formula>NOT(ISERROR(SEARCH("허하나로",H1270)))</formula>
    </cfRule>
    <cfRule type="containsText" dxfId="328" priority="692" operator="containsText" text="한별">
      <formula>NOT(ISERROR(SEARCH("한별",H1270)))</formula>
    </cfRule>
    <cfRule type="containsText" dxfId="327" priority="693" operator="containsText" text="정홍조">
      <formula>NOT(ISERROR(SEARCH("정홍조",H1270)))</formula>
    </cfRule>
    <cfRule type="containsText" dxfId="326" priority="694" operator="containsText" text="김지윤">
      <formula>NOT(ISERROR(SEARCH("김지윤",H1270)))</formula>
    </cfRule>
    <cfRule type="containsText" dxfId="325" priority="695" operator="containsText" text="전준영">
      <formula>NOT(ISERROR(SEARCH("전준영",H1270)))</formula>
    </cfRule>
    <cfRule type="containsText" dxfId="324" priority="696" operator="containsText" text="차재성">
      <formula>NOT(ISERROR(SEARCH("차재성",H1270)))</formula>
    </cfRule>
  </conditionalFormatting>
  <conditionalFormatting sqref="J307">
    <cfRule type="containsText" dxfId="323" priority="685" operator="containsText" text="허하나로">
      <formula>NOT(ISERROR(SEARCH("허하나로",H1269)))</formula>
    </cfRule>
    <cfRule type="containsText" dxfId="322" priority="686" operator="containsText" text="한별">
      <formula>NOT(ISERROR(SEARCH("한별",H1269)))</formula>
    </cfRule>
    <cfRule type="containsText" dxfId="321" priority="687" operator="containsText" text="정홍조">
      <formula>NOT(ISERROR(SEARCH("정홍조",H1269)))</formula>
    </cfRule>
    <cfRule type="containsText" dxfId="320" priority="688" operator="containsText" text="김지윤">
      <formula>NOT(ISERROR(SEARCH("김지윤",H1269)))</formula>
    </cfRule>
    <cfRule type="containsText" dxfId="319" priority="689" operator="containsText" text="전준영">
      <formula>NOT(ISERROR(SEARCH("전준영",H1269)))</formula>
    </cfRule>
    <cfRule type="containsText" dxfId="318" priority="690" operator="containsText" text="차재성">
      <formula>NOT(ISERROR(SEARCH("차재성",H1269)))</formula>
    </cfRule>
  </conditionalFormatting>
  <conditionalFormatting sqref="J306">
    <cfRule type="containsText" dxfId="317" priority="679" operator="containsText" text="허하나로">
      <formula>NOT(ISERROR(SEARCH("허하나로",H1268)))</formula>
    </cfRule>
    <cfRule type="containsText" dxfId="316" priority="680" operator="containsText" text="한별">
      <formula>NOT(ISERROR(SEARCH("한별",H1268)))</formula>
    </cfRule>
    <cfRule type="containsText" dxfId="315" priority="681" operator="containsText" text="정홍조">
      <formula>NOT(ISERROR(SEARCH("정홍조",H1268)))</formula>
    </cfRule>
    <cfRule type="containsText" dxfId="314" priority="682" operator="containsText" text="김지윤">
      <formula>NOT(ISERROR(SEARCH("김지윤",H1268)))</formula>
    </cfRule>
    <cfRule type="containsText" dxfId="313" priority="683" operator="containsText" text="전준영">
      <formula>NOT(ISERROR(SEARCH("전준영",H1268)))</formula>
    </cfRule>
    <cfRule type="containsText" dxfId="312" priority="684" operator="containsText" text="차재성">
      <formula>NOT(ISERROR(SEARCH("차재성",H1268)))</formula>
    </cfRule>
  </conditionalFormatting>
  <conditionalFormatting sqref="J5">
    <cfRule type="containsText" dxfId="311" priority="667" operator="containsText" text="허하나로">
      <formula>NOT(ISERROR(SEARCH("허하나로",H938)))</formula>
    </cfRule>
    <cfRule type="containsText" dxfId="310" priority="668" operator="containsText" text="한별">
      <formula>NOT(ISERROR(SEARCH("한별",H938)))</formula>
    </cfRule>
    <cfRule type="containsText" dxfId="309" priority="669" operator="containsText" text="정홍조">
      <formula>NOT(ISERROR(SEARCH("정홍조",H938)))</formula>
    </cfRule>
    <cfRule type="containsText" dxfId="308" priority="670" operator="containsText" text="김지윤">
      <formula>NOT(ISERROR(SEARCH("김지윤",H938)))</formula>
    </cfRule>
    <cfRule type="containsText" dxfId="307" priority="671" operator="containsText" text="전준영">
      <formula>NOT(ISERROR(SEARCH("전준영",H938)))</formula>
    </cfRule>
    <cfRule type="containsText" dxfId="306" priority="672" operator="containsText" text="차재성">
      <formula>NOT(ISERROR(SEARCH("차재성",H938)))</formula>
    </cfRule>
  </conditionalFormatting>
  <conditionalFormatting sqref="J2:J3">
    <cfRule type="containsText" dxfId="305" priority="661" operator="containsText" text="허하나로">
      <formula>NOT(ISERROR(SEARCH("허하나로",H1508)))</formula>
    </cfRule>
    <cfRule type="containsText" dxfId="304" priority="662" operator="containsText" text="한별">
      <formula>NOT(ISERROR(SEARCH("한별",H1508)))</formula>
    </cfRule>
    <cfRule type="containsText" dxfId="303" priority="663" operator="containsText" text="정홍조">
      <formula>NOT(ISERROR(SEARCH("정홍조",H1508)))</formula>
    </cfRule>
    <cfRule type="containsText" dxfId="302" priority="664" operator="containsText" text="김지윤">
      <formula>NOT(ISERROR(SEARCH("김지윤",H1508)))</formula>
    </cfRule>
    <cfRule type="containsText" dxfId="301" priority="665" operator="containsText" text="전준영">
      <formula>NOT(ISERROR(SEARCH("전준영",H1508)))</formula>
    </cfRule>
    <cfRule type="containsText" dxfId="300" priority="666" operator="containsText" text="차재성">
      <formula>NOT(ISERROR(SEARCH("차재성",H1508)))</formula>
    </cfRule>
  </conditionalFormatting>
  <conditionalFormatting sqref="J320:J321">
    <cfRule type="containsText" dxfId="299" priority="601" operator="containsText" text="허하나로">
      <formula>NOT(ISERROR(SEARCH("허하나로",H1280)))</formula>
    </cfRule>
    <cfRule type="containsText" dxfId="298" priority="602" operator="containsText" text="한별">
      <formula>NOT(ISERROR(SEARCH("한별",H1280)))</formula>
    </cfRule>
    <cfRule type="containsText" dxfId="297" priority="603" operator="containsText" text="정홍조">
      <formula>NOT(ISERROR(SEARCH("정홍조",H1280)))</formula>
    </cfRule>
    <cfRule type="containsText" dxfId="296" priority="604" operator="containsText" text="김지윤">
      <formula>NOT(ISERROR(SEARCH("김지윤",H1280)))</formula>
    </cfRule>
    <cfRule type="containsText" dxfId="295" priority="605" operator="containsText" text="전준영">
      <formula>NOT(ISERROR(SEARCH("전준영",H1280)))</formula>
    </cfRule>
    <cfRule type="containsText" dxfId="294" priority="606" operator="containsText" text="차재성">
      <formula>NOT(ISERROR(SEARCH("차재성",H1280)))</formula>
    </cfRule>
  </conditionalFormatting>
  <conditionalFormatting sqref="J322 J9">
    <cfRule type="containsText" dxfId="293" priority="595" operator="containsText" text="허하나로">
      <formula>NOT(ISERROR(SEARCH("허하나로",H968)))</formula>
    </cfRule>
    <cfRule type="containsText" dxfId="292" priority="596" operator="containsText" text="한별">
      <formula>NOT(ISERROR(SEARCH("한별",H968)))</formula>
    </cfRule>
    <cfRule type="containsText" dxfId="291" priority="597" operator="containsText" text="정홍조">
      <formula>NOT(ISERROR(SEARCH("정홍조",H968)))</formula>
    </cfRule>
    <cfRule type="containsText" dxfId="290" priority="598" operator="containsText" text="김지윤">
      <formula>NOT(ISERROR(SEARCH("김지윤",H968)))</formula>
    </cfRule>
    <cfRule type="containsText" dxfId="289" priority="599" operator="containsText" text="전준영">
      <formula>NOT(ISERROR(SEARCH("전준영",H968)))</formula>
    </cfRule>
    <cfRule type="containsText" dxfId="288" priority="600" operator="containsText" text="차재성">
      <formula>NOT(ISERROR(SEARCH("차재성",H968)))</formula>
    </cfRule>
  </conditionalFormatting>
  <conditionalFormatting sqref="J319">
    <cfRule type="containsText" dxfId="287" priority="589" operator="containsText" text="허하나로">
      <formula>NOT(ISERROR(SEARCH("허하나로",H1279)))</formula>
    </cfRule>
    <cfRule type="containsText" dxfId="286" priority="590" operator="containsText" text="한별">
      <formula>NOT(ISERROR(SEARCH("한별",H1279)))</formula>
    </cfRule>
    <cfRule type="containsText" dxfId="285" priority="591" operator="containsText" text="정홍조">
      <formula>NOT(ISERROR(SEARCH("정홍조",H1279)))</formula>
    </cfRule>
    <cfRule type="containsText" dxfId="284" priority="592" operator="containsText" text="김지윤">
      <formula>NOT(ISERROR(SEARCH("김지윤",H1279)))</formula>
    </cfRule>
    <cfRule type="containsText" dxfId="283" priority="593" operator="containsText" text="전준영">
      <formula>NOT(ISERROR(SEARCH("전준영",H1279)))</formula>
    </cfRule>
    <cfRule type="containsText" dxfId="282" priority="594" operator="containsText" text="차재성">
      <formula>NOT(ISERROR(SEARCH("차재성",H1279)))</formula>
    </cfRule>
  </conditionalFormatting>
  <conditionalFormatting sqref="J318">
    <cfRule type="containsText" dxfId="281" priority="583" operator="containsText" text="허하나로">
      <formula>NOT(ISERROR(SEARCH("허하나로",H1278)))</formula>
    </cfRule>
    <cfRule type="containsText" dxfId="280" priority="584" operator="containsText" text="한별">
      <formula>NOT(ISERROR(SEARCH("한별",H1278)))</formula>
    </cfRule>
    <cfRule type="containsText" dxfId="279" priority="585" operator="containsText" text="정홍조">
      <formula>NOT(ISERROR(SEARCH("정홍조",H1278)))</formula>
    </cfRule>
    <cfRule type="containsText" dxfId="278" priority="586" operator="containsText" text="김지윤">
      <formula>NOT(ISERROR(SEARCH("김지윤",H1278)))</formula>
    </cfRule>
    <cfRule type="containsText" dxfId="277" priority="587" operator="containsText" text="전준영">
      <formula>NOT(ISERROR(SEARCH("전준영",H1278)))</formula>
    </cfRule>
    <cfRule type="containsText" dxfId="276" priority="588" operator="containsText" text="차재성">
      <formula>NOT(ISERROR(SEARCH("차재성",H1278)))</formula>
    </cfRule>
  </conditionalFormatting>
  <conditionalFormatting sqref="J327:J328">
    <cfRule type="containsText" dxfId="275" priority="517" operator="containsText" text="허하나로">
      <formula>NOT(ISERROR(SEARCH("허하나로",H1319)))</formula>
    </cfRule>
    <cfRule type="containsText" dxfId="274" priority="518" operator="containsText" text="한별">
      <formula>NOT(ISERROR(SEARCH("한별",H1319)))</formula>
    </cfRule>
    <cfRule type="containsText" dxfId="273" priority="519" operator="containsText" text="정홍조">
      <formula>NOT(ISERROR(SEARCH("정홍조",H1319)))</formula>
    </cfRule>
    <cfRule type="containsText" dxfId="272" priority="520" operator="containsText" text="김지윤">
      <formula>NOT(ISERROR(SEARCH("김지윤",H1319)))</formula>
    </cfRule>
    <cfRule type="containsText" dxfId="271" priority="521" operator="containsText" text="전준영">
      <formula>NOT(ISERROR(SEARCH("전준영",H1319)))</formula>
    </cfRule>
    <cfRule type="containsText" dxfId="270" priority="522" operator="containsText" text="차재성">
      <formula>NOT(ISERROR(SEARCH("차재성",H1319)))</formula>
    </cfRule>
  </conditionalFormatting>
  <conditionalFormatting sqref="J326">
    <cfRule type="containsText" dxfId="269" priority="511" operator="containsText" text="허하나로">
      <formula>NOT(ISERROR(SEARCH("허하나로",H1318)))</formula>
    </cfRule>
    <cfRule type="containsText" dxfId="268" priority="512" operator="containsText" text="한별">
      <formula>NOT(ISERROR(SEARCH("한별",H1318)))</formula>
    </cfRule>
    <cfRule type="containsText" dxfId="267" priority="513" operator="containsText" text="정홍조">
      <formula>NOT(ISERROR(SEARCH("정홍조",H1318)))</formula>
    </cfRule>
    <cfRule type="containsText" dxfId="266" priority="514" operator="containsText" text="김지윤">
      <formula>NOT(ISERROR(SEARCH("김지윤",H1318)))</formula>
    </cfRule>
    <cfRule type="containsText" dxfId="265" priority="515" operator="containsText" text="전준영">
      <formula>NOT(ISERROR(SEARCH("전준영",H1318)))</formula>
    </cfRule>
    <cfRule type="containsText" dxfId="264" priority="516" operator="containsText" text="차재성">
      <formula>NOT(ISERROR(SEARCH("차재성",H1318)))</formula>
    </cfRule>
  </conditionalFormatting>
  <conditionalFormatting sqref="J325">
    <cfRule type="containsText" dxfId="263" priority="505" operator="containsText" text="허하나로">
      <formula>NOT(ISERROR(SEARCH("허하나로",H1319)))</formula>
    </cfRule>
    <cfRule type="containsText" dxfId="262" priority="506" operator="containsText" text="한별">
      <formula>NOT(ISERROR(SEARCH("한별",H1319)))</formula>
    </cfRule>
    <cfRule type="containsText" dxfId="261" priority="507" operator="containsText" text="정홍조">
      <formula>NOT(ISERROR(SEARCH("정홍조",H1319)))</formula>
    </cfRule>
    <cfRule type="containsText" dxfId="260" priority="508" operator="containsText" text="김지윤">
      <formula>NOT(ISERROR(SEARCH("김지윤",H1319)))</formula>
    </cfRule>
    <cfRule type="containsText" dxfId="259" priority="509" operator="containsText" text="전준영">
      <formula>NOT(ISERROR(SEARCH("전준영",H1319)))</formula>
    </cfRule>
    <cfRule type="containsText" dxfId="258" priority="510" operator="containsText" text="차재성">
      <formula>NOT(ISERROR(SEARCH("차재성",H1319)))</formula>
    </cfRule>
  </conditionalFormatting>
  <conditionalFormatting sqref="J329">
    <cfRule type="containsText" dxfId="257" priority="433" operator="containsText" text="허하나로">
      <formula>NOT(ISERROR(SEARCH("허하나로",H1320)))</formula>
    </cfRule>
    <cfRule type="containsText" dxfId="256" priority="434" operator="containsText" text="한별">
      <formula>NOT(ISERROR(SEARCH("한별",H1320)))</formula>
    </cfRule>
    <cfRule type="containsText" dxfId="255" priority="435" operator="containsText" text="정홍조">
      <formula>NOT(ISERROR(SEARCH("정홍조",H1320)))</formula>
    </cfRule>
    <cfRule type="containsText" dxfId="254" priority="436" operator="containsText" text="김지윤">
      <formula>NOT(ISERROR(SEARCH("김지윤",H1320)))</formula>
    </cfRule>
    <cfRule type="containsText" dxfId="253" priority="437" operator="containsText" text="전준영">
      <formula>NOT(ISERROR(SEARCH("전준영",H1320)))</formula>
    </cfRule>
    <cfRule type="containsText" dxfId="252" priority="438" operator="containsText" text="차재성">
      <formula>NOT(ISERROR(SEARCH("차재성",H1320)))</formula>
    </cfRule>
  </conditionalFormatting>
  <conditionalFormatting sqref="J330:J331">
    <cfRule type="containsText" dxfId="251" priority="337" operator="containsText" text="허하나로">
      <formula>NOT(ISERROR(SEARCH("허하나로",H1322)))</formula>
    </cfRule>
    <cfRule type="containsText" dxfId="250" priority="338" operator="containsText" text="한별">
      <formula>NOT(ISERROR(SEARCH("한별",H1322)))</formula>
    </cfRule>
    <cfRule type="containsText" dxfId="249" priority="339" operator="containsText" text="정홍조">
      <formula>NOT(ISERROR(SEARCH("정홍조",H1322)))</formula>
    </cfRule>
    <cfRule type="containsText" dxfId="248" priority="340" operator="containsText" text="김지윤">
      <formula>NOT(ISERROR(SEARCH("김지윤",H1322)))</formula>
    </cfRule>
    <cfRule type="containsText" dxfId="247" priority="341" operator="containsText" text="전준영">
      <formula>NOT(ISERROR(SEARCH("전준영",H1322)))</formula>
    </cfRule>
    <cfRule type="containsText" dxfId="246" priority="342" operator="containsText" text="차재성">
      <formula>NOT(ISERROR(SEARCH("차재성",H1322)))</formula>
    </cfRule>
  </conditionalFormatting>
  <conditionalFormatting sqref="J312">
    <cfRule type="containsText" dxfId="245" priority="283" operator="containsText" text="허하나로">
      <formula>NOT(ISERROR(SEARCH("허하나로",H1275)))</formula>
    </cfRule>
    <cfRule type="containsText" dxfId="244" priority="284" operator="containsText" text="한별">
      <formula>NOT(ISERROR(SEARCH("한별",H1275)))</formula>
    </cfRule>
    <cfRule type="containsText" dxfId="243" priority="285" operator="containsText" text="정홍조">
      <formula>NOT(ISERROR(SEARCH("정홍조",H1275)))</formula>
    </cfRule>
    <cfRule type="containsText" dxfId="242" priority="286" operator="containsText" text="김지윤">
      <formula>NOT(ISERROR(SEARCH("김지윤",H1275)))</formula>
    </cfRule>
    <cfRule type="containsText" dxfId="241" priority="287" operator="containsText" text="전준영">
      <formula>NOT(ISERROR(SEARCH("전준영",H1275)))</formula>
    </cfRule>
    <cfRule type="containsText" dxfId="240" priority="288" operator="containsText" text="차재성">
      <formula>NOT(ISERROR(SEARCH("차재성",H1275)))</formula>
    </cfRule>
  </conditionalFormatting>
  <conditionalFormatting sqref="J7">
    <cfRule type="containsText" dxfId="239" priority="157" operator="containsText" text="허하나로">
      <formula>NOT(ISERROR(SEARCH("허하나로",H770)))</formula>
    </cfRule>
    <cfRule type="containsText" dxfId="238" priority="158" operator="containsText" text="한별">
      <formula>NOT(ISERROR(SEARCH("한별",H770)))</formula>
    </cfRule>
    <cfRule type="containsText" dxfId="237" priority="159" operator="containsText" text="정홍조">
      <formula>NOT(ISERROR(SEARCH("정홍조",H770)))</formula>
    </cfRule>
    <cfRule type="containsText" dxfId="236" priority="160" operator="containsText" text="김지윤">
      <formula>NOT(ISERROR(SEARCH("김지윤",H770)))</formula>
    </cfRule>
    <cfRule type="containsText" dxfId="235" priority="161" operator="containsText" text="전준영">
      <formula>NOT(ISERROR(SEARCH("전준영",H770)))</formula>
    </cfRule>
    <cfRule type="containsText" dxfId="234" priority="162" operator="containsText" text="차재성">
      <formula>NOT(ISERROR(SEARCH("차재성",H770)))</formula>
    </cfRule>
  </conditionalFormatting>
  <conditionalFormatting sqref="J20">
    <cfRule type="containsText" dxfId="233" priority="151" operator="containsText" text="허하나로">
      <formula>NOT(ISERROR(SEARCH("허하나로",H979)))</formula>
    </cfRule>
    <cfRule type="containsText" dxfId="232" priority="152" operator="containsText" text="한별">
      <formula>NOT(ISERROR(SEARCH("한별",H979)))</formula>
    </cfRule>
    <cfRule type="containsText" dxfId="231" priority="153" operator="containsText" text="정홍조">
      <formula>NOT(ISERROR(SEARCH("정홍조",H979)))</formula>
    </cfRule>
    <cfRule type="containsText" dxfId="230" priority="154" operator="containsText" text="김지윤">
      <formula>NOT(ISERROR(SEARCH("김지윤",H979)))</formula>
    </cfRule>
    <cfRule type="containsText" dxfId="229" priority="155" operator="containsText" text="전준영">
      <formula>NOT(ISERROR(SEARCH("전준영",H979)))</formula>
    </cfRule>
    <cfRule type="containsText" dxfId="228" priority="156" operator="containsText" text="차재성">
      <formula>NOT(ISERROR(SEARCH("차재성",H979)))</formula>
    </cfRule>
  </conditionalFormatting>
  <conditionalFormatting sqref="J132:J133">
    <cfRule type="containsText" dxfId="227" priority="145" operator="containsText" text="허하나로">
      <formula>NOT(ISERROR(SEARCH("허하나로",H1133)))</formula>
    </cfRule>
    <cfRule type="containsText" dxfId="226" priority="146" operator="containsText" text="한별">
      <formula>NOT(ISERROR(SEARCH("한별",H1133)))</formula>
    </cfRule>
    <cfRule type="containsText" dxfId="225" priority="147" operator="containsText" text="정홍조">
      <formula>NOT(ISERROR(SEARCH("정홍조",H1133)))</formula>
    </cfRule>
    <cfRule type="containsText" dxfId="224" priority="148" operator="containsText" text="김지윤">
      <formula>NOT(ISERROR(SEARCH("김지윤",H1133)))</formula>
    </cfRule>
    <cfRule type="containsText" dxfId="223" priority="149" operator="containsText" text="전준영">
      <formula>NOT(ISERROR(SEARCH("전준영",H1133)))</formula>
    </cfRule>
    <cfRule type="containsText" dxfId="222" priority="150" operator="containsText" text="차재성">
      <formula>NOT(ISERROR(SEARCH("차재성",H1133)))</formula>
    </cfRule>
  </conditionalFormatting>
  <conditionalFormatting sqref="J125:J127">
    <cfRule type="containsText" dxfId="221" priority="139" operator="containsText" text="허하나로">
      <formula>NOT(ISERROR(SEARCH("허하나로",H1130)))</formula>
    </cfRule>
    <cfRule type="containsText" dxfId="220" priority="140" operator="containsText" text="한별">
      <formula>NOT(ISERROR(SEARCH("한별",H1130)))</formula>
    </cfRule>
    <cfRule type="containsText" dxfId="219" priority="141" operator="containsText" text="정홍조">
      <formula>NOT(ISERROR(SEARCH("정홍조",H1130)))</formula>
    </cfRule>
    <cfRule type="containsText" dxfId="218" priority="142" operator="containsText" text="김지윤">
      <formula>NOT(ISERROR(SEARCH("김지윤",H1130)))</formula>
    </cfRule>
    <cfRule type="containsText" dxfId="217" priority="143" operator="containsText" text="전준영">
      <formula>NOT(ISERROR(SEARCH("전준영",H1130)))</formula>
    </cfRule>
    <cfRule type="containsText" dxfId="216" priority="144" operator="containsText" text="차재성">
      <formula>NOT(ISERROR(SEARCH("차재성",H1130)))</formula>
    </cfRule>
  </conditionalFormatting>
  <conditionalFormatting sqref="J113:J118">
    <cfRule type="containsText" dxfId="215" priority="163" operator="containsText" text="허하나로">
      <formula>NOT(ISERROR(SEARCH("허하나로",H1110)))</formula>
    </cfRule>
    <cfRule type="containsText" dxfId="214" priority="164" operator="containsText" text="한별">
      <formula>NOT(ISERROR(SEARCH("한별",H1110)))</formula>
    </cfRule>
    <cfRule type="containsText" dxfId="213" priority="165" operator="containsText" text="정홍조">
      <formula>NOT(ISERROR(SEARCH("정홍조",H1110)))</formula>
    </cfRule>
    <cfRule type="containsText" dxfId="212" priority="166" operator="containsText" text="김지윤">
      <formula>NOT(ISERROR(SEARCH("김지윤",H1110)))</formula>
    </cfRule>
    <cfRule type="containsText" dxfId="211" priority="167" operator="containsText" text="전준영">
      <formula>NOT(ISERROR(SEARCH("전준영",H1110)))</formula>
    </cfRule>
    <cfRule type="containsText" dxfId="210" priority="168" operator="containsText" text="차재성">
      <formula>NOT(ISERROR(SEARCH("차재성",H1110)))</formula>
    </cfRule>
  </conditionalFormatting>
  <conditionalFormatting sqref="J119:J121">
    <cfRule type="containsText" dxfId="209" priority="169" operator="containsText" text="허하나로">
      <formula>NOT(ISERROR(SEARCH("허하나로",H1117)))</formula>
    </cfRule>
    <cfRule type="containsText" dxfId="208" priority="170" operator="containsText" text="한별">
      <formula>NOT(ISERROR(SEARCH("한별",H1117)))</formula>
    </cfRule>
    <cfRule type="containsText" dxfId="207" priority="171" operator="containsText" text="정홍조">
      <formula>NOT(ISERROR(SEARCH("정홍조",H1117)))</formula>
    </cfRule>
    <cfRule type="containsText" dxfId="206" priority="172" operator="containsText" text="김지윤">
      <formula>NOT(ISERROR(SEARCH("김지윤",H1117)))</formula>
    </cfRule>
    <cfRule type="containsText" dxfId="205" priority="173" operator="containsText" text="전준영">
      <formula>NOT(ISERROR(SEARCH("전준영",H1117)))</formula>
    </cfRule>
    <cfRule type="containsText" dxfId="204" priority="174" operator="containsText" text="차재성">
      <formula>NOT(ISERROR(SEARCH("차재성",H1117)))</formula>
    </cfRule>
  </conditionalFormatting>
  <conditionalFormatting sqref="J124">
    <cfRule type="containsText" dxfId="203" priority="175" operator="containsText" text="허하나로">
      <formula>NOT(ISERROR(SEARCH("허하나로",H1125)))</formula>
    </cfRule>
    <cfRule type="containsText" dxfId="202" priority="176" operator="containsText" text="한별">
      <formula>NOT(ISERROR(SEARCH("한별",H1125)))</formula>
    </cfRule>
    <cfRule type="containsText" dxfId="201" priority="177" operator="containsText" text="정홍조">
      <formula>NOT(ISERROR(SEARCH("정홍조",H1125)))</formula>
    </cfRule>
    <cfRule type="containsText" dxfId="200" priority="178" operator="containsText" text="김지윤">
      <formula>NOT(ISERROR(SEARCH("김지윤",H1125)))</formula>
    </cfRule>
    <cfRule type="containsText" dxfId="199" priority="179" operator="containsText" text="전준영">
      <formula>NOT(ISERROR(SEARCH("전준영",H1125)))</formula>
    </cfRule>
    <cfRule type="containsText" dxfId="198" priority="180" operator="containsText" text="차재성">
      <formula>NOT(ISERROR(SEARCH("차재성",H1125)))</formula>
    </cfRule>
  </conditionalFormatting>
  <conditionalFormatting sqref="J122:J123">
    <cfRule type="containsText" dxfId="197" priority="181" operator="containsText" text="허하나로">
      <formula>NOT(ISERROR(SEARCH("허하나로",H1122)))</formula>
    </cfRule>
    <cfRule type="containsText" dxfId="196" priority="182" operator="containsText" text="한별">
      <formula>NOT(ISERROR(SEARCH("한별",H1122)))</formula>
    </cfRule>
    <cfRule type="containsText" dxfId="195" priority="183" operator="containsText" text="정홍조">
      <formula>NOT(ISERROR(SEARCH("정홍조",H1122)))</formula>
    </cfRule>
    <cfRule type="containsText" dxfId="194" priority="184" operator="containsText" text="김지윤">
      <formula>NOT(ISERROR(SEARCH("김지윤",H1122)))</formula>
    </cfRule>
    <cfRule type="containsText" dxfId="193" priority="185" operator="containsText" text="전준영">
      <formula>NOT(ISERROR(SEARCH("전준영",H1122)))</formula>
    </cfRule>
    <cfRule type="containsText" dxfId="192" priority="186" operator="containsText" text="차재성">
      <formula>NOT(ISERROR(SEARCH("차재성",H1122)))</formula>
    </cfRule>
  </conditionalFormatting>
  <conditionalFormatting sqref="J128:J131">
    <cfRule type="containsText" dxfId="191" priority="187" operator="containsText" text="허하나로">
      <formula>NOT(ISERROR(SEARCH("허하나로",H1132)))</formula>
    </cfRule>
    <cfRule type="containsText" dxfId="190" priority="188" operator="containsText" text="한별">
      <formula>NOT(ISERROR(SEARCH("한별",H1132)))</formula>
    </cfRule>
    <cfRule type="containsText" dxfId="189" priority="189" operator="containsText" text="정홍조">
      <formula>NOT(ISERROR(SEARCH("정홍조",H1132)))</formula>
    </cfRule>
    <cfRule type="containsText" dxfId="188" priority="190" operator="containsText" text="김지윤">
      <formula>NOT(ISERROR(SEARCH("김지윤",H1132)))</formula>
    </cfRule>
    <cfRule type="containsText" dxfId="187" priority="191" operator="containsText" text="전준영">
      <formula>NOT(ISERROR(SEARCH("전준영",H1132)))</formula>
    </cfRule>
    <cfRule type="containsText" dxfId="186" priority="192" operator="containsText" text="차재성">
      <formula>NOT(ISERROR(SEARCH("차재성",H1132)))</formula>
    </cfRule>
  </conditionalFormatting>
  <conditionalFormatting sqref="J100:J112">
    <cfRule type="containsText" dxfId="185" priority="193" operator="containsText" text="허하나로">
      <formula>NOT(ISERROR(SEARCH("허하나로",H1096)))</formula>
    </cfRule>
    <cfRule type="containsText" dxfId="184" priority="194" operator="containsText" text="한별">
      <formula>NOT(ISERROR(SEARCH("한별",H1096)))</formula>
    </cfRule>
    <cfRule type="containsText" dxfId="183" priority="195" operator="containsText" text="정홍조">
      <formula>NOT(ISERROR(SEARCH("정홍조",H1096)))</formula>
    </cfRule>
    <cfRule type="containsText" dxfId="182" priority="196" operator="containsText" text="김지윤">
      <formula>NOT(ISERROR(SEARCH("김지윤",H1096)))</formula>
    </cfRule>
    <cfRule type="containsText" dxfId="181" priority="197" operator="containsText" text="전준영">
      <formula>NOT(ISERROR(SEARCH("전준영",H1096)))</formula>
    </cfRule>
    <cfRule type="containsText" dxfId="180" priority="198" operator="containsText" text="차재성">
      <formula>NOT(ISERROR(SEARCH("차재성",H1096)))</formula>
    </cfRule>
  </conditionalFormatting>
  <conditionalFormatting sqref="J134">
    <cfRule type="containsText" dxfId="179" priority="91" operator="containsText" text="허하나로">
      <formula>NOT(ISERROR(SEARCH("허하나로",H862)))</formula>
    </cfRule>
    <cfRule type="containsText" dxfId="178" priority="92" operator="containsText" text="한별">
      <formula>NOT(ISERROR(SEARCH("한별",H862)))</formula>
    </cfRule>
    <cfRule type="containsText" dxfId="177" priority="93" operator="containsText" text="정홍조">
      <formula>NOT(ISERROR(SEARCH("정홍조",H862)))</formula>
    </cfRule>
    <cfRule type="containsText" dxfId="176" priority="94" operator="containsText" text="김지윤">
      <formula>NOT(ISERROR(SEARCH("김지윤",H862)))</formula>
    </cfRule>
    <cfRule type="containsText" dxfId="175" priority="95" operator="containsText" text="전준영">
      <formula>NOT(ISERROR(SEARCH("전준영",H862)))</formula>
    </cfRule>
    <cfRule type="containsText" dxfId="174" priority="96" operator="containsText" text="차재성">
      <formula>NOT(ISERROR(SEARCH("차재성",H862)))</formula>
    </cfRule>
  </conditionalFormatting>
  <conditionalFormatting sqref="J149">
    <cfRule type="containsText" dxfId="173" priority="85" operator="containsText" text="허하나로">
      <formula>NOT(ISERROR(SEARCH("허하나로",H1072)))</formula>
    </cfRule>
    <cfRule type="containsText" dxfId="172" priority="86" operator="containsText" text="한별">
      <formula>NOT(ISERROR(SEARCH("한별",H1072)))</formula>
    </cfRule>
    <cfRule type="containsText" dxfId="171" priority="87" operator="containsText" text="정홍조">
      <formula>NOT(ISERROR(SEARCH("정홍조",H1072)))</formula>
    </cfRule>
    <cfRule type="containsText" dxfId="170" priority="88" operator="containsText" text="김지윤">
      <formula>NOT(ISERROR(SEARCH("김지윤",H1072)))</formula>
    </cfRule>
    <cfRule type="containsText" dxfId="169" priority="89" operator="containsText" text="전준영">
      <formula>NOT(ISERROR(SEARCH("전준영",H1072)))</formula>
    </cfRule>
    <cfRule type="containsText" dxfId="168" priority="90" operator="containsText" text="차재성">
      <formula>NOT(ISERROR(SEARCH("차재성",H1072)))</formula>
    </cfRule>
  </conditionalFormatting>
  <conditionalFormatting sqref="J209:J218">
    <cfRule type="containsText" dxfId="167" priority="97" operator="containsText" text="허하나로">
      <formula>NOT(ISERROR(SEARCH("허하나로",H1198)))</formula>
    </cfRule>
    <cfRule type="containsText" dxfId="166" priority="98" operator="containsText" text="한별">
      <formula>NOT(ISERROR(SEARCH("한별",H1198)))</formula>
    </cfRule>
    <cfRule type="containsText" dxfId="165" priority="99" operator="containsText" text="정홍조">
      <formula>NOT(ISERROR(SEARCH("정홍조",H1198)))</formula>
    </cfRule>
    <cfRule type="containsText" dxfId="164" priority="100" operator="containsText" text="김지윤">
      <formula>NOT(ISERROR(SEARCH("김지윤",H1198)))</formula>
    </cfRule>
    <cfRule type="containsText" dxfId="163" priority="101" operator="containsText" text="전준영">
      <formula>NOT(ISERROR(SEARCH("전준영",H1198)))</formula>
    </cfRule>
    <cfRule type="containsText" dxfId="162" priority="102" operator="containsText" text="차재성">
      <formula>NOT(ISERROR(SEARCH("차재성",H1198)))</formula>
    </cfRule>
  </conditionalFormatting>
  <conditionalFormatting sqref="J219:J221">
    <cfRule type="containsText" dxfId="161" priority="103" operator="containsText" text="허하나로">
      <formula>NOT(ISERROR(SEARCH("허하나로",H1209)))</formula>
    </cfRule>
    <cfRule type="containsText" dxfId="160" priority="104" operator="containsText" text="한별">
      <formula>NOT(ISERROR(SEARCH("한별",H1209)))</formula>
    </cfRule>
    <cfRule type="containsText" dxfId="159" priority="105" operator="containsText" text="정홍조">
      <formula>NOT(ISERROR(SEARCH("정홍조",H1209)))</formula>
    </cfRule>
    <cfRule type="containsText" dxfId="158" priority="106" operator="containsText" text="김지윤">
      <formula>NOT(ISERROR(SEARCH("김지윤",H1209)))</formula>
    </cfRule>
    <cfRule type="containsText" dxfId="157" priority="107" operator="containsText" text="전준영">
      <formula>NOT(ISERROR(SEARCH("전준영",H1209)))</formula>
    </cfRule>
    <cfRule type="containsText" dxfId="156" priority="108" operator="containsText" text="차재성">
      <formula>NOT(ISERROR(SEARCH("차재성",H1209)))</formula>
    </cfRule>
  </conditionalFormatting>
  <conditionalFormatting sqref="J224">
    <cfRule type="containsText" dxfId="155" priority="109" operator="containsText" text="허하나로">
      <formula>NOT(ISERROR(SEARCH("허하나로",H1217)))</formula>
    </cfRule>
    <cfRule type="containsText" dxfId="154" priority="110" operator="containsText" text="한별">
      <formula>NOT(ISERROR(SEARCH("한별",H1217)))</formula>
    </cfRule>
    <cfRule type="containsText" dxfId="153" priority="111" operator="containsText" text="정홍조">
      <formula>NOT(ISERROR(SEARCH("정홍조",H1217)))</formula>
    </cfRule>
    <cfRule type="containsText" dxfId="152" priority="112" operator="containsText" text="김지윤">
      <formula>NOT(ISERROR(SEARCH("김지윤",H1217)))</formula>
    </cfRule>
    <cfRule type="containsText" dxfId="151" priority="113" operator="containsText" text="전준영">
      <formula>NOT(ISERROR(SEARCH("전준영",H1217)))</formula>
    </cfRule>
    <cfRule type="containsText" dxfId="150" priority="114" operator="containsText" text="차재성">
      <formula>NOT(ISERROR(SEARCH("차재성",H1217)))</formula>
    </cfRule>
  </conditionalFormatting>
  <conditionalFormatting sqref="J222:J223">
    <cfRule type="containsText" dxfId="149" priority="115" operator="containsText" text="허하나로">
      <formula>NOT(ISERROR(SEARCH("허하나로",H1214)))</formula>
    </cfRule>
    <cfRule type="containsText" dxfId="148" priority="116" operator="containsText" text="한별">
      <formula>NOT(ISERROR(SEARCH("한별",H1214)))</formula>
    </cfRule>
    <cfRule type="containsText" dxfId="147" priority="117" operator="containsText" text="정홍조">
      <formula>NOT(ISERROR(SEARCH("정홍조",H1214)))</formula>
    </cfRule>
    <cfRule type="containsText" dxfId="146" priority="118" operator="containsText" text="김지윤">
      <formula>NOT(ISERROR(SEARCH("김지윤",H1214)))</formula>
    </cfRule>
    <cfRule type="containsText" dxfId="145" priority="119" operator="containsText" text="전준영">
      <formula>NOT(ISERROR(SEARCH("전준영",H1214)))</formula>
    </cfRule>
    <cfRule type="containsText" dxfId="144" priority="120" operator="containsText" text="차재성">
      <formula>NOT(ISERROR(SEARCH("차재성",H1214)))</formula>
    </cfRule>
  </conditionalFormatting>
  <conditionalFormatting sqref="J136">
    <cfRule type="containsText" dxfId="143" priority="121" operator="containsText" text="허하나로">
      <formula>NOT(ISERROR(SEARCH("허하나로",H1060)))</formula>
    </cfRule>
    <cfRule type="containsText" dxfId="142" priority="122" operator="containsText" text="한별">
      <formula>NOT(ISERROR(SEARCH("한별",H1060)))</formula>
    </cfRule>
    <cfRule type="containsText" dxfId="141" priority="123" operator="containsText" text="정홍조">
      <formula>NOT(ISERROR(SEARCH("정홍조",H1060)))</formula>
    </cfRule>
    <cfRule type="containsText" dxfId="140" priority="124" operator="containsText" text="김지윤">
      <formula>NOT(ISERROR(SEARCH("김지윤",H1060)))</formula>
    </cfRule>
    <cfRule type="containsText" dxfId="139" priority="125" operator="containsText" text="전준영">
      <formula>NOT(ISERROR(SEARCH("전준영",H1060)))</formula>
    </cfRule>
    <cfRule type="containsText" dxfId="138" priority="126" operator="containsText" text="차재성">
      <formula>NOT(ISERROR(SEARCH("차재성",H1060)))</formula>
    </cfRule>
  </conditionalFormatting>
  <conditionalFormatting sqref="J201:J207">
    <cfRule type="containsText" dxfId="137" priority="127" operator="containsText" text="허하나로">
      <formula>NOT(ISERROR(SEARCH("허하나로",H1188)))</formula>
    </cfRule>
    <cfRule type="containsText" dxfId="136" priority="128" operator="containsText" text="한별">
      <formula>NOT(ISERROR(SEARCH("한별",H1188)))</formula>
    </cfRule>
    <cfRule type="containsText" dxfId="135" priority="129" operator="containsText" text="정홍조">
      <formula>NOT(ISERROR(SEARCH("정홍조",H1188)))</formula>
    </cfRule>
    <cfRule type="containsText" dxfId="134" priority="130" operator="containsText" text="김지윤">
      <formula>NOT(ISERROR(SEARCH("김지윤",H1188)))</formula>
    </cfRule>
    <cfRule type="containsText" dxfId="133" priority="131" operator="containsText" text="전준영">
      <formula>NOT(ISERROR(SEARCH("전준영",H1188)))</formula>
    </cfRule>
    <cfRule type="containsText" dxfId="132" priority="132" operator="containsText" text="차재성">
      <formula>NOT(ISERROR(SEARCH("차재성",H1188)))</formula>
    </cfRule>
  </conditionalFormatting>
  <conditionalFormatting sqref="J208">
    <cfRule type="containsText" dxfId="131" priority="133" operator="containsText" text="허하나로">
      <formula>NOT(ISERROR(SEARCH("허하나로",H1196)))</formula>
    </cfRule>
    <cfRule type="containsText" dxfId="130" priority="134" operator="containsText" text="한별">
      <formula>NOT(ISERROR(SEARCH("한별",H1196)))</formula>
    </cfRule>
    <cfRule type="containsText" dxfId="129" priority="135" operator="containsText" text="정홍조">
      <formula>NOT(ISERROR(SEARCH("정홍조",H1196)))</formula>
    </cfRule>
    <cfRule type="containsText" dxfId="128" priority="136" operator="containsText" text="김지윤">
      <formula>NOT(ISERROR(SEARCH("김지윤",H1196)))</formula>
    </cfRule>
    <cfRule type="containsText" dxfId="127" priority="137" operator="containsText" text="전준영">
      <formula>NOT(ISERROR(SEARCH("전준영",H1196)))</formula>
    </cfRule>
    <cfRule type="containsText" dxfId="126" priority="138" operator="containsText" text="차재성">
      <formula>NOT(ISERROR(SEARCH("차재성",H1196)))</formula>
    </cfRule>
  </conditionalFormatting>
  <conditionalFormatting sqref="J225">
    <cfRule type="containsText" dxfId="125" priority="79" operator="containsText" text="허하나로">
      <formula>NOT(ISERROR(SEARCH("허하나로",H1218)))</formula>
    </cfRule>
    <cfRule type="containsText" dxfId="124" priority="80" operator="containsText" text="한별">
      <formula>NOT(ISERROR(SEARCH("한별",H1218)))</formula>
    </cfRule>
    <cfRule type="containsText" dxfId="123" priority="81" operator="containsText" text="정홍조">
      <formula>NOT(ISERROR(SEARCH("정홍조",H1218)))</formula>
    </cfRule>
    <cfRule type="containsText" dxfId="122" priority="82" operator="containsText" text="김지윤">
      <formula>NOT(ISERROR(SEARCH("김지윤",H1218)))</formula>
    </cfRule>
    <cfRule type="containsText" dxfId="121" priority="83" operator="containsText" text="전준영">
      <formula>NOT(ISERROR(SEARCH("전준영",H1218)))</formula>
    </cfRule>
    <cfRule type="containsText" dxfId="120" priority="84" operator="containsText" text="차재성">
      <formula>NOT(ISERROR(SEARCH("차재성",H1218)))</formula>
    </cfRule>
  </conditionalFormatting>
  <conditionalFormatting sqref="J227">
    <cfRule type="containsText" dxfId="119" priority="73" operator="containsText" text="허하나로">
      <formula>NOT(ISERROR(SEARCH("허하나로",H1219)))</formula>
    </cfRule>
    <cfRule type="containsText" dxfId="118" priority="74" operator="containsText" text="한별">
      <formula>NOT(ISERROR(SEARCH("한별",H1219)))</formula>
    </cfRule>
    <cfRule type="containsText" dxfId="117" priority="75" operator="containsText" text="정홍조">
      <formula>NOT(ISERROR(SEARCH("정홍조",H1219)))</formula>
    </cfRule>
    <cfRule type="containsText" dxfId="116" priority="76" operator="containsText" text="김지윤">
      <formula>NOT(ISERROR(SEARCH("김지윤",H1219)))</formula>
    </cfRule>
    <cfRule type="containsText" dxfId="115" priority="77" operator="containsText" text="전준영">
      <formula>NOT(ISERROR(SEARCH("전준영",H1219)))</formula>
    </cfRule>
    <cfRule type="containsText" dxfId="114" priority="78" operator="containsText" text="차재성">
      <formula>NOT(ISERROR(SEARCH("차재성",H1219)))</formula>
    </cfRule>
  </conditionalFormatting>
  <conditionalFormatting sqref="J228">
    <cfRule type="containsText" dxfId="113" priority="67" operator="containsText" text="허하나로">
      <formula>NOT(ISERROR(SEARCH("허하나로",H1220)))</formula>
    </cfRule>
    <cfRule type="containsText" dxfId="112" priority="68" operator="containsText" text="한별">
      <formula>NOT(ISERROR(SEARCH("한별",H1220)))</formula>
    </cfRule>
    <cfRule type="containsText" dxfId="111" priority="69" operator="containsText" text="정홍조">
      <formula>NOT(ISERROR(SEARCH("정홍조",H1220)))</formula>
    </cfRule>
    <cfRule type="containsText" dxfId="110" priority="70" operator="containsText" text="김지윤">
      <formula>NOT(ISERROR(SEARCH("김지윤",H1220)))</formula>
    </cfRule>
    <cfRule type="containsText" dxfId="109" priority="71" operator="containsText" text="전준영">
      <formula>NOT(ISERROR(SEARCH("전준영",H1220)))</formula>
    </cfRule>
    <cfRule type="containsText" dxfId="108" priority="72" operator="containsText" text="차재성">
      <formula>NOT(ISERROR(SEARCH("차재성",H1220)))</formula>
    </cfRule>
  </conditionalFormatting>
  <conditionalFormatting sqref="J226">
    <cfRule type="containsText" dxfId="107" priority="61" operator="containsText" text="허하나로">
      <formula>NOT(ISERROR(SEARCH("허하나로",H1218)))</formula>
    </cfRule>
    <cfRule type="containsText" dxfId="106" priority="62" operator="containsText" text="한별">
      <formula>NOT(ISERROR(SEARCH("한별",H1218)))</formula>
    </cfRule>
    <cfRule type="containsText" dxfId="105" priority="63" operator="containsText" text="정홍조">
      <formula>NOT(ISERROR(SEARCH("정홍조",H1218)))</formula>
    </cfRule>
    <cfRule type="containsText" dxfId="104" priority="64" operator="containsText" text="김지윤">
      <formula>NOT(ISERROR(SEARCH("김지윤",H1218)))</formula>
    </cfRule>
    <cfRule type="containsText" dxfId="103" priority="65" operator="containsText" text="전준영">
      <formula>NOT(ISERROR(SEARCH("전준영",H1218)))</formula>
    </cfRule>
    <cfRule type="containsText" dxfId="102" priority="66" operator="containsText" text="차재성">
      <formula>NOT(ISERROR(SEARCH("차재성",H1218)))</formula>
    </cfRule>
  </conditionalFormatting>
  <conditionalFormatting sqref="J266:J279 J281:J284 J296:J297">
    <cfRule type="containsText" dxfId="101" priority="25" operator="containsText" text="허하나로">
      <formula>NOT(ISERROR(SEARCH("허하나로",H1419)))</formula>
    </cfRule>
    <cfRule type="containsText" dxfId="100" priority="26" operator="containsText" text="한별">
      <formula>NOT(ISERROR(SEARCH("한별",H1419)))</formula>
    </cfRule>
    <cfRule type="containsText" dxfId="99" priority="27" operator="containsText" text="정홍조">
      <formula>NOT(ISERROR(SEARCH("정홍조",H1419)))</formula>
    </cfRule>
    <cfRule type="containsText" dxfId="98" priority="28" operator="containsText" text="김지윤">
      <formula>NOT(ISERROR(SEARCH("김지윤",H1419)))</formula>
    </cfRule>
    <cfRule type="containsText" dxfId="97" priority="29" operator="containsText" text="전준영">
      <formula>NOT(ISERROR(SEARCH("전준영",H1419)))</formula>
    </cfRule>
    <cfRule type="containsText" dxfId="96" priority="30" operator="containsText" text="차재성">
      <formula>NOT(ISERROR(SEARCH("차재성",H1419)))</formula>
    </cfRule>
  </conditionalFormatting>
  <conditionalFormatting sqref="J230:J246">
    <cfRule type="containsText" dxfId="95" priority="19" operator="containsText" text="허하나로">
      <formula>NOT(ISERROR(SEARCH("허하나로",H1380)))</formula>
    </cfRule>
    <cfRule type="containsText" dxfId="94" priority="20" operator="containsText" text="한별">
      <formula>NOT(ISERROR(SEARCH("한별",H1380)))</formula>
    </cfRule>
    <cfRule type="containsText" dxfId="93" priority="21" operator="containsText" text="정홍조">
      <formula>NOT(ISERROR(SEARCH("정홍조",H1380)))</formula>
    </cfRule>
    <cfRule type="containsText" dxfId="92" priority="22" operator="containsText" text="김지윤">
      <formula>NOT(ISERROR(SEARCH("김지윤",H1380)))</formula>
    </cfRule>
    <cfRule type="containsText" dxfId="91" priority="23" operator="containsText" text="전준영">
      <formula>NOT(ISERROR(SEARCH("전준영",H1380)))</formula>
    </cfRule>
    <cfRule type="containsText" dxfId="90" priority="24" operator="containsText" text="차재성">
      <formula>NOT(ISERROR(SEARCH("차재성",H1380)))</formula>
    </cfRule>
  </conditionalFormatting>
  <conditionalFormatting sqref="J280">
    <cfRule type="containsText" dxfId="89" priority="13" operator="containsText" text="허하나로">
      <formula>NOT(ISERROR(SEARCH("허하나로",H1433)))</formula>
    </cfRule>
    <cfRule type="containsText" dxfId="88" priority="14" operator="containsText" text="한별">
      <formula>NOT(ISERROR(SEARCH("한별",H1433)))</formula>
    </cfRule>
    <cfRule type="containsText" dxfId="87" priority="15" operator="containsText" text="정홍조">
      <formula>NOT(ISERROR(SEARCH("정홍조",H1433)))</formula>
    </cfRule>
    <cfRule type="containsText" dxfId="86" priority="16" operator="containsText" text="김지윤">
      <formula>NOT(ISERROR(SEARCH("김지윤",H1433)))</formula>
    </cfRule>
    <cfRule type="containsText" dxfId="85" priority="17" operator="containsText" text="전준영">
      <formula>NOT(ISERROR(SEARCH("전준영",H1433)))</formula>
    </cfRule>
    <cfRule type="containsText" dxfId="84" priority="18" operator="containsText" text="차재성">
      <formula>NOT(ISERROR(SEARCH("차재성",H1433)))</formula>
    </cfRule>
  </conditionalFormatting>
  <conditionalFormatting sqref="J229">
    <cfRule type="containsText" dxfId="83" priority="7" operator="containsText" text="허하나로">
      <formula>NOT(ISERROR(SEARCH("허하나로",H1185)))</formula>
    </cfRule>
    <cfRule type="containsText" dxfId="82" priority="8" operator="containsText" text="한별">
      <formula>NOT(ISERROR(SEARCH("한별",H1185)))</formula>
    </cfRule>
    <cfRule type="containsText" dxfId="81" priority="9" operator="containsText" text="정홍조">
      <formula>NOT(ISERROR(SEARCH("정홍조",H1185)))</formula>
    </cfRule>
    <cfRule type="containsText" dxfId="80" priority="10" operator="containsText" text="김지윤">
      <formula>NOT(ISERROR(SEARCH("김지윤",H1185)))</formula>
    </cfRule>
    <cfRule type="containsText" dxfId="79" priority="11" operator="containsText" text="전준영">
      <formula>NOT(ISERROR(SEARCH("전준영",H1185)))</formula>
    </cfRule>
    <cfRule type="containsText" dxfId="78" priority="12" operator="containsText" text="차재성">
      <formula>NOT(ISERROR(SEARCH("차재성",H1185)))</formula>
    </cfRule>
  </conditionalFormatting>
  <conditionalFormatting sqref="J299:J304 J247:J248 J251:J261">
    <cfRule type="containsText" dxfId="77" priority="31" operator="containsText" text="허하나로">
      <formula>NOT(ISERROR(SEARCH("허하나로",H1398)))</formula>
    </cfRule>
    <cfRule type="containsText" dxfId="76" priority="32" operator="containsText" text="한별">
      <formula>NOT(ISERROR(SEARCH("한별",H1398)))</formula>
    </cfRule>
    <cfRule type="containsText" dxfId="75" priority="33" operator="containsText" text="정홍조">
      <formula>NOT(ISERROR(SEARCH("정홍조",H1398)))</formula>
    </cfRule>
    <cfRule type="containsText" dxfId="74" priority="34" operator="containsText" text="김지윤">
      <formula>NOT(ISERROR(SEARCH("김지윤",H1398)))</formula>
    </cfRule>
    <cfRule type="containsText" dxfId="73" priority="35" operator="containsText" text="전준영">
      <formula>NOT(ISERROR(SEARCH("전준영",H1398)))</formula>
    </cfRule>
    <cfRule type="containsText" dxfId="72" priority="36" operator="containsText" text="차재성">
      <formula>NOT(ISERROR(SEARCH("차재성",H1398)))</formula>
    </cfRule>
  </conditionalFormatting>
  <conditionalFormatting sqref="J285:J295">
    <cfRule type="containsText" dxfId="71" priority="37" operator="containsText" text="허하나로">
      <formula>NOT(ISERROR(SEARCH("허하나로",H1440)))</formula>
    </cfRule>
    <cfRule type="containsText" dxfId="70" priority="38" operator="containsText" text="한별">
      <formula>NOT(ISERROR(SEARCH("한별",H1440)))</formula>
    </cfRule>
    <cfRule type="containsText" dxfId="69" priority="39" operator="containsText" text="정홍조">
      <formula>NOT(ISERROR(SEARCH("정홍조",H1440)))</formula>
    </cfRule>
    <cfRule type="containsText" dxfId="68" priority="40" operator="containsText" text="김지윤">
      <formula>NOT(ISERROR(SEARCH("김지윤",H1440)))</formula>
    </cfRule>
    <cfRule type="containsText" dxfId="67" priority="41" operator="containsText" text="전준영">
      <formula>NOT(ISERROR(SEARCH("전준영",H1440)))</formula>
    </cfRule>
    <cfRule type="containsText" dxfId="66" priority="42" operator="containsText" text="차재성">
      <formula>NOT(ISERROR(SEARCH("차재성",H1440)))</formula>
    </cfRule>
  </conditionalFormatting>
  <conditionalFormatting sqref="J298 J262:J263">
    <cfRule type="containsText" dxfId="65" priority="43" operator="containsText" text="허하나로">
      <formula>NOT(ISERROR(SEARCH("허하나로",H1414)))</formula>
    </cfRule>
    <cfRule type="containsText" dxfId="64" priority="44" operator="containsText" text="한별">
      <formula>NOT(ISERROR(SEARCH("한별",H1414)))</formula>
    </cfRule>
    <cfRule type="containsText" dxfId="63" priority="45" operator="containsText" text="정홍조">
      <formula>NOT(ISERROR(SEARCH("정홍조",H1414)))</formula>
    </cfRule>
    <cfRule type="containsText" dxfId="62" priority="46" operator="containsText" text="김지윤">
      <formula>NOT(ISERROR(SEARCH("김지윤",H1414)))</formula>
    </cfRule>
    <cfRule type="containsText" dxfId="61" priority="47" operator="containsText" text="전준영">
      <formula>NOT(ISERROR(SEARCH("전준영",H1414)))</formula>
    </cfRule>
    <cfRule type="containsText" dxfId="60" priority="48" operator="containsText" text="차재성">
      <formula>NOT(ISERROR(SEARCH("차재성",H1414)))</formula>
    </cfRule>
  </conditionalFormatting>
  <conditionalFormatting sqref="J305">
    <cfRule type="containsText" dxfId="59" priority="49" operator="containsText" text="허하나로">
      <formula>NOT(ISERROR(SEARCH("허하나로",H1455)))</formula>
    </cfRule>
    <cfRule type="containsText" dxfId="58" priority="50" operator="containsText" text="한별">
      <formula>NOT(ISERROR(SEARCH("한별",H1455)))</formula>
    </cfRule>
    <cfRule type="containsText" dxfId="57" priority="51" operator="containsText" text="정홍조">
      <formula>NOT(ISERROR(SEARCH("정홍조",H1455)))</formula>
    </cfRule>
    <cfRule type="containsText" dxfId="56" priority="52" operator="containsText" text="김지윤">
      <formula>NOT(ISERROR(SEARCH("김지윤",H1455)))</formula>
    </cfRule>
    <cfRule type="containsText" dxfId="55" priority="53" operator="containsText" text="전준영">
      <formula>NOT(ISERROR(SEARCH("전준영",H1455)))</formula>
    </cfRule>
    <cfRule type="containsText" dxfId="54" priority="54" operator="containsText" text="차재성">
      <formula>NOT(ISERROR(SEARCH("차재성",H1455)))</formula>
    </cfRule>
  </conditionalFormatting>
  <conditionalFormatting sqref="J249:J250">
    <cfRule type="containsText" dxfId="53" priority="1" operator="containsText" text="허하나로">
      <formula>NOT(ISERROR(SEARCH("허하나로",H1420)))</formula>
    </cfRule>
    <cfRule type="containsText" dxfId="52" priority="2" operator="containsText" text="한별">
      <formula>NOT(ISERROR(SEARCH("한별",H1420)))</formula>
    </cfRule>
    <cfRule type="containsText" dxfId="51" priority="3" operator="containsText" text="정홍조">
      <formula>NOT(ISERROR(SEARCH("정홍조",H1420)))</formula>
    </cfRule>
    <cfRule type="containsText" dxfId="50" priority="4" operator="containsText" text="김지윤">
      <formula>NOT(ISERROR(SEARCH("김지윤",H1420)))</formula>
    </cfRule>
    <cfRule type="containsText" dxfId="49" priority="5" operator="containsText" text="전준영">
      <formula>NOT(ISERROR(SEARCH("전준영",H1420)))</formula>
    </cfRule>
    <cfRule type="containsText" dxfId="48" priority="6" operator="containsText" text="차재성">
      <formula>NOT(ISERROR(SEARCH("차재성",H1420)))</formula>
    </cfRule>
  </conditionalFormatting>
  <conditionalFormatting sqref="J264:J265">
    <cfRule type="containsText" dxfId="47" priority="55" operator="containsText" text="허하나로">
      <formula>NOT(ISERROR(SEARCH("허하나로",H1418)))</formula>
    </cfRule>
    <cfRule type="containsText" dxfId="46" priority="56" operator="containsText" text="한별">
      <formula>NOT(ISERROR(SEARCH("한별",H1418)))</formula>
    </cfRule>
    <cfRule type="containsText" dxfId="45" priority="57" operator="containsText" text="정홍조">
      <formula>NOT(ISERROR(SEARCH("정홍조",H1418)))</formula>
    </cfRule>
    <cfRule type="containsText" dxfId="44" priority="58" operator="containsText" text="김지윤">
      <formula>NOT(ISERROR(SEARCH("김지윤",H1418)))</formula>
    </cfRule>
    <cfRule type="containsText" dxfId="43" priority="59" operator="containsText" text="전준영">
      <formula>NOT(ISERROR(SEARCH("전준영",H1418)))</formula>
    </cfRule>
    <cfRule type="containsText" dxfId="42" priority="60" operator="containsText" text="차재성">
      <formula>NOT(ISERROR(SEARCH("차재성",H1418)))</formula>
    </cfRule>
  </conditionalFormatting>
  <pageMargins left="0.31496062992125984" right="0.31496062992125984" top="0.55118110236220474" bottom="0.55118110236220474" header="0.31496062992125984" footer="0.31496062992125984"/>
  <pageSetup paperSize="9"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DD37-3B00-40FF-A432-827EA45765B8}">
  <sheetPr>
    <tabColor rgb="FFFF0000"/>
  </sheetPr>
  <dimension ref="A1:W199"/>
  <sheetViews>
    <sheetView zoomScaleNormal="100" workbookViewId="0">
      <selection activeCell="K33" sqref="K33"/>
    </sheetView>
  </sheetViews>
  <sheetFormatPr defaultColWidth="10" defaultRowHeight="13.5"/>
  <cols>
    <col min="1" max="6" width="3.875" style="298" customWidth="1"/>
    <col min="7" max="7" width="32.625" style="346" customWidth="1"/>
    <col min="8" max="9" width="14.625" style="347" customWidth="1"/>
    <col min="10" max="10" width="14.625" style="299" customWidth="1"/>
    <col min="11" max="11" width="55.625" style="345" customWidth="1"/>
    <col min="12" max="12" width="3" style="978" customWidth="1"/>
    <col min="13" max="13" width="14.625" style="347" customWidth="1"/>
    <col min="14" max="14" width="64" style="299" customWidth="1"/>
    <col min="15" max="15" width="11.75" style="948" customWidth="1"/>
    <col min="16" max="16" width="11.375" style="949" customWidth="1"/>
    <col min="17" max="17" width="16.875" style="349" customWidth="1"/>
    <col min="18" max="18" width="7" style="950" customWidth="1"/>
    <col min="19" max="19" width="8.125" style="950" customWidth="1"/>
    <col min="20" max="20" width="11.375" style="300" customWidth="1"/>
    <col min="21" max="21" width="12.75" style="951" customWidth="1"/>
    <col min="22" max="22" width="14.875" style="951" customWidth="1"/>
    <col min="23" max="23" width="13.375" style="951" customWidth="1"/>
    <col min="24" max="16384" width="10" style="494"/>
  </cols>
  <sheetData>
    <row r="1" spans="1:23" ht="19.5" customHeight="1" thickBot="1">
      <c r="A1" s="348" t="s">
        <v>905</v>
      </c>
      <c r="B1" s="297"/>
      <c r="C1" s="297"/>
      <c r="D1" s="348"/>
      <c r="E1" s="348"/>
      <c r="F1" s="348"/>
      <c r="M1" s="2434" t="s">
        <v>903</v>
      </c>
      <c r="P1" s="1228"/>
    </row>
    <row r="2" spans="1:23" s="2440" customFormat="1" ht="18" customHeight="1">
      <c r="A2" s="3040" t="s">
        <v>1018</v>
      </c>
      <c r="B2" s="3042" t="s">
        <v>845</v>
      </c>
      <c r="C2" s="3043"/>
      <c r="D2" s="3044"/>
      <c r="E2" s="3042" t="s">
        <v>846</v>
      </c>
      <c r="F2" s="3043"/>
      <c r="G2" s="3044"/>
      <c r="H2" s="3045" t="s">
        <v>33</v>
      </c>
      <c r="I2" s="3047" t="s">
        <v>35</v>
      </c>
      <c r="J2" s="2942" t="s">
        <v>73</v>
      </c>
      <c r="K2" s="3029" t="s">
        <v>105</v>
      </c>
      <c r="L2" s="3030"/>
      <c r="M2" s="3031"/>
      <c r="N2" s="2435"/>
      <c r="O2" s="2436"/>
      <c r="P2" s="2437"/>
      <c r="Q2" s="2436"/>
      <c r="R2" s="2436"/>
      <c r="S2" s="2436"/>
      <c r="T2" s="2438"/>
      <c r="U2" s="2439"/>
    </row>
    <row r="3" spans="1:23" s="2440" customFormat="1" ht="18" customHeight="1" thickBot="1">
      <c r="A3" s="3041"/>
      <c r="B3" s="2441" t="s">
        <v>847</v>
      </c>
      <c r="C3" s="2441" t="s">
        <v>848</v>
      </c>
      <c r="D3" s="2441" t="s">
        <v>849</v>
      </c>
      <c r="E3" s="2441" t="s">
        <v>850</v>
      </c>
      <c r="F3" s="2441" t="s">
        <v>851</v>
      </c>
      <c r="G3" s="2441" t="s">
        <v>852</v>
      </c>
      <c r="H3" s="3046"/>
      <c r="I3" s="3048"/>
      <c r="J3" s="2943"/>
      <c r="K3" s="3032"/>
      <c r="L3" s="3033"/>
      <c r="M3" s="3034"/>
      <c r="N3" s="2435"/>
      <c r="O3" s="2436"/>
      <c r="P3" s="2437"/>
      <c r="Q3" s="2436"/>
      <c r="R3" s="2436"/>
      <c r="S3" s="2436"/>
      <c r="T3" s="2438"/>
      <c r="U3" s="2439"/>
    </row>
    <row r="4" spans="1:23" s="481" customFormat="1" ht="18" customHeight="1" thickBot="1">
      <c r="A4" s="3035" t="s">
        <v>853</v>
      </c>
      <c r="B4" s="3036"/>
      <c r="C4" s="3036"/>
      <c r="D4" s="3036"/>
      <c r="E4" s="3036"/>
      <c r="F4" s="3036"/>
      <c r="G4" s="3037"/>
      <c r="H4" s="1016">
        <f>H5+H177</f>
        <v>3808188</v>
      </c>
      <c r="I4" s="1016">
        <f>I5+I177</f>
        <v>6530023</v>
      </c>
      <c r="J4" s="1017">
        <f>H4-I4</f>
        <v>-2721835</v>
      </c>
      <c r="K4" s="2442"/>
      <c r="L4" s="2443"/>
      <c r="M4" s="1018"/>
      <c r="N4" s="2444"/>
      <c r="O4" s="2445"/>
      <c r="P4" s="2446"/>
      <c r="Q4" s="327"/>
      <c r="R4" s="2447"/>
      <c r="S4" s="2447"/>
    </row>
    <row r="5" spans="1:23" s="2440" customFormat="1" ht="18" customHeight="1">
      <c r="A5" s="2448" t="s">
        <v>204</v>
      </c>
      <c r="B5" s="2449"/>
      <c r="C5" s="2450"/>
      <c r="D5" s="2450"/>
      <c r="E5" s="2450"/>
      <c r="F5" s="2450"/>
      <c r="G5" s="2451"/>
      <c r="H5" s="2452">
        <f>H6</f>
        <v>3600588</v>
      </c>
      <c r="I5" s="2452">
        <f>I6</f>
        <v>4423582</v>
      </c>
      <c r="J5" s="2453">
        <f t="shared" ref="J5:J8" si="0">H5-I5</f>
        <v>-822994</v>
      </c>
      <c r="K5" s="2454"/>
      <c r="L5" s="2455"/>
      <c r="M5" s="2456"/>
      <c r="N5" s="2457"/>
      <c r="O5" s="2458"/>
      <c r="P5" s="2437"/>
      <c r="Q5" s="2436"/>
      <c r="R5" s="2436"/>
      <c r="S5" s="2436"/>
      <c r="T5" s="2438"/>
      <c r="U5" s="2439"/>
    </row>
    <row r="6" spans="1:23" s="2440" customFormat="1" ht="18" customHeight="1">
      <c r="A6" s="2459"/>
      <c r="B6" s="2460" t="s">
        <v>590</v>
      </c>
      <c r="C6" s="2461"/>
      <c r="D6" s="2462"/>
      <c r="E6" s="2462"/>
      <c r="F6" s="2462"/>
      <c r="G6" s="2463"/>
      <c r="H6" s="2452">
        <f>H7</f>
        <v>3600588</v>
      </c>
      <c r="I6" s="2452">
        <f>I7</f>
        <v>4423582</v>
      </c>
      <c r="J6" s="2453">
        <f t="shared" si="0"/>
        <v>-822994</v>
      </c>
      <c r="K6" s="2454"/>
      <c r="L6" s="2455"/>
      <c r="M6" s="2456"/>
      <c r="N6" s="2457"/>
      <c r="O6" s="2458"/>
      <c r="P6" s="2437"/>
      <c r="Q6" s="2436"/>
      <c r="R6" s="2436"/>
      <c r="S6" s="2436"/>
      <c r="T6" s="2438"/>
      <c r="U6" s="2439"/>
    </row>
    <row r="7" spans="1:23" s="2440" customFormat="1" ht="18" customHeight="1">
      <c r="A7" s="2464"/>
      <c r="B7" s="2465"/>
      <c r="C7" s="2466" t="s">
        <v>915</v>
      </c>
      <c r="D7" s="2462"/>
      <c r="E7" s="2462"/>
      <c r="F7" s="2462"/>
      <c r="G7" s="2463"/>
      <c r="H7" s="2452">
        <f>H8+H118</f>
        <v>3600588</v>
      </c>
      <c r="I7" s="2452">
        <f>I8+I118</f>
        <v>4423582</v>
      </c>
      <c r="J7" s="2453">
        <f t="shared" si="0"/>
        <v>-822994</v>
      </c>
      <c r="K7" s="2454"/>
      <c r="L7" s="2455"/>
      <c r="M7" s="2456"/>
      <c r="N7" s="3038"/>
      <c r="O7" s="3039"/>
      <c r="P7" s="3039"/>
      <c r="Q7" s="3039"/>
      <c r="R7" s="3039"/>
      <c r="S7" s="3039"/>
      <c r="T7" s="3039"/>
      <c r="U7" s="3039"/>
    </row>
    <row r="8" spans="1:23" s="2439" customFormat="1" ht="18" customHeight="1">
      <c r="A8" s="2464"/>
      <c r="B8" s="2467"/>
      <c r="C8" s="2468"/>
      <c r="D8" s="2461" t="s">
        <v>896</v>
      </c>
      <c r="E8" s="2462"/>
      <c r="F8" s="2462"/>
      <c r="G8" s="2463"/>
      <c r="H8" s="2469">
        <f>H9</f>
        <v>788376</v>
      </c>
      <c r="I8" s="2469">
        <f>I9</f>
        <v>821676</v>
      </c>
      <c r="J8" s="2470">
        <f t="shared" si="0"/>
        <v>-33300</v>
      </c>
      <c r="K8" s="2471"/>
      <c r="L8" s="2472"/>
      <c r="M8" s="2456"/>
      <c r="N8" s="2473" t="s">
        <v>2139</v>
      </c>
      <c r="O8" s="2458"/>
      <c r="P8" s="2437"/>
      <c r="Q8" s="2436"/>
      <c r="R8" s="2436"/>
      <c r="S8" s="2436"/>
      <c r="T8" s="2438"/>
    </row>
    <row r="9" spans="1:23" ht="13.5" customHeight="1">
      <c r="A9" s="1340"/>
      <c r="B9" s="911"/>
      <c r="D9" s="490"/>
      <c r="E9" s="2461" t="s">
        <v>855</v>
      </c>
      <c r="F9" s="1230"/>
      <c r="G9" s="1238"/>
      <c r="H9" s="1232">
        <f>H10+H111+H115</f>
        <v>788376</v>
      </c>
      <c r="I9" s="1232">
        <f>I10+I111+I115</f>
        <v>821676</v>
      </c>
      <c r="J9" s="1233">
        <f>H9-I9</f>
        <v>-33300</v>
      </c>
      <c r="K9" s="640"/>
      <c r="L9" s="946"/>
      <c r="M9" s="947"/>
    </row>
    <row r="10" spans="1:23" ht="13.5" customHeight="1">
      <c r="A10" s="1340"/>
      <c r="B10" s="911"/>
      <c r="D10" s="1252"/>
      <c r="E10" s="377"/>
      <c r="F10" s="1234" t="s">
        <v>327</v>
      </c>
      <c r="G10" s="1235"/>
      <c r="H10" s="1239">
        <f>SUM(H11,H33,H63,H74,H87,H106)</f>
        <v>775416</v>
      </c>
      <c r="I10" s="1239">
        <f>SUM(I11,I33,I63,I74,I87,I106)</f>
        <v>808716</v>
      </c>
      <c r="J10" s="943">
        <f t="shared" ref="J10" si="1">H10-I10</f>
        <v>-33300</v>
      </c>
      <c r="K10" s="952"/>
      <c r="L10" s="953"/>
      <c r="M10" s="359"/>
      <c r="N10" s="355"/>
      <c r="O10" s="369"/>
      <c r="P10" s="365"/>
      <c r="Q10" s="350"/>
      <c r="R10" s="364"/>
      <c r="S10" s="364"/>
      <c r="T10" s="301"/>
    </row>
    <row r="11" spans="1:23">
      <c r="A11" s="1340"/>
      <c r="B11" s="911"/>
      <c r="C11" s="1646"/>
      <c r="D11" s="482"/>
      <c r="E11" s="482"/>
      <c r="F11" s="1240"/>
      <c r="G11" s="1240" t="s">
        <v>328</v>
      </c>
      <c r="H11" s="1241">
        <f>M11</f>
        <v>30220</v>
      </c>
      <c r="I11" s="1241">
        <v>40170</v>
      </c>
      <c r="J11" s="1241">
        <f>H11-I11</f>
        <v>-9950</v>
      </c>
      <c r="K11" s="2474" t="s">
        <v>2140</v>
      </c>
      <c r="L11" s="2475"/>
      <c r="M11" s="2476">
        <f>M12+M17+M22+M24+M27+M31</f>
        <v>30220</v>
      </c>
      <c r="N11" s="2477"/>
      <c r="O11" s="368">
        <f>SUM(O12:O32)</f>
        <v>30220</v>
      </c>
      <c r="P11" s="365"/>
      <c r="Q11" s="350"/>
      <c r="R11" s="364"/>
      <c r="S11" s="364"/>
      <c r="T11" s="301"/>
    </row>
    <row r="12" spans="1:23">
      <c r="A12" s="1340"/>
      <c r="B12" s="911"/>
      <c r="C12" s="1646"/>
      <c r="D12" s="482"/>
      <c r="E12" s="1240"/>
      <c r="F12" s="1240"/>
      <c r="G12" s="1240"/>
      <c r="H12" s="1241"/>
      <c r="I12" s="1241"/>
      <c r="J12" s="1241"/>
      <c r="K12" s="2478" t="s">
        <v>2141</v>
      </c>
      <c r="L12" s="2475"/>
      <c r="M12" s="355">
        <f>SUM(M13:M16)</f>
        <v>9420</v>
      </c>
      <c r="N12" s="357" t="s">
        <v>397</v>
      </c>
      <c r="O12" s="2479">
        <f>SUM(P13:P16)</f>
        <v>9420</v>
      </c>
      <c r="P12" s="2480"/>
      <c r="Q12" s="375"/>
      <c r="R12" s="374"/>
      <c r="S12" s="374"/>
      <c r="T12" s="301"/>
    </row>
    <row r="13" spans="1:23" s="1631" customFormat="1">
      <c r="A13" s="1624"/>
      <c r="B13" s="1650"/>
      <c r="C13" s="346"/>
      <c r="D13" s="1625"/>
      <c r="E13" s="1626"/>
      <c r="F13" s="1626"/>
      <c r="G13" s="1626"/>
      <c r="H13" s="1627"/>
      <c r="I13" s="1627"/>
      <c r="J13" s="1628"/>
      <c r="K13" s="2481" t="s">
        <v>979</v>
      </c>
      <c r="L13" s="2482" t="s">
        <v>292</v>
      </c>
      <c r="M13" s="643">
        <f>P13</f>
        <v>920</v>
      </c>
      <c r="N13" s="643" t="s">
        <v>788</v>
      </c>
      <c r="O13" s="2479"/>
      <c r="P13" s="2483">
        <f>Q13*R13*S13</f>
        <v>920</v>
      </c>
      <c r="Q13" s="2484">
        <v>23</v>
      </c>
      <c r="R13" s="2485">
        <v>40</v>
      </c>
      <c r="S13" s="2485">
        <v>1</v>
      </c>
      <c r="T13" s="1629"/>
      <c r="U13" s="1630"/>
      <c r="V13" s="1630"/>
      <c r="W13" s="1630"/>
    </row>
    <row r="14" spans="1:23" s="1631" customFormat="1">
      <c r="A14" s="1624"/>
      <c r="B14" s="1650"/>
      <c r="C14" s="346"/>
      <c r="D14" s="1625"/>
      <c r="E14" s="1626"/>
      <c r="F14" s="1626"/>
      <c r="G14" s="1626"/>
      <c r="H14" s="1627"/>
      <c r="I14" s="1627"/>
      <c r="J14" s="1628"/>
      <c r="K14" s="2481" t="s">
        <v>2142</v>
      </c>
      <c r="L14" s="2482" t="s">
        <v>292</v>
      </c>
      <c r="M14" s="643">
        <f>P14</f>
        <v>1500</v>
      </c>
      <c r="N14" s="643" t="s">
        <v>980</v>
      </c>
      <c r="O14" s="2479"/>
      <c r="P14" s="2483">
        <f>Q14*R14*S14</f>
        <v>1500</v>
      </c>
      <c r="Q14" s="2484">
        <v>50</v>
      </c>
      <c r="R14" s="2485">
        <v>10</v>
      </c>
      <c r="S14" s="2485">
        <v>3</v>
      </c>
      <c r="T14" s="1629"/>
      <c r="U14" s="1630"/>
      <c r="V14" s="1630"/>
      <c r="W14" s="1630"/>
    </row>
    <row r="15" spans="1:23" s="1631" customFormat="1">
      <c r="A15" s="1624"/>
      <c r="B15" s="1650"/>
      <c r="C15" s="346"/>
      <c r="D15" s="1625"/>
      <c r="E15" s="1626"/>
      <c r="F15" s="1626"/>
      <c r="G15" s="1626"/>
      <c r="H15" s="1627"/>
      <c r="I15" s="1627"/>
      <c r="J15" s="1628"/>
      <c r="K15" s="2481" t="s">
        <v>2143</v>
      </c>
      <c r="L15" s="2482" t="s">
        <v>292</v>
      </c>
      <c r="M15" s="643">
        <f>P15</f>
        <v>6000</v>
      </c>
      <c r="N15" s="643" t="s">
        <v>748</v>
      </c>
      <c r="O15" s="2479"/>
      <c r="P15" s="2483">
        <f>Q15*S15</f>
        <v>6000</v>
      </c>
      <c r="Q15" s="2484">
        <v>500</v>
      </c>
      <c r="R15" s="2485"/>
      <c r="S15" s="2485">
        <v>12</v>
      </c>
      <c r="T15" s="1629"/>
      <c r="U15" s="1630"/>
      <c r="V15" s="1630"/>
      <c r="W15" s="1630"/>
    </row>
    <row r="16" spans="1:23" s="1631" customFormat="1">
      <c r="A16" s="1624"/>
      <c r="B16" s="1650"/>
      <c r="C16" s="346"/>
      <c r="D16" s="1625"/>
      <c r="E16" s="1626"/>
      <c r="F16" s="1626"/>
      <c r="G16" s="1626"/>
      <c r="H16" s="1627"/>
      <c r="I16" s="1627"/>
      <c r="J16" s="1628"/>
      <c r="K16" s="2478" t="s">
        <v>2144</v>
      </c>
      <c r="L16" s="2475"/>
      <c r="M16" s="355">
        <f>P16</f>
        <v>1000</v>
      </c>
      <c r="N16" s="643" t="s">
        <v>2145</v>
      </c>
      <c r="O16" s="2479"/>
      <c r="P16" s="2480">
        <f>Q16*R16*S16</f>
        <v>1000</v>
      </c>
      <c r="Q16" s="375">
        <v>100</v>
      </c>
      <c r="R16" s="374">
        <v>5</v>
      </c>
      <c r="S16" s="374">
        <v>2</v>
      </c>
      <c r="T16" s="1629"/>
      <c r="U16" s="1630"/>
      <c r="V16" s="1630"/>
      <c r="W16" s="1630"/>
    </row>
    <row r="17" spans="1:22">
      <c r="A17" s="1340"/>
      <c r="B17" s="911"/>
      <c r="C17" s="1646"/>
      <c r="D17" s="482"/>
      <c r="E17" s="1240"/>
      <c r="F17" s="1240"/>
      <c r="G17" s="1240"/>
      <c r="H17" s="1241"/>
      <c r="I17" s="1241"/>
      <c r="J17" s="1241"/>
      <c r="K17" s="2478" t="s">
        <v>2146</v>
      </c>
      <c r="L17" s="2475" t="s">
        <v>292</v>
      </c>
      <c r="M17" s="355">
        <f>SUM(M18:M21)</f>
        <v>6300</v>
      </c>
      <c r="N17" s="357"/>
      <c r="O17" s="2479">
        <f>SUM(P18:P21)</f>
        <v>6300</v>
      </c>
      <c r="P17" s="2480"/>
      <c r="Q17" s="375"/>
      <c r="R17" s="374"/>
      <c r="S17" s="374"/>
      <c r="T17" s="301"/>
    </row>
    <row r="18" spans="1:22">
      <c r="A18" s="1340"/>
      <c r="B18" s="911"/>
      <c r="C18" s="1646"/>
      <c r="D18" s="482"/>
      <c r="E18" s="1240"/>
      <c r="F18" s="1240"/>
      <c r="G18" s="1240"/>
      <c r="H18" s="1241"/>
      <c r="I18" s="1241"/>
      <c r="J18" s="1241"/>
      <c r="K18" s="2478" t="s">
        <v>2147</v>
      </c>
      <c r="L18" s="2475" t="s">
        <v>292</v>
      </c>
      <c r="M18" s="355">
        <f>P18</f>
        <v>3000</v>
      </c>
      <c r="N18" s="357" t="s">
        <v>2148</v>
      </c>
      <c r="O18" s="2479"/>
      <c r="P18" s="2480">
        <f>Q18*R18</f>
        <v>3000</v>
      </c>
      <c r="Q18" s="375">
        <v>3000</v>
      </c>
      <c r="R18" s="374">
        <v>1</v>
      </c>
      <c r="S18" s="374"/>
      <c r="T18" s="301"/>
    </row>
    <row r="19" spans="1:22">
      <c r="A19" s="1340"/>
      <c r="B19" s="911"/>
      <c r="C19" s="1646"/>
      <c r="D19" s="482"/>
      <c r="E19" s="1240"/>
      <c r="F19" s="1240"/>
      <c r="G19" s="1240"/>
      <c r="H19" s="1241"/>
      <c r="I19" s="1241"/>
      <c r="J19" s="1241"/>
      <c r="K19" s="2478" t="s">
        <v>401</v>
      </c>
      <c r="L19" s="2475" t="s">
        <v>292</v>
      </c>
      <c r="M19" s="355">
        <f t="shared" ref="M19" si="2">P19</f>
        <v>800</v>
      </c>
      <c r="N19" s="355" t="s">
        <v>2149</v>
      </c>
      <c r="O19" s="2479"/>
      <c r="P19" s="2480">
        <f t="shared" ref="P19" si="3">Q19*R19*S19</f>
        <v>800</v>
      </c>
      <c r="Q19" s="375">
        <v>100</v>
      </c>
      <c r="R19" s="374">
        <v>2</v>
      </c>
      <c r="S19" s="374">
        <v>4</v>
      </c>
      <c r="T19" s="301"/>
    </row>
    <row r="20" spans="1:22">
      <c r="A20" s="1340"/>
      <c r="B20" s="911"/>
      <c r="C20" s="1646"/>
      <c r="D20" s="482"/>
      <c r="E20" s="1240"/>
      <c r="F20" s="1240"/>
      <c r="G20" s="1240"/>
      <c r="H20" s="1241"/>
      <c r="I20" s="1241"/>
      <c r="J20" s="1241"/>
      <c r="K20" s="2481" t="s">
        <v>2150</v>
      </c>
      <c r="L20" s="2482" t="s">
        <v>292</v>
      </c>
      <c r="M20" s="643">
        <f>P20</f>
        <v>1500</v>
      </c>
      <c r="N20" s="357" t="s">
        <v>2151</v>
      </c>
      <c r="O20" s="2479"/>
      <c r="P20" s="2480">
        <f>Q20*R20*S20</f>
        <v>1500</v>
      </c>
      <c r="Q20" s="375">
        <v>100</v>
      </c>
      <c r="R20" s="374">
        <v>15</v>
      </c>
      <c r="S20" s="374">
        <v>1</v>
      </c>
      <c r="T20" s="301"/>
    </row>
    <row r="21" spans="1:22">
      <c r="A21" s="1340"/>
      <c r="B21" s="911"/>
      <c r="C21" s="1646"/>
      <c r="D21" s="482"/>
      <c r="E21" s="1240"/>
      <c r="F21" s="1240"/>
      <c r="G21" s="1240"/>
      <c r="H21" s="1241"/>
      <c r="I21" s="1241"/>
      <c r="J21" s="1241"/>
      <c r="K21" s="2481" t="s">
        <v>2152</v>
      </c>
      <c r="L21" s="2486" t="s">
        <v>292</v>
      </c>
      <c r="M21" s="643">
        <f>P21</f>
        <v>1000</v>
      </c>
      <c r="N21" s="643" t="s">
        <v>2153</v>
      </c>
      <c r="O21" s="2479"/>
      <c r="P21" s="2483">
        <f>Q21*R21</f>
        <v>1000</v>
      </c>
      <c r="Q21" s="2484">
        <v>500</v>
      </c>
      <c r="R21" s="2485">
        <v>2</v>
      </c>
      <c r="S21" s="2485"/>
      <c r="T21" s="301"/>
    </row>
    <row r="22" spans="1:22">
      <c r="A22" s="1340"/>
      <c r="B22" s="911"/>
      <c r="C22" s="1646"/>
      <c r="D22" s="482"/>
      <c r="E22" s="1240"/>
      <c r="F22" s="1240"/>
      <c r="G22" s="1240"/>
      <c r="H22" s="1241"/>
      <c r="I22" s="1241"/>
      <c r="J22" s="1241"/>
      <c r="K22" s="2478" t="s">
        <v>402</v>
      </c>
      <c r="L22" s="2475"/>
      <c r="M22" s="355">
        <f>SUM(M23:M23)</f>
        <v>1500</v>
      </c>
      <c r="N22" s="357" t="s">
        <v>403</v>
      </c>
      <c r="O22" s="2479">
        <f>SUM(P23:P23)</f>
        <v>1500</v>
      </c>
      <c r="P22" s="2480"/>
      <c r="Q22" s="375"/>
      <c r="R22" s="374"/>
      <c r="S22" s="374"/>
      <c r="T22" s="301"/>
    </row>
    <row r="23" spans="1:22">
      <c r="A23" s="1340"/>
      <c r="B23" s="911"/>
      <c r="C23" s="1646"/>
      <c r="D23" s="482"/>
      <c r="E23" s="1240"/>
      <c r="F23" s="1240"/>
      <c r="G23" s="1240"/>
      <c r="H23" s="1241"/>
      <c r="I23" s="1241"/>
      <c r="J23" s="1241"/>
      <c r="K23" s="2478" t="s">
        <v>404</v>
      </c>
      <c r="L23" s="2475" t="s">
        <v>292</v>
      </c>
      <c r="M23" s="355">
        <f>P23</f>
        <v>1500</v>
      </c>
      <c r="N23" s="355" t="s">
        <v>405</v>
      </c>
      <c r="O23" s="2479"/>
      <c r="P23" s="2480">
        <f>Q23*R23*S23</f>
        <v>1500</v>
      </c>
      <c r="Q23" s="375">
        <v>30</v>
      </c>
      <c r="R23" s="374">
        <v>5</v>
      </c>
      <c r="S23" s="374">
        <v>10</v>
      </c>
      <c r="T23" s="301"/>
    </row>
    <row r="24" spans="1:22">
      <c r="A24" s="1340"/>
      <c r="B24" s="911"/>
      <c r="C24" s="1646"/>
      <c r="D24" s="482"/>
      <c r="E24" s="1240"/>
      <c r="F24" s="1240"/>
      <c r="G24" s="1240"/>
      <c r="H24" s="1241"/>
      <c r="I24" s="1241"/>
      <c r="J24" s="1241"/>
      <c r="K24" s="2478" t="s">
        <v>2154</v>
      </c>
      <c r="L24" s="2487"/>
      <c r="M24" s="355">
        <f>SUM(M25:M26)</f>
        <v>5000</v>
      </c>
      <c r="N24" s="357" t="s">
        <v>406</v>
      </c>
      <c r="O24" s="2479">
        <f>SUM(P25:P26)</f>
        <v>5000</v>
      </c>
      <c r="P24" s="2480"/>
      <c r="Q24" s="375"/>
      <c r="R24" s="374"/>
      <c r="S24" s="374"/>
      <c r="T24" s="301"/>
    </row>
    <row r="25" spans="1:22">
      <c r="A25" s="1340"/>
      <c r="B25" s="911"/>
      <c r="C25" s="1646"/>
      <c r="D25" s="482"/>
      <c r="E25" s="1240"/>
      <c r="F25" s="1240"/>
      <c r="G25" s="1240"/>
      <c r="H25" s="1241"/>
      <c r="I25" s="1241"/>
      <c r="J25" s="1241"/>
      <c r="K25" s="2478" t="s">
        <v>981</v>
      </c>
      <c r="L25" s="2475" t="s">
        <v>292</v>
      </c>
      <c r="M25" s="355">
        <f>P25</f>
        <v>3000</v>
      </c>
      <c r="N25" s="355" t="s">
        <v>407</v>
      </c>
      <c r="O25" s="2479"/>
      <c r="P25" s="2480">
        <f t="shared" ref="P25:P26" si="4">Q25*R25*S25</f>
        <v>3000</v>
      </c>
      <c r="Q25" s="375">
        <v>10</v>
      </c>
      <c r="R25" s="374">
        <v>300</v>
      </c>
      <c r="S25" s="374">
        <v>1</v>
      </c>
      <c r="T25" s="301"/>
    </row>
    <row r="26" spans="1:22">
      <c r="A26" s="1340"/>
      <c r="B26" s="911"/>
      <c r="C26" s="1646"/>
      <c r="D26" s="482"/>
      <c r="E26" s="1240"/>
      <c r="F26" s="1240"/>
      <c r="G26" s="1240"/>
      <c r="H26" s="1241"/>
      <c r="I26" s="1241"/>
      <c r="J26" s="1241"/>
      <c r="K26" s="2478" t="s">
        <v>751</v>
      </c>
      <c r="L26" s="2475" t="s">
        <v>292</v>
      </c>
      <c r="M26" s="355">
        <f t="shared" ref="M26" si="5">P26</f>
        <v>2000</v>
      </c>
      <c r="N26" s="355" t="s">
        <v>408</v>
      </c>
      <c r="O26" s="2479"/>
      <c r="P26" s="2480">
        <f t="shared" si="4"/>
        <v>2000</v>
      </c>
      <c r="Q26" s="375">
        <v>2000</v>
      </c>
      <c r="R26" s="374">
        <v>1</v>
      </c>
      <c r="S26" s="374">
        <v>1</v>
      </c>
      <c r="T26" s="301"/>
    </row>
    <row r="27" spans="1:22">
      <c r="A27" s="1340"/>
      <c r="B27" s="911"/>
      <c r="C27" s="1646"/>
      <c r="D27" s="482"/>
      <c r="E27" s="1240"/>
      <c r="F27" s="1240"/>
      <c r="G27" s="1240"/>
      <c r="H27" s="1241"/>
      <c r="I27" s="1241"/>
      <c r="J27" s="1241"/>
      <c r="K27" s="2478" t="s">
        <v>2155</v>
      </c>
      <c r="L27" s="2475"/>
      <c r="M27" s="355">
        <f>SUM(M28:M30)</f>
        <v>6000</v>
      </c>
      <c r="N27" s="357" t="s">
        <v>399</v>
      </c>
      <c r="O27" s="2479">
        <f>SUM(P28:P30)</f>
        <v>6000</v>
      </c>
      <c r="P27" s="2480"/>
      <c r="Q27" s="375"/>
      <c r="R27" s="374"/>
      <c r="S27" s="374"/>
      <c r="T27" s="301"/>
    </row>
    <row r="28" spans="1:22" s="1631" customFormat="1">
      <c r="A28" s="1624"/>
      <c r="B28" s="1650"/>
      <c r="C28" s="346"/>
      <c r="D28" s="1625"/>
      <c r="E28" s="1626"/>
      <c r="F28" s="1626"/>
      <c r="G28" s="1626"/>
      <c r="H28" s="1627"/>
      <c r="I28" s="1627"/>
      <c r="J28" s="1628"/>
      <c r="K28" s="370" t="s">
        <v>2156</v>
      </c>
      <c r="L28" s="2482" t="s">
        <v>292</v>
      </c>
      <c r="M28" s="643">
        <f t="shared" ref="M28:M30" si="6">P28</f>
        <v>2000</v>
      </c>
      <c r="N28" s="643" t="s">
        <v>2157</v>
      </c>
      <c r="O28" s="2479"/>
      <c r="P28" s="2483">
        <f>Q28*S28</f>
        <v>2000</v>
      </c>
      <c r="Q28" s="2484">
        <v>1000</v>
      </c>
      <c r="R28" s="2485"/>
      <c r="S28" s="2485">
        <v>2</v>
      </c>
      <c r="T28" s="1629"/>
      <c r="U28" s="1630"/>
      <c r="V28" s="1630"/>
    </row>
    <row r="29" spans="1:22" s="1631" customFormat="1">
      <c r="A29" s="1624"/>
      <c r="B29" s="1650"/>
      <c r="C29" s="346"/>
      <c r="D29" s="1625"/>
      <c r="E29" s="1626"/>
      <c r="F29" s="1626"/>
      <c r="G29" s="1626"/>
      <c r="H29" s="1627"/>
      <c r="I29" s="2488"/>
      <c r="J29" s="1628"/>
      <c r="K29" s="648" t="s">
        <v>2158</v>
      </c>
      <c r="L29" s="2486" t="s">
        <v>292</v>
      </c>
      <c r="M29" s="660">
        <f t="shared" si="6"/>
        <v>1000</v>
      </c>
      <c r="N29" s="367" t="s">
        <v>2159</v>
      </c>
      <c r="O29" s="2479"/>
      <c r="P29" s="2480">
        <f>Q29*R29</f>
        <v>1000</v>
      </c>
      <c r="Q29" s="375">
        <v>1000</v>
      </c>
      <c r="R29" s="2489">
        <v>1</v>
      </c>
      <c r="S29" s="374"/>
      <c r="T29" s="1629"/>
      <c r="U29" s="1630"/>
      <c r="V29" s="1630"/>
    </row>
    <row r="30" spans="1:22" s="1631" customFormat="1">
      <c r="A30" s="1624"/>
      <c r="B30" s="1650"/>
      <c r="C30" s="346"/>
      <c r="D30" s="1625"/>
      <c r="E30" s="1626"/>
      <c r="F30" s="1626"/>
      <c r="G30" s="1626"/>
      <c r="H30" s="1627"/>
      <c r="I30" s="2488"/>
      <c r="J30" s="1628"/>
      <c r="K30" s="648" t="s">
        <v>2160</v>
      </c>
      <c r="L30" s="2486" t="s">
        <v>292</v>
      </c>
      <c r="M30" s="660">
        <f t="shared" si="6"/>
        <v>3000</v>
      </c>
      <c r="N30" s="367" t="s">
        <v>2161</v>
      </c>
      <c r="O30" s="2479"/>
      <c r="P30" s="2480">
        <f>Q30*R30</f>
        <v>3000</v>
      </c>
      <c r="Q30" s="375">
        <v>1500</v>
      </c>
      <c r="R30" s="2489">
        <v>2</v>
      </c>
      <c r="S30" s="374"/>
      <c r="T30" s="1629"/>
      <c r="U30" s="1630"/>
      <c r="V30" s="1630"/>
    </row>
    <row r="31" spans="1:22" s="951" customFormat="1">
      <c r="A31" s="1340"/>
      <c r="B31" s="911"/>
      <c r="C31" s="1646"/>
      <c r="D31" s="482"/>
      <c r="E31" s="1240"/>
      <c r="F31" s="1240"/>
      <c r="G31" s="1240"/>
      <c r="H31" s="1241"/>
      <c r="I31" s="1241"/>
      <c r="J31" s="1241"/>
      <c r="K31" s="2478" t="s">
        <v>749</v>
      </c>
      <c r="L31" s="2475"/>
      <c r="M31" s="355">
        <f>SUM(M32:M32)</f>
        <v>2000</v>
      </c>
      <c r="N31" s="357" t="s">
        <v>400</v>
      </c>
      <c r="O31" s="373">
        <f>SUM(P32:P32)</f>
        <v>2000</v>
      </c>
      <c r="P31" s="2480"/>
      <c r="Q31" s="375"/>
      <c r="R31" s="374"/>
      <c r="S31" s="374"/>
      <c r="T31" s="301"/>
    </row>
    <row r="32" spans="1:22" s="951" customFormat="1">
      <c r="A32" s="1340"/>
      <c r="B32" s="911"/>
      <c r="C32" s="1646"/>
      <c r="D32" s="482"/>
      <c r="E32" s="1240"/>
      <c r="F32" s="1240"/>
      <c r="G32" s="1240"/>
      <c r="H32" s="1241"/>
      <c r="I32" s="1241"/>
      <c r="J32" s="1241"/>
      <c r="K32" s="2478" t="s">
        <v>750</v>
      </c>
      <c r="L32" s="2475" t="s">
        <v>292</v>
      </c>
      <c r="M32" s="355">
        <f>P32</f>
        <v>2000</v>
      </c>
      <c r="N32" s="954" t="s">
        <v>2162</v>
      </c>
      <c r="O32" s="373"/>
      <c r="P32" s="2480">
        <f t="shared" ref="P32" si="7">Q32*R32*S32</f>
        <v>2000</v>
      </c>
      <c r="Q32" s="375">
        <v>500</v>
      </c>
      <c r="R32" s="374">
        <v>1</v>
      </c>
      <c r="S32" s="374">
        <v>4</v>
      </c>
      <c r="T32" s="301"/>
    </row>
    <row r="33" spans="1:20" s="951" customFormat="1">
      <c r="A33" s="1340"/>
      <c r="B33" s="911"/>
      <c r="C33" s="1646"/>
      <c r="D33" s="490"/>
      <c r="E33" s="488"/>
      <c r="F33" s="490"/>
      <c r="G33" s="646" t="s">
        <v>330</v>
      </c>
      <c r="H33" s="1237">
        <f>M33</f>
        <v>514560</v>
      </c>
      <c r="I33" s="1237">
        <v>557272</v>
      </c>
      <c r="J33" s="1237">
        <f>H33-I33</f>
        <v>-42712</v>
      </c>
      <c r="K33" s="642"/>
      <c r="L33" s="670"/>
      <c r="M33" s="959">
        <f>M34+M41+M48+M59+M62</f>
        <v>514560</v>
      </c>
      <c r="N33" s="2490"/>
      <c r="O33" s="362">
        <f>SUM(O34:O62)</f>
        <v>514560</v>
      </c>
      <c r="P33" s="2480"/>
      <c r="Q33" s="375"/>
      <c r="R33" s="374"/>
      <c r="S33" s="374"/>
      <c r="T33" s="301"/>
    </row>
    <row r="34" spans="1:20" s="951" customFormat="1">
      <c r="A34" s="1340"/>
      <c r="B34" s="911"/>
      <c r="C34" s="1646"/>
      <c r="D34" s="490"/>
      <c r="E34" s="488"/>
      <c r="F34" s="488"/>
      <c r="G34" s="490"/>
      <c r="H34" s="1246"/>
      <c r="I34" s="1242"/>
      <c r="J34" s="1246"/>
      <c r="K34" s="648" t="s">
        <v>2163</v>
      </c>
      <c r="L34" s="2482"/>
      <c r="M34" s="643">
        <f>SUM(M35:M40)</f>
        <v>123700</v>
      </c>
      <c r="N34" s="357" t="s">
        <v>2164</v>
      </c>
      <c r="O34" s="362">
        <f>SUM(P35:P40)</f>
        <v>123700</v>
      </c>
      <c r="P34" s="2480"/>
      <c r="Q34" s="375"/>
      <c r="R34" s="374"/>
      <c r="S34" s="374"/>
      <c r="T34" s="301"/>
    </row>
    <row r="35" spans="1:20" s="951" customFormat="1">
      <c r="A35" s="1340"/>
      <c r="B35" s="911"/>
      <c r="C35" s="1646"/>
      <c r="D35" s="490"/>
      <c r="E35" s="488"/>
      <c r="F35" s="488"/>
      <c r="G35" s="490"/>
      <c r="H35" s="1246"/>
      <c r="I35" s="1242"/>
      <c r="J35" s="1246"/>
      <c r="K35" s="650" t="s">
        <v>409</v>
      </c>
      <c r="L35" s="2491" t="s">
        <v>292</v>
      </c>
      <c r="M35" s="660">
        <f t="shared" ref="M35:M40" si="8">P35</f>
        <v>7200</v>
      </c>
      <c r="N35" s="360" t="s">
        <v>410</v>
      </c>
      <c r="O35" s="2479"/>
      <c r="P35" s="2480">
        <f t="shared" ref="P35:P40" si="9">Q35*S35</f>
        <v>7200</v>
      </c>
      <c r="Q35" s="375">
        <v>3600</v>
      </c>
      <c r="R35" s="374"/>
      <c r="S35" s="374">
        <v>2</v>
      </c>
      <c r="T35" s="301"/>
    </row>
    <row r="36" spans="1:20" s="951" customFormat="1">
      <c r="A36" s="1340"/>
      <c r="B36" s="911"/>
      <c r="C36" s="1646"/>
      <c r="D36" s="490"/>
      <c r="E36" s="488"/>
      <c r="F36" s="488"/>
      <c r="G36" s="490"/>
      <c r="H36" s="1246"/>
      <c r="I36" s="1242"/>
      <c r="J36" s="1246"/>
      <c r="K36" s="651" t="s">
        <v>753</v>
      </c>
      <c r="L36" s="2491" t="s">
        <v>292</v>
      </c>
      <c r="M36" s="660">
        <f t="shared" si="8"/>
        <v>4000</v>
      </c>
      <c r="N36" s="2492" t="s">
        <v>411</v>
      </c>
      <c r="O36" s="2479"/>
      <c r="P36" s="2480">
        <f t="shared" si="9"/>
        <v>4000</v>
      </c>
      <c r="Q36" s="375">
        <v>2000</v>
      </c>
      <c r="R36" s="374"/>
      <c r="S36" s="374">
        <v>2</v>
      </c>
      <c r="T36" s="301"/>
    </row>
    <row r="37" spans="1:20" s="951" customFormat="1">
      <c r="A37" s="1340"/>
      <c r="B37" s="911"/>
      <c r="C37" s="1646"/>
      <c r="D37" s="490"/>
      <c r="E37" s="488"/>
      <c r="F37" s="488"/>
      <c r="G37" s="490"/>
      <c r="H37" s="1246"/>
      <c r="I37" s="1242"/>
      <c r="J37" s="1246"/>
      <c r="K37" s="2481" t="s">
        <v>2165</v>
      </c>
      <c r="L37" s="2482" t="s">
        <v>292</v>
      </c>
      <c r="M37" s="643">
        <f t="shared" si="8"/>
        <v>41000</v>
      </c>
      <c r="N37" s="643" t="s">
        <v>2166</v>
      </c>
      <c r="O37" s="2479"/>
      <c r="P37" s="2483">
        <f t="shared" si="9"/>
        <v>41000</v>
      </c>
      <c r="Q37" s="2484">
        <v>41000</v>
      </c>
      <c r="R37" s="2485"/>
      <c r="S37" s="2485">
        <v>1</v>
      </c>
      <c r="T37" s="301"/>
    </row>
    <row r="38" spans="1:20" s="951" customFormat="1">
      <c r="A38" s="1340"/>
      <c r="B38" s="911"/>
      <c r="C38" s="1646"/>
      <c r="D38" s="490"/>
      <c r="E38" s="488"/>
      <c r="F38" s="488"/>
      <c r="G38" s="490"/>
      <c r="H38" s="1246"/>
      <c r="I38" s="1242"/>
      <c r="J38" s="1246"/>
      <c r="K38" s="2481" t="s">
        <v>2167</v>
      </c>
      <c r="L38" s="2482" t="s">
        <v>292</v>
      </c>
      <c r="M38" s="957">
        <f t="shared" si="8"/>
        <v>25300</v>
      </c>
      <c r="N38" s="355" t="s">
        <v>2168</v>
      </c>
      <c r="O38" s="2479"/>
      <c r="P38" s="2480">
        <f t="shared" si="9"/>
        <v>25300</v>
      </c>
      <c r="Q38" s="375">
        <v>25300</v>
      </c>
      <c r="R38" s="374"/>
      <c r="S38" s="374">
        <v>1</v>
      </c>
      <c r="T38" s="301"/>
    </row>
    <row r="39" spans="1:20" s="951" customFormat="1">
      <c r="A39" s="1340"/>
      <c r="B39" s="911"/>
      <c r="C39" s="1646"/>
      <c r="D39" s="490"/>
      <c r="E39" s="488"/>
      <c r="F39" s="488"/>
      <c r="G39" s="490"/>
      <c r="H39" s="1246"/>
      <c r="I39" s="1242"/>
      <c r="J39" s="1246"/>
      <c r="K39" s="2481" t="s">
        <v>2169</v>
      </c>
      <c r="L39" s="2482" t="s">
        <v>292</v>
      </c>
      <c r="M39" s="643">
        <f t="shared" si="8"/>
        <v>43200</v>
      </c>
      <c r="N39" s="355" t="s">
        <v>413</v>
      </c>
      <c r="O39" s="2479"/>
      <c r="P39" s="2480">
        <f t="shared" si="9"/>
        <v>43200</v>
      </c>
      <c r="Q39" s="375">
        <v>3600</v>
      </c>
      <c r="R39" s="374"/>
      <c r="S39" s="374">
        <v>12</v>
      </c>
      <c r="T39" s="301"/>
    </row>
    <row r="40" spans="1:20" s="951" customFormat="1">
      <c r="A40" s="1340"/>
      <c r="B40" s="911"/>
      <c r="C40" s="1646"/>
      <c r="D40" s="490"/>
      <c r="E40" s="488"/>
      <c r="F40" s="488"/>
      <c r="G40" s="490"/>
      <c r="H40" s="1246"/>
      <c r="I40" s="1242"/>
      <c r="J40" s="1246"/>
      <c r="K40" s="2481" t="s">
        <v>755</v>
      </c>
      <c r="L40" s="2482" t="s">
        <v>292</v>
      </c>
      <c r="M40" s="643">
        <f t="shared" si="8"/>
        <v>3000</v>
      </c>
      <c r="N40" s="355" t="s">
        <v>414</v>
      </c>
      <c r="O40" s="2479"/>
      <c r="P40" s="2480">
        <f t="shared" si="9"/>
        <v>3000</v>
      </c>
      <c r="Q40" s="375">
        <v>250</v>
      </c>
      <c r="R40" s="374"/>
      <c r="S40" s="374">
        <v>12</v>
      </c>
      <c r="T40" s="301"/>
    </row>
    <row r="41" spans="1:20" s="951" customFormat="1">
      <c r="A41" s="1340"/>
      <c r="B41" s="911"/>
      <c r="C41" s="1646"/>
      <c r="D41" s="490"/>
      <c r="E41" s="488"/>
      <c r="F41" s="488"/>
      <c r="G41" s="490"/>
      <c r="H41" s="1246"/>
      <c r="I41" s="1242"/>
      <c r="J41" s="1246"/>
      <c r="K41" s="648" t="s">
        <v>2170</v>
      </c>
      <c r="L41" s="2482"/>
      <c r="M41" s="643">
        <f>SUM(M42:M47)</f>
        <v>30160</v>
      </c>
      <c r="N41" s="357" t="s">
        <v>2171</v>
      </c>
      <c r="O41" s="362"/>
      <c r="P41" s="2480"/>
      <c r="Q41" s="375"/>
      <c r="R41" s="374"/>
      <c r="S41" s="374"/>
      <c r="T41" s="301"/>
    </row>
    <row r="42" spans="1:20" s="951" customFormat="1">
      <c r="A42" s="1340"/>
      <c r="B42" s="911"/>
      <c r="C42" s="1646"/>
      <c r="D42" s="490"/>
      <c r="E42" s="488"/>
      <c r="F42" s="488"/>
      <c r="G42" s="490"/>
      <c r="H42" s="1246"/>
      <c r="I42" s="1242"/>
      <c r="J42" s="1246"/>
      <c r="K42" s="651" t="s">
        <v>2172</v>
      </c>
      <c r="L42" s="2491" t="s">
        <v>292</v>
      </c>
      <c r="M42" s="660">
        <f>P42</f>
        <v>2000</v>
      </c>
      <c r="N42" s="355" t="s">
        <v>2173</v>
      </c>
      <c r="O42" s="2479">
        <f>SUM(P42:P47)</f>
        <v>30160</v>
      </c>
      <c r="P42" s="2480">
        <f>Q42*S42</f>
        <v>2000</v>
      </c>
      <c r="Q42" s="375">
        <v>2000</v>
      </c>
      <c r="R42" s="374"/>
      <c r="S42" s="374">
        <v>1</v>
      </c>
      <c r="T42" s="301"/>
    </row>
    <row r="43" spans="1:20" s="951" customFormat="1">
      <c r="A43" s="1340"/>
      <c r="B43" s="911"/>
      <c r="C43" s="1646"/>
      <c r="D43" s="490"/>
      <c r="E43" s="488"/>
      <c r="F43" s="488"/>
      <c r="G43" s="490"/>
      <c r="H43" s="1246"/>
      <c r="I43" s="1242"/>
      <c r="J43" s="1246"/>
      <c r="K43" s="2481" t="s">
        <v>2174</v>
      </c>
      <c r="L43" s="2482" t="s">
        <v>292</v>
      </c>
      <c r="M43" s="643">
        <f t="shared" ref="M43" si="10">P43</f>
        <v>6100</v>
      </c>
      <c r="N43" s="2492" t="s">
        <v>2175</v>
      </c>
      <c r="O43" s="2479"/>
      <c r="P43" s="2480">
        <f>Q43*R43</f>
        <v>6100</v>
      </c>
      <c r="Q43" s="375">
        <v>6100</v>
      </c>
      <c r="R43" s="374">
        <v>1</v>
      </c>
      <c r="S43" s="374"/>
      <c r="T43" s="301"/>
    </row>
    <row r="44" spans="1:20" s="951" customFormat="1">
      <c r="A44" s="1340"/>
      <c r="B44" s="911"/>
      <c r="C44" s="1646"/>
      <c r="D44" s="490"/>
      <c r="E44" s="488"/>
      <c r="F44" s="488"/>
      <c r="G44" s="490"/>
      <c r="H44" s="1246"/>
      <c r="I44" s="1242"/>
      <c r="J44" s="1246"/>
      <c r="K44" s="2481" t="s">
        <v>2176</v>
      </c>
      <c r="L44" s="2482" t="s">
        <v>292</v>
      </c>
      <c r="M44" s="643">
        <f>P44</f>
        <v>13000</v>
      </c>
      <c r="N44" s="2492" t="s">
        <v>416</v>
      </c>
      <c r="O44" s="2479"/>
      <c r="P44" s="2480">
        <f>Q44*R44</f>
        <v>13000</v>
      </c>
      <c r="Q44" s="375">
        <v>6500</v>
      </c>
      <c r="R44" s="374">
        <v>2</v>
      </c>
      <c r="S44" s="374"/>
      <c r="T44" s="301"/>
    </row>
    <row r="45" spans="1:20" s="951" customFormat="1">
      <c r="A45" s="1340"/>
      <c r="B45" s="911"/>
      <c r="C45" s="1646"/>
      <c r="D45" s="490"/>
      <c r="E45" s="488"/>
      <c r="F45" s="488"/>
      <c r="G45" s="490"/>
      <c r="H45" s="1246"/>
      <c r="I45" s="1242"/>
      <c r="J45" s="1246"/>
      <c r="K45" s="2481" t="s">
        <v>2177</v>
      </c>
      <c r="L45" s="2482" t="s">
        <v>292</v>
      </c>
      <c r="M45" s="643">
        <f>P45</f>
        <v>4000</v>
      </c>
      <c r="N45" s="355" t="s">
        <v>757</v>
      </c>
      <c r="O45" s="2479"/>
      <c r="P45" s="2480">
        <f>Q45*R45</f>
        <v>4000</v>
      </c>
      <c r="Q45" s="375">
        <v>4000</v>
      </c>
      <c r="R45" s="374">
        <v>1</v>
      </c>
      <c r="S45" s="374"/>
      <c r="T45" s="301"/>
    </row>
    <row r="46" spans="1:20" s="951" customFormat="1">
      <c r="A46" s="1340"/>
      <c r="B46" s="911"/>
      <c r="C46" s="1646"/>
      <c r="D46" s="490"/>
      <c r="E46" s="488"/>
      <c r="F46" s="488"/>
      <c r="G46" s="490"/>
      <c r="H46" s="1246"/>
      <c r="I46" s="1242"/>
      <c r="J46" s="1246"/>
      <c r="K46" s="2481" t="s">
        <v>2178</v>
      </c>
      <c r="L46" s="2482" t="s">
        <v>292</v>
      </c>
      <c r="M46" s="643">
        <f>P46</f>
        <v>5000</v>
      </c>
      <c r="N46" s="355" t="s">
        <v>417</v>
      </c>
      <c r="O46" s="2479"/>
      <c r="P46" s="2480">
        <f>Q46*R46</f>
        <v>5000</v>
      </c>
      <c r="Q46" s="375">
        <v>5000</v>
      </c>
      <c r="R46" s="374">
        <v>1</v>
      </c>
      <c r="S46" s="374"/>
      <c r="T46" s="301"/>
    </row>
    <row r="47" spans="1:20" s="951" customFormat="1">
      <c r="A47" s="1340"/>
      <c r="B47" s="911"/>
      <c r="C47" s="1646"/>
      <c r="D47" s="490"/>
      <c r="E47" s="488"/>
      <c r="F47" s="488"/>
      <c r="G47" s="490"/>
      <c r="H47" s="1246"/>
      <c r="I47" s="1242"/>
      <c r="J47" s="1246"/>
      <c r="K47" s="2481" t="s">
        <v>2179</v>
      </c>
      <c r="L47" s="2482" t="s">
        <v>292</v>
      </c>
      <c r="M47" s="643">
        <f>P47</f>
        <v>60</v>
      </c>
      <c r="N47" s="355"/>
      <c r="O47" s="2479"/>
      <c r="P47" s="2480">
        <f>Q47*R47</f>
        <v>60</v>
      </c>
      <c r="Q47" s="375">
        <v>60</v>
      </c>
      <c r="R47" s="374">
        <v>1</v>
      </c>
      <c r="S47" s="374"/>
      <c r="T47" s="301"/>
    </row>
    <row r="48" spans="1:20" s="951" customFormat="1">
      <c r="A48" s="1340"/>
      <c r="B48" s="911"/>
      <c r="C48" s="1646"/>
      <c r="D48" s="490"/>
      <c r="E48" s="488"/>
      <c r="F48" s="488"/>
      <c r="G48" s="490"/>
      <c r="H48" s="1246"/>
      <c r="I48" s="1242"/>
      <c r="J48" s="1246"/>
      <c r="K48" s="648" t="s">
        <v>2180</v>
      </c>
      <c r="L48" s="2482"/>
      <c r="M48" s="643">
        <f>SUM(M49:M58)</f>
        <v>346420</v>
      </c>
      <c r="N48" s="357" t="s">
        <v>2181</v>
      </c>
      <c r="O48" s="362"/>
      <c r="P48" s="2480"/>
      <c r="Q48" s="375"/>
      <c r="R48" s="374"/>
      <c r="S48" s="374"/>
      <c r="T48" s="301"/>
    </row>
    <row r="49" spans="1:22" s="951" customFormat="1">
      <c r="A49" s="1340"/>
      <c r="B49" s="911"/>
      <c r="C49" s="1646"/>
      <c r="D49" s="490"/>
      <c r="E49" s="488"/>
      <c r="F49" s="488"/>
      <c r="G49" s="490"/>
      <c r="H49" s="1246"/>
      <c r="I49" s="1242"/>
      <c r="J49" s="1246"/>
      <c r="K49" s="370" t="s">
        <v>754</v>
      </c>
      <c r="L49" s="2486" t="s">
        <v>292</v>
      </c>
      <c r="M49" s="957">
        <f>P49</f>
        <v>240000</v>
      </c>
      <c r="N49" s="958" t="s">
        <v>412</v>
      </c>
      <c r="O49" s="2479">
        <f>SUM(P49:P58)</f>
        <v>346420</v>
      </c>
      <c r="P49" s="2483">
        <f>Q49*S49</f>
        <v>240000</v>
      </c>
      <c r="Q49" s="2484">
        <v>20000</v>
      </c>
      <c r="R49" s="2485"/>
      <c r="S49" s="2485">
        <v>12</v>
      </c>
      <c r="T49" s="301"/>
    </row>
    <row r="50" spans="1:22" s="951" customFormat="1">
      <c r="A50" s="1340"/>
      <c r="B50" s="911"/>
      <c r="C50" s="1646"/>
      <c r="D50" s="490"/>
      <c r="E50" s="488"/>
      <c r="F50" s="488"/>
      <c r="G50" s="490"/>
      <c r="H50" s="1246"/>
      <c r="I50" s="1242"/>
      <c r="J50" s="1246"/>
      <c r="K50" s="2481" t="s">
        <v>2182</v>
      </c>
      <c r="L50" s="2482" t="s">
        <v>292</v>
      </c>
      <c r="M50" s="643">
        <f t="shared" ref="M50:M58" si="11">P50</f>
        <v>43200</v>
      </c>
      <c r="N50" s="355" t="s">
        <v>2183</v>
      </c>
      <c r="O50" s="2479"/>
      <c r="P50" s="2480">
        <f>Q50*R50</f>
        <v>43200</v>
      </c>
      <c r="Q50" s="375">
        <v>3600</v>
      </c>
      <c r="R50" s="374">
        <v>12</v>
      </c>
      <c r="S50" s="374"/>
      <c r="T50" s="301"/>
    </row>
    <row r="51" spans="1:22" s="951" customFormat="1">
      <c r="A51" s="1340"/>
      <c r="B51" s="911"/>
      <c r="C51" s="1646"/>
      <c r="D51" s="490"/>
      <c r="E51" s="488"/>
      <c r="F51" s="488"/>
      <c r="G51" s="490"/>
      <c r="H51" s="1246"/>
      <c r="I51" s="1242"/>
      <c r="J51" s="1246"/>
      <c r="K51" s="2481" t="s">
        <v>2184</v>
      </c>
      <c r="L51" s="2482" t="s">
        <v>292</v>
      </c>
      <c r="M51" s="643">
        <f t="shared" si="11"/>
        <v>4000</v>
      </c>
      <c r="N51" s="355" t="s">
        <v>2185</v>
      </c>
      <c r="O51" s="2479"/>
      <c r="P51" s="2480">
        <f>Q51*R51*S51</f>
        <v>4000</v>
      </c>
      <c r="Q51" s="375">
        <v>500</v>
      </c>
      <c r="R51" s="374">
        <v>1</v>
      </c>
      <c r="S51" s="374">
        <v>8</v>
      </c>
      <c r="T51" s="301"/>
    </row>
    <row r="52" spans="1:22" s="951" customFormat="1">
      <c r="A52" s="1340"/>
      <c r="B52" s="911"/>
      <c r="C52" s="1646"/>
      <c r="D52" s="490"/>
      <c r="E52" s="488"/>
      <c r="F52" s="488"/>
      <c r="G52" s="490"/>
      <c r="H52" s="1246"/>
      <c r="I52" s="1242"/>
      <c r="J52" s="1246"/>
      <c r="K52" s="2481" t="s">
        <v>2186</v>
      </c>
      <c r="L52" s="2482" t="s">
        <v>292</v>
      </c>
      <c r="M52" s="643">
        <f t="shared" si="11"/>
        <v>10800</v>
      </c>
      <c r="N52" s="355" t="s">
        <v>418</v>
      </c>
      <c r="O52" s="2479"/>
      <c r="P52" s="2480">
        <f>Q52*R52*S52+3000</f>
        <v>10800</v>
      </c>
      <c r="Q52" s="375">
        <v>650</v>
      </c>
      <c r="R52" s="374">
        <v>1</v>
      </c>
      <c r="S52" s="374">
        <v>12</v>
      </c>
      <c r="T52" s="301"/>
    </row>
    <row r="53" spans="1:22" s="951" customFormat="1">
      <c r="A53" s="1340"/>
      <c r="B53" s="911"/>
      <c r="C53" s="1646"/>
      <c r="D53" s="490"/>
      <c r="E53" s="488"/>
      <c r="F53" s="488"/>
      <c r="G53" s="490"/>
      <c r="H53" s="1246"/>
      <c r="I53" s="1242"/>
      <c r="J53" s="1246"/>
      <c r="K53" s="2481" t="s">
        <v>2187</v>
      </c>
      <c r="L53" s="2482" t="s">
        <v>292</v>
      </c>
      <c r="M53" s="643">
        <f t="shared" si="11"/>
        <v>22800</v>
      </c>
      <c r="N53" s="355" t="s">
        <v>419</v>
      </c>
      <c r="O53" s="2479"/>
      <c r="P53" s="2480">
        <f>Q53*R53*S53</f>
        <v>22800</v>
      </c>
      <c r="Q53" s="375">
        <v>1900</v>
      </c>
      <c r="R53" s="374">
        <v>1</v>
      </c>
      <c r="S53" s="374">
        <v>12</v>
      </c>
      <c r="T53" s="301"/>
    </row>
    <row r="54" spans="1:22" s="951" customFormat="1">
      <c r="A54" s="1340"/>
      <c r="B54" s="911"/>
      <c r="C54" s="1646"/>
      <c r="D54" s="490"/>
      <c r="E54" s="488"/>
      <c r="F54" s="488"/>
      <c r="G54" s="490"/>
      <c r="H54" s="1246"/>
      <c r="I54" s="1242"/>
      <c r="J54" s="1246"/>
      <c r="K54" s="2481" t="s">
        <v>2188</v>
      </c>
      <c r="L54" s="2482" t="s">
        <v>292</v>
      </c>
      <c r="M54" s="643">
        <f t="shared" si="11"/>
        <v>15000</v>
      </c>
      <c r="N54" s="355" t="s">
        <v>2189</v>
      </c>
      <c r="O54" s="2479"/>
      <c r="P54" s="2480">
        <f>Q54*R54*S54</f>
        <v>15000</v>
      </c>
      <c r="Q54" s="375">
        <v>1000</v>
      </c>
      <c r="R54" s="374">
        <v>1</v>
      </c>
      <c r="S54" s="374">
        <v>15</v>
      </c>
      <c r="T54" s="301"/>
    </row>
    <row r="55" spans="1:22" s="951" customFormat="1">
      <c r="A55" s="1340"/>
      <c r="B55" s="911"/>
      <c r="C55" s="1646"/>
      <c r="D55" s="490"/>
      <c r="E55" s="488"/>
      <c r="F55" s="488"/>
      <c r="G55" s="490"/>
      <c r="H55" s="1246"/>
      <c r="I55" s="1242"/>
      <c r="J55" s="1246"/>
      <c r="K55" s="2481" t="s">
        <v>2190</v>
      </c>
      <c r="L55" s="2482" t="s">
        <v>292</v>
      </c>
      <c r="M55" s="643">
        <f t="shared" si="11"/>
        <v>600</v>
      </c>
      <c r="N55" s="355" t="s">
        <v>2191</v>
      </c>
      <c r="O55" s="2479"/>
      <c r="P55" s="2480">
        <f>Q55*R55*S55</f>
        <v>600</v>
      </c>
      <c r="Q55" s="375">
        <v>100</v>
      </c>
      <c r="R55" s="374">
        <v>1</v>
      </c>
      <c r="S55" s="374">
        <v>6</v>
      </c>
      <c r="T55" s="301"/>
    </row>
    <row r="56" spans="1:22" s="1631" customFormat="1">
      <c r="A56" s="1624"/>
      <c r="B56" s="1650"/>
      <c r="C56" s="346"/>
      <c r="D56" s="1625"/>
      <c r="E56" s="1626"/>
      <c r="F56" s="1626"/>
      <c r="G56" s="1626"/>
      <c r="H56" s="1627"/>
      <c r="I56" s="1627"/>
      <c r="J56" s="1628"/>
      <c r="K56" s="2481" t="s">
        <v>982</v>
      </c>
      <c r="L56" s="2482" t="s">
        <v>292</v>
      </c>
      <c r="M56" s="643">
        <f t="shared" si="11"/>
        <v>3300</v>
      </c>
      <c r="N56" s="643" t="s">
        <v>2192</v>
      </c>
      <c r="O56" s="2479"/>
      <c r="P56" s="2483">
        <f t="shared" ref="P56" si="12">Q56*S56</f>
        <v>3300</v>
      </c>
      <c r="Q56" s="2484">
        <v>550</v>
      </c>
      <c r="R56" s="2485"/>
      <c r="S56" s="2485">
        <v>6</v>
      </c>
      <c r="T56" s="1629"/>
      <c r="U56" s="1630"/>
      <c r="V56" s="1630"/>
    </row>
    <row r="57" spans="1:22" s="951" customFormat="1">
      <c r="A57" s="1340"/>
      <c r="B57" s="911"/>
      <c r="C57" s="1646"/>
      <c r="D57" s="490"/>
      <c r="E57" s="488"/>
      <c r="F57" s="488"/>
      <c r="G57" s="488"/>
      <c r="H57" s="1242"/>
      <c r="I57" s="1242"/>
      <c r="J57" s="1242"/>
      <c r="K57" s="2481" t="s">
        <v>2193</v>
      </c>
      <c r="L57" s="2482" t="s">
        <v>292</v>
      </c>
      <c r="M57" s="643">
        <f t="shared" si="11"/>
        <v>720</v>
      </c>
      <c r="N57" s="355" t="s">
        <v>2194</v>
      </c>
      <c r="O57" s="2479"/>
      <c r="P57" s="2480">
        <f>Q57*T57*S57</f>
        <v>720</v>
      </c>
      <c r="Q57" s="375">
        <v>15</v>
      </c>
      <c r="R57" s="374"/>
      <c r="S57" s="374">
        <v>4</v>
      </c>
      <c r="T57" s="301">
        <v>12</v>
      </c>
    </row>
    <row r="58" spans="1:22" s="951" customFormat="1">
      <c r="A58" s="1340"/>
      <c r="B58" s="911"/>
      <c r="C58" s="1646"/>
      <c r="D58" s="490"/>
      <c r="E58" s="488"/>
      <c r="F58" s="488"/>
      <c r="G58" s="488"/>
      <c r="H58" s="1246"/>
      <c r="I58" s="1242"/>
      <c r="J58" s="1246"/>
      <c r="K58" s="2481" t="s">
        <v>756</v>
      </c>
      <c r="L58" s="2482" t="s">
        <v>292</v>
      </c>
      <c r="M58" s="643">
        <f t="shared" si="11"/>
        <v>6000</v>
      </c>
      <c r="N58" s="355" t="s">
        <v>415</v>
      </c>
      <c r="O58" s="2479"/>
      <c r="P58" s="2480">
        <f>Q58*T58</f>
        <v>6000</v>
      </c>
      <c r="Q58" s="375">
        <v>2000</v>
      </c>
      <c r="R58" s="374"/>
      <c r="S58" s="374"/>
      <c r="T58" s="301">
        <v>3</v>
      </c>
    </row>
    <row r="59" spans="1:22" s="951" customFormat="1">
      <c r="A59" s="1340"/>
      <c r="B59" s="911"/>
      <c r="C59" s="1646"/>
      <c r="D59" s="490"/>
      <c r="E59" s="488"/>
      <c r="F59" s="488"/>
      <c r="G59" s="488"/>
      <c r="H59" s="1246"/>
      <c r="I59" s="1242"/>
      <c r="J59" s="1246"/>
      <c r="K59" s="2481" t="s">
        <v>2195</v>
      </c>
      <c r="L59" s="2482"/>
      <c r="M59" s="643">
        <f>SUM(M60:M61)</f>
        <v>13680</v>
      </c>
      <c r="N59" s="357" t="s">
        <v>774</v>
      </c>
      <c r="O59" s="2479">
        <f>SUM(P60:P61)</f>
        <v>13680</v>
      </c>
      <c r="P59" s="2480"/>
      <c r="Q59" s="375"/>
      <c r="R59" s="374"/>
      <c r="S59" s="374"/>
      <c r="T59" s="301"/>
    </row>
    <row r="60" spans="1:22" s="951" customFormat="1">
      <c r="A60" s="1340"/>
      <c r="B60" s="911"/>
      <c r="C60" s="1646"/>
      <c r="D60" s="490"/>
      <c r="E60" s="488"/>
      <c r="F60" s="488"/>
      <c r="G60" s="488"/>
      <c r="H60" s="1246"/>
      <c r="I60" s="1242"/>
      <c r="J60" s="1246"/>
      <c r="K60" s="2481" t="s">
        <v>2196</v>
      </c>
      <c r="L60" s="2482" t="s">
        <v>292</v>
      </c>
      <c r="M60" s="643">
        <f>P60</f>
        <v>13200</v>
      </c>
      <c r="N60" s="355" t="s">
        <v>775</v>
      </c>
      <c r="O60" s="2479"/>
      <c r="P60" s="2480">
        <f>Q60*S60</f>
        <v>13200</v>
      </c>
      <c r="Q60" s="375">
        <v>1100</v>
      </c>
      <c r="R60" s="374"/>
      <c r="S60" s="374">
        <v>12</v>
      </c>
      <c r="T60" s="301"/>
    </row>
    <row r="61" spans="1:22" s="951" customFormat="1">
      <c r="A61" s="1340"/>
      <c r="B61" s="911"/>
      <c r="C61" s="1646"/>
      <c r="D61" s="490"/>
      <c r="E61" s="488"/>
      <c r="F61" s="488"/>
      <c r="G61" s="488"/>
      <c r="H61" s="1246"/>
      <c r="I61" s="1242"/>
      <c r="J61" s="1246"/>
      <c r="K61" s="370" t="s">
        <v>2197</v>
      </c>
      <c r="L61" s="2482" t="s">
        <v>292</v>
      </c>
      <c r="M61" s="643">
        <f>P61</f>
        <v>480</v>
      </c>
      <c r="N61" s="355" t="s">
        <v>776</v>
      </c>
      <c r="O61" s="2479"/>
      <c r="P61" s="2480">
        <f>Q61*S61</f>
        <v>480</v>
      </c>
      <c r="Q61" s="375">
        <v>40</v>
      </c>
      <c r="R61" s="374"/>
      <c r="S61" s="374">
        <v>12</v>
      </c>
      <c r="T61" s="301"/>
    </row>
    <row r="62" spans="1:22" s="951" customFormat="1">
      <c r="A62" s="1340"/>
      <c r="B62" s="911"/>
      <c r="C62" s="1646"/>
      <c r="D62" s="1243"/>
      <c r="E62" s="1244"/>
      <c r="F62" s="1244"/>
      <c r="G62" s="488"/>
      <c r="H62" s="1245"/>
      <c r="I62" s="1242"/>
      <c r="J62" s="1246"/>
      <c r="K62" s="649" t="s">
        <v>2198</v>
      </c>
      <c r="L62" s="667" t="s">
        <v>292</v>
      </c>
      <c r="M62" s="644">
        <f t="shared" ref="M62" si="13">O62</f>
        <v>600</v>
      </c>
      <c r="N62" s="644" t="s">
        <v>2199</v>
      </c>
      <c r="O62" s="2483">
        <f>P62</f>
        <v>600</v>
      </c>
      <c r="P62" s="2484">
        <f>Q62*R62*S62</f>
        <v>600</v>
      </c>
      <c r="Q62" s="2485">
        <v>100</v>
      </c>
      <c r="R62" s="2485">
        <v>1</v>
      </c>
      <c r="S62" s="2493">
        <v>6</v>
      </c>
      <c r="T62" s="364"/>
    </row>
    <row r="63" spans="1:22" s="951" customFormat="1">
      <c r="A63" s="1340"/>
      <c r="B63" s="911"/>
      <c r="C63" s="1646"/>
      <c r="D63" s="490"/>
      <c r="E63" s="488"/>
      <c r="F63" s="490"/>
      <c r="G63" s="646" t="s">
        <v>331</v>
      </c>
      <c r="H63" s="1237">
        <f>O63</f>
        <v>34000</v>
      </c>
      <c r="I63" s="1237">
        <v>26224</v>
      </c>
      <c r="J63" s="1237">
        <f>H63-I63</f>
        <v>7776</v>
      </c>
      <c r="K63" s="2494"/>
      <c r="L63" s="2482"/>
      <c r="M63" s="2495">
        <f>SUM(M64,M69,M72)</f>
        <v>34000</v>
      </c>
      <c r="N63" s="357"/>
      <c r="O63" s="2496">
        <f>SUM(O64:O73)</f>
        <v>34000</v>
      </c>
      <c r="P63" s="2480"/>
      <c r="Q63" s="375"/>
      <c r="R63" s="374"/>
      <c r="S63" s="374"/>
      <c r="T63" s="301"/>
    </row>
    <row r="64" spans="1:22" s="951" customFormat="1">
      <c r="A64" s="1340"/>
      <c r="B64" s="911"/>
      <c r="C64" s="1646"/>
      <c r="D64" s="490"/>
      <c r="E64" s="488"/>
      <c r="F64" s="490"/>
      <c r="G64" s="490"/>
      <c r="H64" s="1242"/>
      <c r="I64" s="1242"/>
      <c r="J64" s="1242"/>
      <c r="K64" s="2481" t="s">
        <v>420</v>
      </c>
      <c r="L64" s="2482"/>
      <c r="M64" s="643">
        <f>SUM(M65:M68)</f>
        <v>7200</v>
      </c>
      <c r="N64" s="357" t="s">
        <v>421</v>
      </c>
      <c r="O64" s="2479">
        <f>SUM(P65:P68)</f>
        <v>7200</v>
      </c>
      <c r="P64" s="2480"/>
      <c r="Q64" s="375"/>
      <c r="R64" s="374"/>
      <c r="S64" s="374"/>
      <c r="T64" s="301"/>
    </row>
    <row r="65" spans="1:22" s="951" customFormat="1">
      <c r="A65" s="1340"/>
      <c r="B65" s="911"/>
      <c r="C65" s="1646"/>
      <c r="D65" s="490"/>
      <c r="E65" s="488"/>
      <c r="F65" s="488"/>
      <c r="G65" s="488"/>
      <c r="H65" s="1242"/>
      <c r="I65" s="1242"/>
      <c r="J65" s="1242"/>
      <c r="K65" s="2481" t="s">
        <v>2200</v>
      </c>
      <c r="L65" s="2482" t="s">
        <v>752</v>
      </c>
      <c r="M65" s="643">
        <f>P65</f>
        <v>1680</v>
      </c>
      <c r="N65" s="643" t="s">
        <v>758</v>
      </c>
      <c r="O65" s="2479"/>
      <c r="P65" s="2480">
        <f>Q65*R65*S65</f>
        <v>1680</v>
      </c>
      <c r="Q65" s="375">
        <v>70</v>
      </c>
      <c r="R65" s="374">
        <v>2</v>
      </c>
      <c r="S65" s="374">
        <v>12</v>
      </c>
      <c r="T65" s="301"/>
    </row>
    <row r="66" spans="1:22" s="951" customFormat="1">
      <c r="A66" s="1340"/>
      <c r="B66" s="911"/>
      <c r="C66" s="1646"/>
      <c r="D66" s="490"/>
      <c r="E66" s="488"/>
      <c r="F66" s="488"/>
      <c r="G66" s="488"/>
      <c r="H66" s="1242"/>
      <c r="I66" s="1242"/>
      <c r="J66" s="1242"/>
      <c r="K66" s="2481" t="s">
        <v>2201</v>
      </c>
      <c r="L66" s="2482" t="s">
        <v>292</v>
      </c>
      <c r="M66" s="643">
        <f t="shared" ref="M66:M68" si="14">P66</f>
        <v>1440</v>
      </c>
      <c r="N66" s="355" t="s">
        <v>2202</v>
      </c>
      <c r="O66" s="2479"/>
      <c r="P66" s="2480">
        <f t="shared" ref="P66:P68" si="15">Q66*R66*S66</f>
        <v>1440</v>
      </c>
      <c r="Q66" s="375">
        <v>20</v>
      </c>
      <c r="R66" s="374">
        <v>6</v>
      </c>
      <c r="S66" s="374">
        <v>12</v>
      </c>
      <c r="T66" s="301"/>
    </row>
    <row r="67" spans="1:22" s="951" customFormat="1">
      <c r="A67" s="1340"/>
      <c r="B67" s="911"/>
      <c r="C67" s="1646"/>
      <c r="D67" s="490"/>
      <c r="E67" s="488"/>
      <c r="F67" s="488"/>
      <c r="G67" s="488"/>
      <c r="H67" s="1242"/>
      <c r="I67" s="1242"/>
      <c r="J67" s="1242"/>
      <c r="K67" s="2481" t="s">
        <v>2203</v>
      </c>
      <c r="L67" s="2482" t="s">
        <v>292</v>
      </c>
      <c r="M67" s="643">
        <f t="shared" si="14"/>
        <v>3360</v>
      </c>
      <c r="N67" s="355" t="s">
        <v>2204</v>
      </c>
      <c r="O67" s="2479"/>
      <c r="P67" s="2480">
        <f t="shared" si="15"/>
        <v>3360</v>
      </c>
      <c r="Q67" s="375">
        <v>140</v>
      </c>
      <c r="R67" s="374">
        <v>2</v>
      </c>
      <c r="S67" s="374">
        <v>12</v>
      </c>
      <c r="T67" s="301"/>
    </row>
    <row r="68" spans="1:22" s="1631" customFormat="1">
      <c r="A68" s="1624"/>
      <c r="B68" s="1650"/>
      <c r="C68" s="346"/>
      <c r="D68" s="1625"/>
      <c r="E68" s="1626"/>
      <c r="F68" s="1626"/>
      <c r="G68" s="1626"/>
      <c r="H68" s="1635"/>
      <c r="I68" s="1627"/>
      <c r="J68" s="1634"/>
      <c r="K68" s="2481" t="s">
        <v>2205</v>
      </c>
      <c r="L68" s="2482" t="s">
        <v>292</v>
      </c>
      <c r="M68" s="643">
        <f t="shared" si="14"/>
        <v>720</v>
      </c>
      <c r="N68" s="643" t="s">
        <v>2206</v>
      </c>
      <c r="O68" s="2479"/>
      <c r="P68" s="2483">
        <f t="shared" si="15"/>
        <v>720</v>
      </c>
      <c r="Q68" s="2484">
        <v>60</v>
      </c>
      <c r="R68" s="2485">
        <v>1</v>
      </c>
      <c r="S68" s="2485">
        <v>12</v>
      </c>
      <c r="T68" s="1629"/>
      <c r="U68" s="1630"/>
      <c r="V68" s="1630"/>
    </row>
    <row r="69" spans="1:22" s="951" customFormat="1">
      <c r="A69" s="1340"/>
      <c r="B69" s="911"/>
      <c r="C69" s="1646"/>
      <c r="D69" s="1243"/>
      <c r="E69" s="1244"/>
      <c r="F69" s="1244"/>
      <c r="G69" s="488"/>
      <c r="H69" s="1245"/>
      <c r="I69" s="1242"/>
      <c r="J69" s="1246"/>
      <c r="K69" s="2481" t="s">
        <v>422</v>
      </c>
      <c r="L69" s="2482"/>
      <c r="M69" s="643">
        <f>SUM(M70:M71)</f>
        <v>14800</v>
      </c>
      <c r="N69" s="357" t="s">
        <v>423</v>
      </c>
      <c r="O69" s="2479">
        <f>SUM(P70:P71)</f>
        <v>14800</v>
      </c>
      <c r="P69" s="2480"/>
      <c r="Q69" s="375"/>
      <c r="R69" s="374"/>
      <c r="S69" s="374"/>
      <c r="T69" s="374"/>
    </row>
    <row r="70" spans="1:22" s="951" customFormat="1">
      <c r="A70" s="1340"/>
      <c r="B70" s="911"/>
      <c r="C70" s="1646"/>
      <c r="D70" s="1243"/>
      <c r="E70" s="1244"/>
      <c r="F70" s="1244"/>
      <c r="G70" s="1244"/>
      <c r="H70" s="1245"/>
      <c r="I70" s="1242"/>
      <c r="J70" s="1246"/>
      <c r="K70" s="652" t="s">
        <v>2207</v>
      </c>
      <c r="L70" s="2491" t="s">
        <v>292</v>
      </c>
      <c r="M70" s="643">
        <f>P70</f>
        <v>13200</v>
      </c>
      <c r="N70" s="360" t="s">
        <v>2208</v>
      </c>
      <c r="O70" s="2479"/>
      <c r="P70" s="2480">
        <f>Q70*S70</f>
        <v>13200</v>
      </c>
      <c r="Q70" s="375">
        <v>2200</v>
      </c>
      <c r="R70" s="374"/>
      <c r="S70" s="374">
        <v>6</v>
      </c>
      <c r="T70" s="374"/>
    </row>
    <row r="71" spans="1:22" s="951" customFormat="1">
      <c r="A71" s="1340"/>
      <c r="B71" s="911"/>
      <c r="C71" s="1646"/>
      <c r="D71" s="1243"/>
      <c r="E71" s="1244"/>
      <c r="F71" s="1244"/>
      <c r="G71" s="1244"/>
      <c r="H71" s="1245"/>
      <c r="I71" s="1242"/>
      <c r="J71" s="1246"/>
      <c r="K71" s="2481" t="s">
        <v>2437</v>
      </c>
      <c r="L71" s="2482" t="s">
        <v>292</v>
      </c>
      <c r="M71" s="643">
        <f t="shared" ref="M71" si="16">P71</f>
        <v>1600</v>
      </c>
      <c r="N71" s="355" t="s">
        <v>2209</v>
      </c>
      <c r="O71" s="2479"/>
      <c r="P71" s="2480">
        <f>Q71*S71</f>
        <v>1600</v>
      </c>
      <c r="Q71" s="375">
        <v>800</v>
      </c>
      <c r="R71" s="374"/>
      <c r="S71" s="374">
        <v>2</v>
      </c>
      <c r="T71" s="374"/>
    </row>
    <row r="72" spans="1:22" s="951" customFormat="1">
      <c r="A72" s="1340"/>
      <c r="B72" s="911"/>
      <c r="C72" s="1646"/>
      <c r="D72" s="490"/>
      <c r="E72" s="488"/>
      <c r="F72" s="488"/>
      <c r="G72" s="488"/>
      <c r="H72" s="1242"/>
      <c r="I72" s="1242"/>
      <c r="J72" s="1242"/>
      <c r="K72" s="2481" t="s">
        <v>424</v>
      </c>
      <c r="L72" s="2482"/>
      <c r="M72" s="643">
        <f>O72</f>
        <v>12000</v>
      </c>
      <c r="N72" s="357" t="s">
        <v>425</v>
      </c>
      <c r="O72" s="2479">
        <f>SUM(P73:P73)</f>
        <v>12000</v>
      </c>
      <c r="P72" s="2480"/>
      <c r="Q72" s="375"/>
      <c r="R72" s="374"/>
      <c r="S72" s="374"/>
      <c r="T72" s="301"/>
    </row>
    <row r="73" spans="1:22" s="951" customFormat="1">
      <c r="A73" s="1340"/>
      <c r="B73" s="911"/>
      <c r="C73" s="1646"/>
      <c r="D73" s="490"/>
      <c r="E73" s="488"/>
      <c r="F73" s="490"/>
      <c r="G73" s="645"/>
      <c r="H73" s="1236"/>
      <c r="I73" s="1236"/>
      <c r="J73" s="1236"/>
      <c r="K73" s="647" t="s">
        <v>759</v>
      </c>
      <c r="L73" s="667" t="s">
        <v>292</v>
      </c>
      <c r="M73" s="644">
        <f>P73</f>
        <v>12000</v>
      </c>
      <c r="N73" s="355" t="s">
        <v>760</v>
      </c>
      <c r="O73" s="2479"/>
      <c r="P73" s="2480">
        <f>Q73*R73*S73</f>
        <v>12000</v>
      </c>
      <c r="Q73" s="375">
        <v>1000</v>
      </c>
      <c r="R73" s="374">
        <v>1</v>
      </c>
      <c r="S73" s="374">
        <v>12</v>
      </c>
      <c r="T73" s="301"/>
    </row>
    <row r="74" spans="1:22" s="951" customFormat="1">
      <c r="A74" s="1340"/>
      <c r="B74" s="911"/>
      <c r="C74" s="1646"/>
      <c r="D74" s="490"/>
      <c r="E74" s="488"/>
      <c r="F74" s="490"/>
      <c r="G74" s="490" t="s">
        <v>332</v>
      </c>
      <c r="H74" s="1247">
        <f>O74</f>
        <v>65840</v>
      </c>
      <c r="I74" s="1242">
        <v>54360</v>
      </c>
      <c r="J74" s="1242">
        <f>H74-I74</f>
        <v>11480</v>
      </c>
      <c r="K74" s="2494"/>
      <c r="L74" s="2491"/>
      <c r="M74" s="662">
        <f>SUM(M75,M79,M84,M85)</f>
        <v>65840</v>
      </c>
      <c r="N74" s="2497"/>
      <c r="O74" s="2496">
        <f>SUM(O75:O86)</f>
        <v>65840</v>
      </c>
      <c r="P74" s="2479"/>
      <c r="Q74" s="375"/>
      <c r="R74" s="374"/>
      <c r="S74" s="374"/>
      <c r="T74" s="364"/>
    </row>
    <row r="75" spans="1:22" s="1631" customFormat="1">
      <c r="A75" s="1624"/>
      <c r="B75" s="1650"/>
      <c r="C75" s="346"/>
      <c r="D75" s="490"/>
      <c r="E75" s="490"/>
      <c r="F75" s="490"/>
      <c r="G75" s="490"/>
      <c r="H75" s="1636"/>
      <c r="I75" s="1627"/>
      <c r="J75" s="1628"/>
      <c r="K75" s="648" t="s">
        <v>360</v>
      </c>
      <c r="L75" s="2498"/>
      <c r="M75" s="663">
        <f>SUM(M76:M78)</f>
        <v>24360</v>
      </c>
      <c r="N75" s="643" t="s">
        <v>426</v>
      </c>
      <c r="O75" s="2479">
        <f>SUM(P76:P78)</f>
        <v>24360</v>
      </c>
      <c r="P75" s="2483"/>
      <c r="Q75" s="2484"/>
      <c r="R75" s="2485"/>
      <c r="S75" s="2485"/>
      <c r="T75" s="956"/>
      <c r="U75" s="1630"/>
      <c r="V75" s="1630"/>
    </row>
    <row r="76" spans="1:22" s="1631" customFormat="1">
      <c r="A76" s="1624"/>
      <c r="B76" s="1650"/>
      <c r="C76" s="346"/>
      <c r="D76" s="490"/>
      <c r="E76" s="490"/>
      <c r="F76" s="490"/>
      <c r="G76" s="490"/>
      <c r="H76" s="1636"/>
      <c r="I76" s="1627"/>
      <c r="J76" s="1628"/>
      <c r="K76" s="648" t="s">
        <v>983</v>
      </c>
      <c r="L76" s="2498" t="s">
        <v>292</v>
      </c>
      <c r="M76" s="663">
        <f>P76</f>
        <v>10920</v>
      </c>
      <c r="N76" s="663" t="s">
        <v>427</v>
      </c>
      <c r="O76" s="2479"/>
      <c r="P76" s="2483">
        <f>Q76*R76*S76*T76</f>
        <v>10920</v>
      </c>
      <c r="Q76" s="2484">
        <v>130</v>
      </c>
      <c r="R76" s="2485">
        <v>42</v>
      </c>
      <c r="S76" s="2485">
        <v>2</v>
      </c>
      <c r="T76" s="956">
        <v>1</v>
      </c>
      <c r="U76" s="1630"/>
      <c r="V76" s="1630"/>
    </row>
    <row r="77" spans="1:22" s="1631" customFormat="1">
      <c r="A77" s="1624"/>
      <c r="B77" s="1650"/>
      <c r="C77" s="346"/>
      <c r="D77" s="490"/>
      <c r="E77" s="490"/>
      <c r="F77" s="490"/>
      <c r="G77" s="490"/>
      <c r="H77" s="1636"/>
      <c r="I77" s="1627"/>
      <c r="J77" s="1628"/>
      <c r="K77" s="648" t="s">
        <v>984</v>
      </c>
      <c r="L77" s="2498" t="s">
        <v>292</v>
      </c>
      <c r="M77" s="663">
        <f>P77</f>
        <v>6720</v>
      </c>
      <c r="N77" s="663" t="s">
        <v>761</v>
      </c>
      <c r="O77" s="2479"/>
      <c r="P77" s="2483">
        <f>Q77*R77*S77*T77</f>
        <v>6720</v>
      </c>
      <c r="Q77" s="2484">
        <v>80</v>
      </c>
      <c r="R77" s="2485">
        <v>42</v>
      </c>
      <c r="S77" s="2485">
        <v>2</v>
      </c>
      <c r="T77" s="956">
        <v>1</v>
      </c>
      <c r="U77" s="1630"/>
      <c r="V77" s="1630"/>
    </row>
    <row r="78" spans="1:22" s="1631" customFormat="1">
      <c r="A78" s="1624"/>
      <c r="B78" s="1650"/>
      <c r="C78" s="346"/>
      <c r="D78" s="490"/>
      <c r="E78" s="490"/>
      <c r="F78" s="490"/>
      <c r="G78" s="490"/>
      <c r="H78" s="1636"/>
      <c r="I78" s="1627"/>
      <c r="J78" s="1628"/>
      <c r="K78" s="648" t="s">
        <v>985</v>
      </c>
      <c r="L78" s="2498" t="s">
        <v>292</v>
      </c>
      <c r="M78" s="663">
        <f>P78</f>
        <v>6720</v>
      </c>
      <c r="N78" s="663" t="s">
        <v>428</v>
      </c>
      <c r="O78" s="2479"/>
      <c r="P78" s="2483">
        <f>Q78*R78*S78*T78</f>
        <v>6720</v>
      </c>
      <c r="Q78" s="2484">
        <v>80</v>
      </c>
      <c r="R78" s="2485">
        <v>42</v>
      </c>
      <c r="S78" s="2485">
        <v>2</v>
      </c>
      <c r="T78" s="956">
        <v>1</v>
      </c>
      <c r="U78" s="1630"/>
      <c r="V78" s="1630"/>
    </row>
    <row r="79" spans="1:22" s="1631" customFormat="1">
      <c r="A79" s="1624"/>
      <c r="B79" s="1650"/>
      <c r="C79" s="346"/>
      <c r="D79" s="490"/>
      <c r="E79" s="490"/>
      <c r="F79" s="490"/>
      <c r="G79" s="490"/>
      <c r="H79" s="1636"/>
      <c r="I79" s="1627"/>
      <c r="J79" s="1628"/>
      <c r="K79" s="651" t="s">
        <v>429</v>
      </c>
      <c r="L79" s="2498"/>
      <c r="M79" s="663">
        <f>SUM(M80:M83)</f>
        <v>35580</v>
      </c>
      <c r="N79" s="643" t="s">
        <v>430</v>
      </c>
      <c r="O79" s="2479">
        <f>SUM(P80:P83)</f>
        <v>35580</v>
      </c>
      <c r="P79" s="2483"/>
      <c r="Q79" s="2484"/>
      <c r="R79" s="2485"/>
      <c r="S79" s="2485"/>
      <c r="T79" s="956"/>
      <c r="U79" s="1630"/>
      <c r="V79" s="1630"/>
    </row>
    <row r="80" spans="1:22" s="1631" customFormat="1">
      <c r="A80" s="1624"/>
      <c r="B80" s="1650"/>
      <c r="C80" s="346"/>
      <c r="D80" s="490"/>
      <c r="E80" s="490"/>
      <c r="F80" s="490"/>
      <c r="G80" s="490"/>
      <c r="H80" s="1636"/>
      <c r="I80" s="1627"/>
      <c r="J80" s="1628"/>
      <c r="K80" s="651" t="s">
        <v>2210</v>
      </c>
      <c r="L80" s="2498" t="s">
        <v>292</v>
      </c>
      <c r="M80" s="663">
        <f>P80</f>
        <v>8400</v>
      </c>
      <c r="N80" s="663" t="s">
        <v>431</v>
      </c>
      <c r="O80" s="2479"/>
      <c r="P80" s="2483">
        <f>Q80*R80*S80</f>
        <v>8400</v>
      </c>
      <c r="Q80" s="2484">
        <v>100</v>
      </c>
      <c r="R80" s="2485">
        <v>42</v>
      </c>
      <c r="S80" s="2485">
        <v>2</v>
      </c>
      <c r="T80" s="956"/>
      <c r="U80" s="1630"/>
      <c r="V80" s="1630"/>
    </row>
    <row r="81" spans="1:22" s="1631" customFormat="1">
      <c r="A81" s="1624"/>
      <c r="B81" s="1650"/>
      <c r="C81" s="346"/>
      <c r="D81" s="490"/>
      <c r="E81" s="490"/>
      <c r="F81" s="490"/>
      <c r="G81" s="490"/>
      <c r="H81" s="1636"/>
      <c r="I81" s="1627"/>
      <c r="J81" s="1628"/>
      <c r="K81" s="651" t="s">
        <v>2211</v>
      </c>
      <c r="L81" s="2498" t="s">
        <v>292</v>
      </c>
      <c r="M81" s="663">
        <f>P81</f>
        <v>4200</v>
      </c>
      <c r="N81" s="663" t="s">
        <v>2212</v>
      </c>
      <c r="O81" s="2479"/>
      <c r="P81" s="2483">
        <f>Q81*R81*S81</f>
        <v>4200</v>
      </c>
      <c r="Q81" s="2484">
        <v>50</v>
      </c>
      <c r="R81" s="2485">
        <v>42</v>
      </c>
      <c r="S81" s="2485">
        <v>2</v>
      </c>
      <c r="T81" s="956"/>
      <c r="U81" s="1630"/>
      <c r="V81" s="1630"/>
    </row>
    <row r="82" spans="1:22" s="1631" customFormat="1">
      <c r="A82" s="1624"/>
      <c r="B82" s="1650"/>
      <c r="C82" s="346"/>
      <c r="D82" s="490"/>
      <c r="E82" s="490"/>
      <c r="F82" s="490"/>
      <c r="G82" s="490"/>
      <c r="H82" s="1636"/>
      <c r="I82" s="1627"/>
      <c r="J82" s="1628"/>
      <c r="K82" s="650" t="s">
        <v>2438</v>
      </c>
      <c r="L82" s="2498" t="s">
        <v>292</v>
      </c>
      <c r="M82" s="663">
        <f>P82</f>
        <v>10080</v>
      </c>
      <c r="N82" s="663" t="s">
        <v>432</v>
      </c>
      <c r="O82" s="2479"/>
      <c r="P82" s="2483">
        <f>Q82*R82*S82</f>
        <v>10080</v>
      </c>
      <c r="Q82" s="2484">
        <v>20</v>
      </c>
      <c r="R82" s="2485">
        <v>42</v>
      </c>
      <c r="S82" s="2485">
        <v>12</v>
      </c>
      <c r="T82" s="956"/>
      <c r="U82" s="1630"/>
      <c r="V82" s="1630"/>
    </row>
    <row r="83" spans="1:22" s="1631" customFormat="1">
      <c r="A83" s="1624"/>
      <c r="B83" s="1650"/>
      <c r="C83" s="346"/>
      <c r="D83" s="490"/>
      <c r="E83" s="490"/>
      <c r="F83" s="490"/>
      <c r="G83" s="490"/>
      <c r="H83" s="1636"/>
      <c r="I83" s="1627"/>
      <c r="J83" s="1628"/>
      <c r="K83" s="648" t="s">
        <v>2213</v>
      </c>
      <c r="L83" s="2491" t="s">
        <v>292</v>
      </c>
      <c r="M83" s="660">
        <f>P83</f>
        <v>12900</v>
      </c>
      <c r="N83" s="1632" t="s">
        <v>2214</v>
      </c>
      <c r="O83" s="2479"/>
      <c r="P83" s="2483">
        <f>Q83*S83</f>
        <v>12900</v>
      </c>
      <c r="Q83" s="2484">
        <v>1290</v>
      </c>
      <c r="R83" s="2485"/>
      <c r="S83" s="2485">
        <v>10</v>
      </c>
      <c r="T83" s="956"/>
      <c r="U83" s="1630"/>
      <c r="V83" s="1630"/>
    </row>
    <row r="84" spans="1:22" s="1631" customFormat="1">
      <c r="A84" s="1624"/>
      <c r="B84" s="1650"/>
      <c r="C84" s="346"/>
      <c r="D84" s="490"/>
      <c r="E84" s="490"/>
      <c r="F84" s="490"/>
      <c r="G84" s="490"/>
      <c r="H84" s="1636"/>
      <c r="I84" s="1627"/>
      <c r="J84" s="1628"/>
      <c r="K84" s="2481" t="s">
        <v>2215</v>
      </c>
      <c r="L84" s="2482" t="s">
        <v>292</v>
      </c>
      <c r="M84" s="643">
        <f t="shared" ref="M84" si="17">O84</f>
        <v>500</v>
      </c>
      <c r="N84" s="954" t="s">
        <v>2216</v>
      </c>
      <c r="O84" s="2480">
        <f>Q84*R84</f>
        <v>500</v>
      </c>
      <c r="P84" s="375"/>
      <c r="Q84" s="374">
        <v>250</v>
      </c>
      <c r="R84" s="374">
        <v>2</v>
      </c>
      <c r="S84" s="2499"/>
      <c r="T84" s="956"/>
      <c r="U84" s="1630"/>
      <c r="V84" s="1630"/>
    </row>
    <row r="85" spans="1:22" s="1631" customFormat="1">
      <c r="A85" s="1624"/>
      <c r="B85" s="1650"/>
      <c r="C85" s="346"/>
      <c r="D85" s="490"/>
      <c r="E85" s="490"/>
      <c r="F85" s="490"/>
      <c r="G85" s="490"/>
      <c r="H85" s="1636"/>
      <c r="I85" s="1627"/>
      <c r="J85" s="1628"/>
      <c r="K85" s="2485" t="s">
        <v>361</v>
      </c>
      <c r="L85" s="2491"/>
      <c r="M85" s="663">
        <f>SUM(M86:M86)</f>
        <v>5400</v>
      </c>
      <c r="N85" s="643" t="s">
        <v>433</v>
      </c>
      <c r="O85" s="2479">
        <f>P86</f>
        <v>5400</v>
      </c>
      <c r="P85" s="2485"/>
      <c r="Q85" s="2484"/>
      <c r="R85" s="2500"/>
      <c r="S85" s="2485"/>
      <c r="T85" s="956"/>
      <c r="U85" s="1630"/>
      <c r="V85" s="1630"/>
    </row>
    <row r="86" spans="1:22" s="1631" customFormat="1">
      <c r="A86" s="1624"/>
      <c r="B86" s="1650"/>
      <c r="C86" s="346"/>
      <c r="D86" s="490"/>
      <c r="E86" s="490"/>
      <c r="F86" s="490"/>
      <c r="G86" s="645"/>
      <c r="H86" s="1637"/>
      <c r="I86" s="1638"/>
      <c r="J86" s="1639"/>
      <c r="K86" s="653" t="s">
        <v>2217</v>
      </c>
      <c r="L86" s="669" t="s">
        <v>292</v>
      </c>
      <c r="M86" s="664">
        <f>P86</f>
        <v>5400</v>
      </c>
      <c r="N86" s="1640" t="s">
        <v>434</v>
      </c>
      <c r="O86" s="2479"/>
      <c r="P86" s="2483">
        <f>Q86*R86*S86*T86</f>
        <v>5400</v>
      </c>
      <c r="Q86" s="2484">
        <v>9</v>
      </c>
      <c r="R86" s="2485">
        <v>5</v>
      </c>
      <c r="S86" s="2485">
        <v>10</v>
      </c>
      <c r="T86" s="956">
        <v>12</v>
      </c>
      <c r="U86" s="1630"/>
      <c r="V86" s="1630"/>
    </row>
    <row r="87" spans="1:22" s="951" customFormat="1">
      <c r="A87" s="1340"/>
      <c r="B87" s="911"/>
      <c r="C87" s="1646"/>
      <c r="D87" s="490"/>
      <c r="E87" s="488"/>
      <c r="F87" s="490"/>
      <c r="G87" s="490" t="s">
        <v>333</v>
      </c>
      <c r="H87" s="1237">
        <f>O87</f>
        <v>128696</v>
      </c>
      <c r="I87" s="1237">
        <v>124264</v>
      </c>
      <c r="J87" s="1237">
        <f>H87-I87</f>
        <v>4432</v>
      </c>
      <c r="K87" s="2494"/>
      <c r="L87" s="670"/>
      <c r="M87" s="959">
        <f>SUM(M88:M94,M97,M99,M102)</f>
        <v>128696</v>
      </c>
      <c r="N87" s="355"/>
      <c r="O87" s="2496">
        <f>SUM(O88:O105)</f>
        <v>128696</v>
      </c>
      <c r="P87" s="2480"/>
      <c r="Q87" s="375"/>
      <c r="R87" s="374"/>
      <c r="S87" s="374"/>
      <c r="T87" s="301"/>
    </row>
    <row r="88" spans="1:22" s="951" customFormat="1">
      <c r="A88" s="1340"/>
      <c r="B88" s="911"/>
      <c r="C88" s="1646"/>
      <c r="D88" s="490"/>
      <c r="E88" s="488"/>
      <c r="F88" s="488"/>
      <c r="G88" s="488"/>
      <c r="H88" s="1242"/>
      <c r="I88" s="1242"/>
      <c r="J88" s="1242"/>
      <c r="K88" s="2481" t="s">
        <v>762</v>
      </c>
      <c r="L88" s="2482" t="s">
        <v>292</v>
      </c>
      <c r="M88" s="643">
        <f t="shared" ref="M88:M93" si="18">P88</f>
        <v>360</v>
      </c>
      <c r="N88" s="954" t="s">
        <v>436</v>
      </c>
      <c r="O88" s="2501">
        <f>SUM(P88:P93)</f>
        <v>3996</v>
      </c>
      <c r="P88" s="2480">
        <f>Q88*R88*S88</f>
        <v>360</v>
      </c>
      <c r="Q88" s="375">
        <v>3</v>
      </c>
      <c r="R88" s="374">
        <v>10</v>
      </c>
      <c r="S88" s="374">
        <v>12</v>
      </c>
      <c r="T88" s="366"/>
    </row>
    <row r="89" spans="1:22" s="951" customFormat="1">
      <c r="A89" s="1340"/>
      <c r="B89" s="911"/>
      <c r="C89" s="1646"/>
      <c r="D89" s="490"/>
      <c r="E89" s="488"/>
      <c r="F89" s="488"/>
      <c r="G89" s="488"/>
      <c r="H89" s="1242"/>
      <c r="I89" s="1242"/>
      <c r="J89" s="1242"/>
      <c r="K89" s="2481" t="s">
        <v>763</v>
      </c>
      <c r="L89" s="2482" t="s">
        <v>292</v>
      </c>
      <c r="M89" s="643">
        <f t="shared" si="18"/>
        <v>2160</v>
      </c>
      <c r="N89" s="954" t="s">
        <v>435</v>
      </c>
      <c r="O89" s="2501"/>
      <c r="P89" s="2480">
        <f>Q89*R89*S89</f>
        <v>2160</v>
      </c>
      <c r="Q89" s="375">
        <v>60</v>
      </c>
      <c r="R89" s="374">
        <v>3</v>
      </c>
      <c r="S89" s="374">
        <v>12</v>
      </c>
      <c r="T89" s="366"/>
    </row>
    <row r="90" spans="1:22" s="951" customFormat="1">
      <c r="A90" s="1340"/>
      <c r="B90" s="911"/>
      <c r="C90" s="1646"/>
      <c r="D90" s="490"/>
      <c r="E90" s="488"/>
      <c r="F90" s="488"/>
      <c r="G90" s="488"/>
      <c r="H90" s="1242"/>
      <c r="I90" s="1242"/>
      <c r="J90" s="1242"/>
      <c r="K90" s="2481" t="s">
        <v>764</v>
      </c>
      <c r="L90" s="2482" t="s">
        <v>292</v>
      </c>
      <c r="M90" s="643">
        <f t="shared" si="18"/>
        <v>180</v>
      </c>
      <c r="N90" s="2502" t="s">
        <v>765</v>
      </c>
      <c r="O90" s="2501"/>
      <c r="P90" s="2480">
        <f>Q90*R90*S90</f>
        <v>180</v>
      </c>
      <c r="Q90" s="375">
        <v>5</v>
      </c>
      <c r="R90" s="374">
        <v>3</v>
      </c>
      <c r="S90" s="374">
        <v>12</v>
      </c>
      <c r="T90" s="366"/>
    </row>
    <row r="91" spans="1:22" s="951" customFormat="1">
      <c r="A91" s="1340"/>
      <c r="B91" s="911"/>
      <c r="C91" s="1646"/>
      <c r="D91" s="490"/>
      <c r="E91" s="488"/>
      <c r="F91" s="488"/>
      <c r="G91" s="488"/>
      <c r="H91" s="1242"/>
      <c r="I91" s="1242"/>
      <c r="J91" s="1242"/>
      <c r="K91" s="2481" t="s">
        <v>2218</v>
      </c>
      <c r="L91" s="2482" t="s">
        <v>292</v>
      </c>
      <c r="M91" s="643">
        <f t="shared" si="18"/>
        <v>396</v>
      </c>
      <c r="N91" s="954" t="s">
        <v>2219</v>
      </c>
      <c r="O91" s="2501"/>
      <c r="P91" s="2480">
        <f>Q91*R91*S91</f>
        <v>396</v>
      </c>
      <c r="Q91" s="375">
        <v>11</v>
      </c>
      <c r="R91" s="374">
        <v>36</v>
      </c>
      <c r="S91" s="374">
        <v>1</v>
      </c>
      <c r="T91" s="366"/>
    </row>
    <row r="92" spans="1:22" s="951" customFormat="1">
      <c r="A92" s="1340"/>
      <c r="B92" s="911"/>
      <c r="C92" s="1646"/>
      <c r="D92" s="490"/>
      <c r="E92" s="488"/>
      <c r="F92" s="488"/>
      <c r="G92" s="488"/>
      <c r="H92" s="1242"/>
      <c r="I92" s="1242"/>
      <c r="J92" s="1242"/>
      <c r="K92" s="2481" t="s">
        <v>766</v>
      </c>
      <c r="L92" s="2482" t="s">
        <v>292</v>
      </c>
      <c r="M92" s="643">
        <f t="shared" si="18"/>
        <v>600</v>
      </c>
      <c r="N92" s="355"/>
      <c r="O92" s="2501"/>
      <c r="P92" s="2480">
        <f>Q92*S92</f>
        <v>600</v>
      </c>
      <c r="Q92" s="375">
        <v>50</v>
      </c>
      <c r="R92" s="374"/>
      <c r="S92" s="374">
        <v>12</v>
      </c>
      <c r="T92" s="366"/>
    </row>
    <row r="93" spans="1:22" s="951" customFormat="1">
      <c r="A93" s="1340"/>
      <c r="B93" s="911"/>
      <c r="C93" s="1646"/>
      <c r="D93" s="490"/>
      <c r="E93" s="488"/>
      <c r="F93" s="488"/>
      <c r="G93" s="488"/>
      <c r="H93" s="1242"/>
      <c r="I93" s="1242"/>
      <c r="J93" s="1242"/>
      <c r="K93" s="2481" t="s">
        <v>437</v>
      </c>
      <c r="L93" s="2482" t="s">
        <v>292</v>
      </c>
      <c r="M93" s="643">
        <f t="shared" si="18"/>
        <v>300</v>
      </c>
      <c r="N93" s="355" t="s">
        <v>767</v>
      </c>
      <c r="O93" s="2501"/>
      <c r="P93" s="2480">
        <f>Q93*R93</f>
        <v>300</v>
      </c>
      <c r="Q93" s="375">
        <v>300</v>
      </c>
      <c r="R93" s="374">
        <v>1</v>
      </c>
      <c r="S93" s="374"/>
      <c r="T93" s="366"/>
    </row>
    <row r="94" spans="1:22" s="951" customFormat="1">
      <c r="A94" s="1340"/>
      <c r="B94" s="911"/>
      <c r="C94" s="1646"/>
      <c r="D94" s="1243"/>
      <c r="E94" s="2503"/>
      <c r="F94" s="1243"/>
      <c r="G94" s="489"/>
      <c r="H94" s="1247"/>
      <c r="I94" s="1242"/>
      <c r="J94" s="1242"/>
      <c r="K94" s="370" t="s">
        <v>438</v>
      </c>
      <c r="L94" s="2486"/>
      <c r="M94" s="342">
        <f>SUM(M95:M96)</f>
        <v>800</v>
      </c>
      <c r="N94" s="357" t="s">
        <v>439</v>
      </c>
      <c r="O94" s="2501">
        <f>SUM(P95:P96)</f>
        <v>800</v>
      </c>
      <c r="P94" s="2479"/>
      <c r="Q94" s="2480"/>
      <c r="R94" s="375"/>
      <c r="S94" s="374"/>
      <c r="T94" s="364"/>
    </row>
    <row r="95" spans="1:22" s="951" customFormat="1">
      <c r="A95" s="1340"/>
      <c r="B95" s="911"/>
      <c r="C95" s="1646"/>
      <c r="D95" s="1243"/>
      <c r="E95" s="2503"/>
      <c r="F95" s="1243"/>
      <c r="G95" s="490"/>
      <c r="H95" s="1247"/>
      <c r="I95" s="1242"/>
      <c r="J95" s="1242"/>
      <c r="K95" s="370" t="s">
        <v>768</v>
      </c>
      <c r="L95" s="2486" t="s">
        <v>292</v>
      </c>
      <c r="M95" s="342">
        <f>P95</f>
        <v>500</v>
      </c>
      <c r="N95" s="363" t="s">
        <v>440</v>
      </c>
      <c r="O95" s="2479"/>
      <c r="P95" s="2480">
        <f>Q95*R95</f>
        <v>500</v>
      </c>
      <c r="Q95" s="375">
        <v>500</v>
      </c>
      <c r="R95" s="374">
        <v>1</v>
      </c>
      <c r="S95" s="374"/>
      <c r="T95" s="364"/>
    </row>
    <row r="96" spans="1:22" s="951" customFormat="1">
      <c r="A96" s="1340"/>
      <c r="B96" s="911"/>
      <c r="C96" s="1646"/>
      <c r="D96" s="1243"/>
      <c r="E96" s="2503"/>
      <c r="F96" s="1243"/>
      <c r="G96" s="490"/>
      <c r="H96" s="1247"/>
      <c r="I96" s="1242"/>
      <c r="J96" s="1242"/>
      <c r="K96" s="370" t="s">
        <v>441</v>
      </c>
      <c r="L96" s="2486" t="s">
        <v>292</v>
      </c>
      <c r="M96" s="342">
        <f>P96</f>
        <v>300</v>
      </c>
      <c r="N96" s="363" t="s">
        <v>442</v>
      </c>
      <c r="O96" s="2479"/>
      <c r="P96" s="2480">
        <f>Q96*R96</f>
        <v>300</v>
      </c>
      <c r="Q96" s="375">
        <v>300</v>
      </c>
      <c r="R96" s="374">
        <v>1</v>
      </c>
      <c r="S96" s="374"/>
      <c r="T96" s="364"/>
    </row>
    <row r="97" spans="1:20" s="951" customFormat="1">
      <c r="A97" s="1340"/>
      <c r="B97" s="911"/>
      <c r="C97" s="1646"/>
      <c r="D97" s="1243"/>
      <c r="E97" s="2503"/>
      <c r="F97" s="1243"/>
      <c r="G97" s="490"/>
      <c r="H97" s="1247"/>
      <c r="I97" s="1242"/>
      <c r="J97" s="1242"/>
      <c r="K97" s="370" t="s">
        <v>443</v>
      </c>
      <c r="L97" s="2486"/>
      <c r="M97" s="342">
        <f>SUM(M98)</f>
        <v>8000</v>
      </c>
      <c r="N97" s="357" t="s">
        <v>444</v>
      </c>
      <c r="O97" s="2479">
        <f>SUM(P98)</f>
        <v>8000</v>
      </c>
      <c r="P97" s="2480"/>
      <c r="Q97" s="375"/>
      <c r="R97" s="374"/>
      <c r="S97" s="374"/>
      <c r="T97" s="364"/>
    </row>
    <row r="98" spans="1:20" s="951" customFormat="1">
      <c r="A98" s="1340"/>
      <c r="B98" s="911"/>
      <c r="C98" s="1646"/>
      <c r="D98" s="1243"/>
      <c r="E98" s="2503"/>
      <c r="F98" s="1243"/>
      <c r="G98" s="490"/>
      <c r="H98" s="1247"/>
      <c r="I98" s="1242"/>
      <c r="J98" s="1242"/>
      <c r="K98" s="370" t="s">
        <v>2220</v>
      </c>
      <c r="L98" s="2486" t="s">
        <v>292</v>
      </c>
      <c r="M98" s="342">
        <f>P98</f>
        <v>8000</v>
      </c>
      <c r="N98" s="363" t="s">
        <v>445</v>
      </c>
      <c r="O98" s="2479"/>
      <c r="P98" s="2480">
        <f>Q98*R98</f>
        <v>8000</v>
      </c>
      <c r="Q98" s="375">
        <v>8000</v>
      </c>
      <c r="R98" s="374">
        <v>1</v>
      </c>
      <c r="S98" s="374"/>
      <c r="T98" s="364"/>
    </row>
    <row r="99" spans="1:20" s="951" customFormat="1">
      <c r="A99" s="1340"/>
      <c r="B99" s="911"/>
      <c r="C99" s="1646"/>
      <c r="D99" s="1243"/>
      <c r="E99" s="2503"/>
      <c r="F99" s="1243"/>
      <c r="G99" s="490"/>
      <c r="H99" s="1247"/>
      <c r="I99" s="1242"/>
      <c r="J99" s="1242"/>
      <c r="K99" s="370" t="s">
        <v>446</v>
      </c>
      <c r="L99" s="2486"/>
      <c r="M99" s="342">
        <f>SUM(M100:M101)</f>
        <v>115200</v>
      </c>
      <c r="N99" s="357" t="s">
        <v>447</v>
      </c>
      <c r="O99" s="373">
        <f>SUM(P100:P101)</f>
        <v>115200</v>
      </c>
      <c r="P99" s="2483"/>
      <c r="Q99" s="2504" t="s">
        <v>448</v>
      </c>
      <c r="R99" s="2505" t="s">
        <v>449</v>
      </c>
      <c r="S99" s="2505" t="s">
        <v>450</v>
      </c>
      <c r="T99" s="364"/>
    </row>
    <row r="100" spans="1:20" s="951" customFormat="1">
      <c r="A100" s="1340"/>
      <c r="B100" s="911"/>
      <c r="C100" s="1646"/>
      <c r="D100" s="1243"/>
      <c r="E100" s="2503"/>
      <c r="F100" s="1243"/>
      <c r="G100" s="490"/>
      <c r="H100" s="1247"/>
      <c r="I100" s="1242"/>
      <c r="J100" s="1242"/>
      <c r="K100" s="370" t="s">
        <v>2221</v>
      </c>
      <c r="L100" s="2486" t="s">
        <v>292</v>
      </c>
      <c r="M100" s="342">
        <f>P100</f>
        <v>86400</v>
      </c>
      <c r="N100" s="363" t="s">
        <v>412</v>
      </c>
      <c r="O100" s="373"/>
      <c r="P100" s="2480">
        <f>Q100*R100*S100</f>
        <v>86400</v>
      </c>
      <c r="Q100" s="375">
        <v>7200</v>
      </c>
      <c r="R100" s="374">
        <v>10</v>
      </c>
      <c r="S100" s="2506">
        <v>1.2</v>
      </c>
      <c r="T100" s="364"/>
    </row>
    <row r="101" spans="1:20" s="951" customFormat="1">
      <c r="A101" s="1340"/>
      <c r="B101" s="911"/>
      <c r="C101" s="1646"/>
      <c r="D101" s="1243"/>
      <c r="E101" s="2503"/>
      <c r="F101" s="1243"/>
      <c r="G101" s="490"/>
      <c r="H101" s="1247"/>
      <c r="I101" s="1242"/>
      <c r="J101" s="1242"/>
      <c r="K101" s="370" t="s">
        <v>2222</v>
      </c>
      <c r="L101" s="2486" t="s">
        <v>292</v>
      </c>
      <c r="M101" s="342">
        <f>P101</f>
        <v>28800</v>
      </c>
      <c r="N101" s="363" t="s">
        <v>412</v>
      </c>
      <c r="O101" s="373"/>
      <c r="P101" s="2480">
        <f>Q101*R101*S101</f>
        <v>28800</v>
      </c>
      <c r="Q101" s="375">
        <v>960</v>
      </c>
      <c r="R101" s="374">
        <v>25</v>
      </c>
      <c r="S101" s="2506">
        <v>1.2</v>
      </c>
      <c r="T101" s="364"/>
    </row>
    <row r="102" spans="1:20" s="951" customFormat="1">
      <c r="A102" s="1340"/>
      <c r="B102" s="911"/>
      <c r="C102" s="1646"/>
      <c r="D102" s="490"/>
      <c r="E102" s="2507"/>
      <c r="F102" s="490"/>
      <c r="G102" s="490"/>
      <c r="H102" s="1242"/>
      <c r="I102" s="1242"/>
      <c r="J102" s="1242"/>
      <c r="K102" s="2481" t="s">
        <v>451</v>
      </c>
      <c r="L102" s="2482"/>
      <c r="M102" s="643">
        <f>SUM(M103:M105)</f>
        <v>700</v>
      </c>
      <c r="N102" s="357" t="s">
        <v>452</v>
      </c>
      <c r="O102" s="2479">
        <f>SUM(P103:P105)</f>
        <v>700</v>
      </c>
      <c r="P102" s="2480"/>
      <c r="Q102" s="375"/>
      <c r="R102" s="374"/>
      <c r="S102" s="374"/>
      <c r="T102" s="301"/>
    </row>
    <row r="103" spans="1:20" s="951" customFormat="1">
      <c r="A103" s="1340"/>
      <c r="B103" s="911"/>
      <c r="C103" s="1646"/>
      <c r="D103" s="490"/>
      <c r="E103" s="488"/>
      <c r="F103" s="488"/>
      <c r="G103" s="488"/>
      <c r="H103" s="1242"/>
      <c r="I103" s="1242"/>
      <c r="J103" s="1242"/>
      <c r="K103" s="2481" t="s">
        <v>453</v>
      </c>
      <c r="L103" s="2482" t="s">
        <v>292</v>
      </c>
      <c r="M103" s="643">
        <f>P103</f>
        <v>100</v>
      </c>
      <c r="N103" s="355" t="s">
        <v>2223</v>
      </c>
      <c r="O103" s="2479"/>
      <c r="P103" s="2480">
        <f>Q103*R103*S103</f>
        <v>100</v>
      </c>
      <c r="Q103" s="375">
        <v>100</v>
      </c>
      <c r="R103" s="374">
        <v>1</v>
      </c>
      <c r="S103" s="374">
        <v>1</v>
      </c>
      <c r="T103" s="301"/>
    </row>
    <row r="104" spans="1:20" s="951" customFormat="1">
      <c r="A104" s="1340"/>
      <c r="B104" s="911"/>
      <c r="C104" s="1646"/>
      <c r="D104" s="490"/>
      <c r="E104" s="488"/>
      <c r="F104" s="488"/>
      <c r="G104" s="488"/>
      <c r="H104" s="1242"/>
      <c r="I104" s="1242"/>
      <c r="J104" s="1242"/>
      <c r="K104" s="2481" t="s">
        <v>454</v>
      </c>
      <c r="L104" s="2482" t="s">
        <v>292</v>
      </c>
      <c r="M104" s="643">
        <f>P104</f>
        <v>300</v>
      </c>
      <c r="N104" s="355" t="s">
        <v>2224</v>
      </c>
      <c r="O104" s="2479"/>
      <c r="P104" s="2480">
        <f>Q104*R104*S104</f>
        <v>300</v>
      </c>
      <c r="Q104" s="375">
        <v>150</v>
      </c>
      <c r="R104" s="374">
        <v>1</v>
      </c>
      <c r="S104" s="374">
        <v>2</v>
      </c>
      <c r="T104" s="301"/>
    </row>
    <row r="105" spans="1:20" s="951" customFormat="1">
      <c r="A105" s="1340"/>
      <c r="B105" s="911"/>
      <c r="C105" s="1646"/>
      <c r="D105" s="490"/>
      <c r="E105" s="488"/>
      <c r="F105" s="490"/>
      <c r="G105" s="645"/>
      <c r="H105" s="1236"/>
      <c r="I105" s="1236"/>
      <c r="J105" s="1236"/>
      <c r="K105" s="647" t="s">
        <v>2225</v>
      </c>
      <c r="L105" s="667" t="s">
        <v>292</v>
      </c>
      <c r="M105" s="644">
        <f>P105</f>
        <v>300</v>
      </c>
      <c r="N105" s="355" t="s">
        <v>455</v>
      </c>
      <c r="O105" s="2479"/>
      <c r="P105" s="2480">
        <f>Q105*R105*S105</f>
        <v>300</v>
      </c>
      <c r="Q105" s="375">
        <v>300</v>
      </c>
      <c r="R105" s="374">
        <v>1</v>
      </c>
      <c r="S105" s="374">
        <v>1</v>
      </c>
      <c r="T105" s="301"/>
    </row>
    <row r="106" spans="1:20" s="951" customFormat="1">
      <c r="A106" s="1340"/>
      <c r="B106" s="911"/>
      <c r="C106" s="1646"/>
      <c r="D106" s="490"/>
      <c r="E106" s="488"/>
      <c r="F106" s="490"/>
      <c r="G106" s="490" t="s">
        <v>358</v>
      </c>
      <c r="H106" s="1242">
        <f>M106</f>
        <v>2100</v>
      </c>
      <c r="I106" s="1242">
        <v>6426</v>
      </c>
      <c r="J106" s="1242">
        <f>H106-I106</f>
        <v>-4326</v>
      </c>
      <c r="K106" s="2494"/>
      <c r="L106" s="2482"/>
      <c r="M106" s="955">
        <f>M107</f>
        <v>2100</v>
      </c>
      <c r="N106" s="2508"/>
      <c r="O106" s="2496">
        <f>SUM(P108:P110)</f>
        <v>2100</v>
      </c>
      <c r="P106" s="2480"/>
      <c r="Q106" s="375"/>
      <c r="R106" s="374"/>
      <c r="S106" s="374"/>
      <c r="T106" s="301"/>
    </row>
    <row r="107" spans="1:20" s="951" customFormat="1">
      <c r="A107" s="1340"/>
      <c r="B107" s="911"/>
      <c r="C107" s="1646"/>
      <c r="D107" s="490"/>
      <c r="E107" s="488"/>
      <c r="F107" s="488"/>
      <c r="G107" s="488"/>
      <c r="H107" s="1242"/>
      <c r="I107" s="1242"/>
      <c r="J107" s="1242"/>
      <c r="K107" s="2481" t="s">
        <v>2226</v>
      </c>
      <c r="L107" s="2482"/>
      <c r="M107" s="643">
        <f>SUM(M108:M110)</f>
        <v>2100</v>
      </c>
      <c r="N107" s="2509" t="s">
        <v>2227</v>
      </c>
      <c r="O107" s="2496"/>
      <c r="P107" s="2480"/>
      <c r="Q107" s="375"/>
      <c r="R107" s="374"/>
      <c r="S107" s="374"/>
      <c r="T107" s="301"/>
    </row>
    <row r="108" spans="1:20" s="951" customFormat="1">
      <c r="A108" s="1340"/>
      <c r="B108" s="911"/>
      <c r="C108" s="1646"/>
      <c r="D108" s="490"/>
      <c r="E108" s="488"/>
      <c r="F108" s="488"/>
      <c r="G108" s="488"/>
      <c r="H108" s="1242"/>
      <c r="I108" s="1242"/>
      <c r="J108" s="1242"/>
      <c r="K108" s="2481" t="s">
        <v>2228</v>
      </c>
      <c r="L108" s="2482" t="s">
        <v>292</v>
      </c>
      <c r="M108" s="643">
        <f>P108</f>
        <v>600</v>
      </c>
      <c r="N108" s="954" t="s">
        <v>456</v>
      </c>
      <c r="O108" s="2479"/>
      <c r="P108" s="2480">
        <f>Q108*R108*S108</f>
        <v>600</v>
      </c>
      <c r="Q108" s="375">
        <v>300</v>
      </c>
      <c r="R108" s="374">
        <v>1</v>
      </c>
      <c r="S108" s="374">
        <v>2</v>
      </c>
      <c r="T108" s="301"/>
    </row>
    <row r="109" spans="1:20" s="951" customFormat="1">
      <c r="A109" s="1340"/>
      <c r="B109" s="911"/>
      <c r="C109" s="1646"/>
      <c r="D109" s="490"/>
      <c r="E109" s="488"/>
      <c r="F109" s="488"/>
      <c r="G109" s="488"/>
      <c r="H109" s="1242"/>
      <c r="I109" s="1242"/>
      <c r="J109" s="1242"/>
      <c r="K109" s="370" t="s">
        <v>2229</v>
      </c>
      <c r="L109" s="2482" t="s">
        <v>292</v>
      </c>
      <c r="M109" s="643">
        <f>P109</f>
        <v>510</v>
      </c>
      <c r="N109" s="954" t="s">
        <v>457</v>
      </c>
      <c r="O109" s="2479"/>
      <c r="P109" s="2510">
        <f>Q109*R109*S109*T109</f>
        <v>510</v>
      </c>
      <c r="Q109" s="375">
        <v>1.7</v>
      </c>
      <c r="R109" s="374">
        <v>1</v>
      </c>
      <c r="S109" s="374">
        <v>10</v>
      </c>
      <c r="T109" s="301">
        <v>30</v>
      </c>
    </row>
    <row r="110" spans="1:20" s="951" customFormat="1">
      <c r="A110" s="1340"/>
      <c r="B110" s="911"/>
      <c r="C110" s="1646"/>
      <c r="D110" s="490"/>
      <c r="E110" s="488"/>
      <c r="F110" s="488"/>
      <c r="G110" s="488"/>
      <c r="H110" s="1242"/>
      <c r="I110" s="1242"/>
      <c r="J110" s="1242"/>
      <c r="K110" s="649" t="s">
        <v>769</v>
      </c>
      <c r="L110" s="667" t="s">
        <v>292</v>
      </c>
      <c r="M110" s="644">
        <f>P110</f>
        <v>990</v>
      </c>
      <c r="N110" s="2511" t="s">
        <v>770</v>
      </c>
      <c r="O110" s="2479"/>
      <c r="P110" s="2510">
        <f>Q110*R110*S110*T110</f>
        <v>990</v>
      </c>
      <c r="Q110" s="375">
        <v>6.6000000000000003E-2</v>
      </c>
      <c r="R110" s="374">
        <v>1</v>
      </c>
      <c r="S110" s="374">
        <v>1</v>
      </c>
      <c r="T110" s="301">
        <v>15000</v>
      </c>
    </row>
    <row r="111" spans="1:20" s="951" customFormat="1" ht="13.5" customHeight="1">
      <c r="A111" s="1340"/>
      <c r="B111" s="911"/>
      <c r="C111" s="1646"/>
      <c r="D111" s="490"/>
      <c r="E111" s="488"/>
      <c r="F111" s="1249" t="s">
        <v>335</v>
      </c>
      <c r="G111" s="1231"/>
      <c r="H111" s="943">
        <f>H112</f>
        <v>7440</v>
      </c>
      <c r="I111" s="943">
        <f>I112</f>
        <v>7440</v>
      </c>
      <c r="J111" s="943">
        <f>H111-I111</f>
        <v>0</v>
      </c>
      <c r="K111" s="654"/>
      <c r="L111" s="668"/>
      <c r="M111" s="641"/>
      <c r="N111" s="355"/>
      <c r="O111" s="2479"/>
      <c r="P111" s="2480"/>
      <c r="Q111" s="375"/>
      <c r="R111" s="374"/>
      <c r="S111" s="374"/>
      <c r="T111" s="300"/>
    </row>
    <row r="112" spans="1:20" s="951" customFormat="1">
      <c r="A112" s="1340"/>
      <c r="B112" s="911"/>
      <c r="C112" s="1646"/>
      <c r="D112" s="490"/>
      <c r="E112" s="488"/>
      <c r="F112" s="1229"/>
      <c r="G112" s="1229" t="s">
        <v>458</v>
      </c>
      <c r="H112" s="1237">
        <f>O112</f>
        <v>7440</v>
      </c>
      <c r="I112" s="1237">
        <v>7440</v>
      </c>
      <c r="J112" s="1237">
        <f>H112-I112</f>
        <v>0</v>
      </c>
      <c r="K112" s="655"/>
      <c r="L112" s="670"/>
      <c r="M112" s="959">
        <f>SUM(M113:M114)</f>
        <v>7440</v>
      </c>
      <c r="N112" s="2477"/>
      <c r="O112" s="2496">
        <f>SUM(P113:P114)</f>
        <v>7440</v>
      </c>
      <c r="P112" s="2480"/>
      <c r="Q112" s="375"/>
      <c r="R112" s="374"/>
      <c r="S112" s="374"/>
      <c r="T112" s="300"/>
    </row>
    <row r="113" spans="1:23" s="1631" customFormat="1">
      <c r="A113" s="1624"/>
      <c r="B113" s="1650"/>
      <c r="C113" s="346"/>
      <c r="D113" s="1625"/>
      <c r="E113" s="1626"/>
      <c r="F113" s="1626"/>
      <c r="G113" s="1626"/>
      <c r="H113" s="1627"/>
      <c r="I113" s="1627"/>
      <c r="J113" s="1628"/>
      <c r="K113" s="2481" t="s">
        <v>986</v>
      </c>
      <c r="L113" s="2482" t="s">
        <v>292</v>
      </c>
      <c r="M113" s="643">
        <f>P113</f>
        <v>4800</v>
      </c>
      <c r="N113" s="2512" t="s">
        <v>789</v>
      </c>
      <c r="O113" s="2479"/>
      <c r="P113" s="2483">
        <f>Q113*R113*S113*T113</f>
        <v>4800</v>
      </c>
      <c r="Q113" s="2484">
        <v>20</v>
      </c>
      <c r="R113" s="2485">
        <v>4</v>
      </c>
      <c r="S113" s="2485">
        <v>5</v>
      </c>
      <c r="T113" s="1642">
        <v>12</v>
      </c>
      <c r="U113" s="1630"/>
      <c r="V113" s="1630"/>
    </row>
    <row r="114" spans="1:23" s="1631" customFormat="1">
      <c r="A114" s="1624"/>
      <c r="B114" s="1650"/>
      <c r="C114" s="346"/>
      <c r="D114" s="1625"/>
      <c r="E114" s="1626"/>
      <c r="F114" s="1641"/>
      <c r="G114" s="1641"/>
      <c r="H114" s="1638"/>
      <c r="I114" s="1638"/>
      <c r="J114" s="1639"/>
      <c r="K114" s="647" t="s">
        <v>987</v>
      </c>
      <c r="L114" s="667" t="s">
        <v>292</v>
      </c>
      <c r="M114" s="644">
        <f>P114</f>
        <v>2640</v>
      </c>
      <c r="N114" s="2513" t="s">
        <v>790</v>
      </c>
      <c r="O114" s="2479"/>
      <c r="P114" s="2483">
        <f>Q114*R114*S114*T114</f>
        <v>2640</v>
      </c>
      <c r="Q114" s="2484">
        <v>110</v>
      </c>
      <c r="R114" s="2485">
        <v>4</v>
      </c>
      <c r="S114" s="2485">
        <v>3</v>
      </c>
      <c r="T114" s="1642">
        <v>2</v>
      </c>
      <c r="U114" s="1630"/>
      <c r="V114" s="1630"/>
    </row>
    <row r="115" spans="1:23" s="951" customFormat="1" ht="13.5" customHeight="1">
      <c r="A115" s="1340"/>
      <c r="B115" s="911"/>
      <c r="C115" s="1646"/>
      <c r="D115" s="490"/>
      <c r="E115" s="488"/>
      <c r="F115" s="645" t="s">
        <v>477</v>
      </c>
      <c r="G115" s="1250"/>
      <c r="H115" s="1248">
        <f>H116</f>
        <v>5520</v>
      </c>
      <c r="I115" s="1236">
        <f>I116</f>
        <v>5520</v>
      </c>
      <c r="J115" s="1246">
        <f>H115-I115</f>
        <v>0</v>
      </c>
      <c r="K115" s="657"/>
      <c r="L115" s="672"/>
      <c r="M115" s="664"/>
      <c r="N115" s="356"/>
      <c r="O115" s="2514">
        <f>SUM(O116:O117)</f>
        <v>5520</v>
      </c>
      <c r="P115" s="374"/>
      <c r="Q115" s="2515"/>
      <c r="R115" s="374"/>
      <c r="S115" s="374"/>
      <c r="T115" s="300"/>
    </row>
    <row r="116" spans="1:23" s="951" customFormat="1">
      <c r="A116" s="1340"/>
      <c r="B116" s="911"/>
      <c r="C116" s="1646"/>
      <c r="D116" s="490"/>
      <c r="E116" s="488"/>
      <c r="F116" s="490"/>
      <c r="G116" s="646" t="s">
        <v>347</v>
      </c>
      <c r="H116" s="1251">
        <f>M116</f>
        <v>5520</v>
      </c>
      <c r="I116" s="1237">
        <v>5520</v>
      </c>
      <c r="J116" s="1237">
        <f>H116-I116</f>
        <v>0</v>
      </c>
      <c r="K116" s="961"/>
      <c r="L116" s="671"/>
      <c r="M116" s="665">
        <f>M117</f>
        <v>5520</v>
      </c>
      <c r="N116" s="2516"/>
      <c r="O116" s="2496">
        <f>P117</f>
        <v>5520</v>
      </c>
      <c r="P116" s="374"/>
      <c r="Q116" s="2517" t="s">
        <v>478</v>
      </c>
      <c r="R116" s="2518"/>
      <c r="S116" s="2518" t="s">
        <v>479</v>
      </c>
      <c r="T116" s="962" t="s">
        <v>480</v>
      </c>
      <c r="U116" s="963" t="s">
        <v>481</v>
      </c>
      <c r="V116" s="358" t="s">
        <v>479</v>
      </c>
    </row>
    <row r="117" spans="1:23" s="951" customFormat="1">
      <c r="A117" s="1340"/>
      <c r="B117" s="911"/>
      <c r="C117" s="1646"/>
      <c r="D117" s="490"/>
      <c r="E117" s="488"/>
      <c r="F117" s="490"/>
      <c r="G117" s="490"/>
      <c r="H117" s="1248"/>
      <c r="I117" s="1236"/>
      <c r="J117" s="1246"/>
      <c r="K117" s="658" t="s">
        <v>780</v>
      </c>
      <c r="L117" s="669" t="s">
        <v>292</v>
      </c>
      <c r="M117" s="664">
        <f>P117</f>
        <v>5520</v>
      </c>
      <c r="N117" s="2519" t="s">
        <v>482</v>
      </c>
      <c r="O117" s="2479"/>
      <c r="P117" s="2480">
        <f>(Q117*S117)+(T117*U117*V117)</f>
        <v>5520</v>
      </c>
      <c r="Q117" s="375">
        <v>400</v>
      </c>
      <c r="R117" s="374"/>
      <c r="S117" s="374">
        <v>12</v>
      </c>
      <c r="T117" s="364">
        <v>5</v>
      </c>
      <c r="U117" s="294">
        <v>12</v>
      </c>
      <c r="V117" s="495">
        <v>12</v>
      </c>
    </row>
    <row r="118" spans="1:23" s="2439" customFormat="1" ht="18" customHeight="1">
      <c r="A118" s="2464"/>
      <c r="B118" s="2467"/>
      <c r="C118" s="2520"/>
      <c r="D118" s="2461" t="s">
        <v>897</v>
      </c>
      <c r="E118" s="2462"/>
      <c r="F118" s="2462"/>
      <c r="G118" s="2463"/>
      <c r="H118" s="2469">
        <f>H119</f>
        <v>2812212</v>
      </c>
      <c r="I118" s="2469">
        <f>I119</f>
        <v>3601906</v>
      </c>
      <c r="J118" s="2470">
        <f t="shared" ref="J118" si="19">H118-I118</f>
        <v>-789694</v>
      </c>
      <c r="K118" s="2521"/>
      <c r="L118" s="2522"/>
      <c r="M118" s="2523"/>
      <c r="N118" s="2524"/>
      <c r="O118" s="2525"/>
      <c r="P118" s="2526"/>
      <c r="Q118" s="2527"/>
      <c r="R118" s="2527"/>
      <c r="S118" s="2527"/>
      <c r="T118" s="2438"/>
    </row>
    <row r="119" spans="1:23" s="951" customFormat="1" ht="13.5" customHeight="1">
      <c r="A119" s="1340"/>
      <c r="B119" s="911"/>
      <c r="C119" s="298"/>
      <c r="D119" s="1229"/>
      <c r="E119" s="2461" t="s">
        <v>855</v>
      </c>
      <c r="F119" s="1230"/>
      <c r="G119" s="1231"/>
      <c r="H119" s="1232">
        <f>H120+H140+H167+H138</f>
        <v>2812212</v>
      </c>
      <c r="I119" s="1232">
        <f>I120+I138+I140+I167</f>
        <v>3601906</v>
      </c>
      <c r="J119" s="1232">
        <f>H119-I119</f>
        <v>-789694</v>
      </c>
      <c r="K119" s="640"/>
      <c r="L119" s="946"/>
      <c r="M119" s="947"/>
      <c r="N119" s="2528"/>
      <c r="O119" s="2529"/>
      <c r="P119" s="2530"/>
      <c r="Q119" s="2531"/>
      <c r="R119" s="2532"/>
      <c r="S119" s="2532"/>
      <c r="T119" s="300"/>
    </row>
    <row r="120" spans="1:23" s="951" customFormat="1" ht="13.5" customHeight="1">
      <c r="A120" s="1340"/>
      <c r="B120" s="911"/>
      <c r="C120" s="1646"/>
      <c r="D120" s="494"/>
      <c r="E120" s="646"/>
      <c r="F120" s="645" t="s">
        <v>459</v>
      </c>
      <c r="G120" s="1250"/>
      <c r="H120" s="1236">
        <f>H121</f>
        <v>612612</v>
      </c>
      <c r="I120" s="1236">
        <f>I121</f>
        <v>625233</v>
      </c>
      <c r="J120" s="1236">
        <f>H120-I120</f>
        <v>-12621</v>
      </c>
      <c r="K120" s="647"/>
      <c r="L120" s="667"/>
      <c r="M120" s="644"/>
      <c r="N120" s="355"/>
      <c r="O120" s="2479"/>
      <c r="P120" s="2480"/>
      <c r="Q120" s="375"/>
      <c r="R120" s="374"/>
      <c r="S120" s="374"/>
      <c r="T120" s="300"/>
    </row>
    <row r="121" spans="1:23" s="300" customFormat="1">
      <c r="A121" s="1340"/>
      <c r="B121" s="911"/>
      <c r="C121" s="1646"/>
      <c r="D121" s="1059"/>
      <c r="E121" s="490"/>
      <c r="F121" s="490"/>
      <c r="G121" s="490" t="s">
        <v>460</v>
      </c>
      <c r="H121" s="1242">
        <f>O121</f>
        <v>612612</v>
      </c>
      <c r="I121" s="1242">
        <v>625233</v>
      </c>
      <c r="J121" s="1242">
        <f>H121-I121</f>
        <v>-12621</v>
      </c>
      <c r="K121" s="2494"/>
      <c r="L121" s="2482"/>
      <c r="M121" s="955">
        <f>SUM(M122:M137)</f>
        <v>612612</v>
      </c>
      <c r="N121" s="2533"/>
      <c r="O121" s="2496">
        <f>SUM(P122:P137)</f>
        <v>612612</v>
      </c>
      <c r="P121" s="2480"/>
      <c r="Q121" s="375"/>
      <c r="R121" s="374"/>
      <c r="S121" s="374"/>
      <c r="U121" s="951"/>
      <c r="V121" s="951"/>
      <c r="W121" s="951"/>
    </row>
    <row r="122" spans="1:23" s="300" customFormat="1">
      <c r="A122" s="1340"/>
      <c r="B122" s="911"/>
      <c r="C122" s="1646"/>
      <c r="D122" s="490"/>
      <c r="E122" s="488"/>
      <c r="F122" s="488"/>
      <c r="G122" s="488"/>
      <c r="H122" s="1242"/>
      <c r="I122" s="1242"/>
      <c r="J122" s="1242"/>
      <c r="K122" s="2481" t="s">
        <v>2439</v>
      </c>
      <c r="L122" s="2482" t="s">
        <v>292</v>
      </c>
      <c r="M122" s="643">
        <f t="shared" ref="M122:M137" si="20">P122</f>
        <v>52000</v>
      </c>
      <c r="N122" s="2509" t="s">
        <v>2440</v>
      </c>
      <c r="O122" s="2479"/>
      <c r="P122" s="2534">
        <f>Q122*R122*S122</f>
        <v>52000</v>
      </c>
      <c r="Q122" s="2535">
        <v>0.52</v>
      </c>
      <c r="R122" s="374">
        <v>312.5</v>
      </c>
      <c r="S122" s="374">
        <v>320</v>
      </c>
      <c r="U122" s="951"/>
      <c r="V122" s="951"/>
      <c r="W122" s="951"/>
    </row>
    <row r="123" spans="1:23" s="300" customFormat="1">
      <c r="A123" s="1340"/>
      <c r="B123" s="911"/>
      <c r="C123" s="1646"/>
      <c r="D123" s="490"/>
      <c r="E123" s="488"/>
      <c r="F123" s="488"/>
      <c r="G123" s="488"/>
      <c r="H123" s="1242"/>
      <c r="I123" s="1242"/>
      <c r="J123" s="1242"/>
      <c r="K123" s="2481" t="s">
        <v>2441</v>
      </c>
      <c r="L123" s="2482" t="s">
        <v>292</v>
      </c>
      <c r="M123" s="643">
        <f t="shared" si="20"/>
        <v>146520</v>
      </c>
      <c r="N123" s="2536" t="s">
        <v>2442</v>
      </c>
      <c r="O123" s="2479"/>
      <c r="P123" s="2534">
        <f t="shared" ref="P123:P132" si="21">Q123*R123*S123</f>
        <v>146520</v>
      </c>
      <c r="Q123" s="2535">
        <v>8.14E-2</v>
      </c>
      <c r="R123" s="374">
        <v>5625</v>
      </c>
      <c r="S123" s="374">
        <v>320</v>
      </c>
      <c r="U123" s="951"/>
      <c r="V123" s="951"/>
      <c r="W123" s="951"/>
    </row>
    <row r="124" spans="1:23" s="300" customFormat="1">
      <c r="A124" s="1340"/>
      <c r="B124" s="911"/>
      <c r="C124" s="1646"/>
      <c r="D124" s="490"/>
      <c r="E124" s="488"/>
      <c r="F124" s="488"/>
      <c r="G124" s="488"/>
      <c r="H124" s="1242"/>
      <c r="I124" s="1242"/>
      <c r="J124" s="1242"/>
      <c r="K124" s="2481" t="s">
        <v>2443</v>
      </c>
      <c r="L124" s="2482" t="s">
        <v>292</v>
      </c>
      <c r="M124" s="643">
        <f t="shared" si="20"/>
        <v>57000</v>
      </c>
      <c r="N124" s="2509" t="s">
        <v>2444</v>
      </c>
      <c r="O124" s="2479"/>
      <c r="P124" s="2534">
        <f t="shared" si="21"/>
        <v>57000</v>
      </c>
      <c r="Q124" s="2535">
        <v>2.85</v>
      </c>
      <c r="R124" s="374">
        <v>62.5</v>
      </c>
      <c r="S124" s="374">
        <v>320</v>
      </c>
      <c r="U124" s="951"/>
      <c r="V124" s="951"/>
      <c r="W124" s="951"/>
    </row>
    <row r="125" spans="1:23" s="300" customFormat="1">
      <c r="A125" s="1340"/>
      <c r="B125" s="911"/>
      <c r="C125" s="1646"/>
      <c r="D125" s="490"/>
      <c r="E125" s="488"/>
      <c r="F125" s="488"/>
      <c r="G125" s="488"/>
      <c r="H125" s="1242"/>
      <c r="I125" s="1242"/>
      <c r="J125" s="1242"/>
      <c r="K125" s="2481" t="s">
        <v>2445</v>
      </c>
      <c r="L125" s="2482" t="s">
        <v>292</v>
      </c>
      <c r="M125" s="643">
        <f t="shared" si="20"/>
        <v>7153.9999999999991</v>
      </c>
      <c r="N125" s="2509" t="s">
        <v>2446</v>
      </c>
      <c r="O125" s="2479"/>
      <c r="P125" s="2534">
        <f t="shared" si="21"/>
        <v>7153.9999999999991</v>
      </c>
      <c r="Q125" s="2535">
        <v>2.8</v>
      </c>
      <c r="R125" s="374">
        <v>7</v>
      </c>
      <c r="S125" s="374">
        <v>365</v>
      </c>
      <c r="U125" s="951"/>
      <c r="V125" s="951"/>
      <c r="W125" s="951"/>
    </row>
    <row r="126" spans="1:23" s="300" customFormat="1">
      <c r="A126" s="1340"/>
      <c r="B126" s="911"/>
      <c r="C126" s="1646"/>
      <c r="D126" s="490"/>
      <c r="E126" s="488"/>
      <c r="F126" s="488"/>
      <c r="G126" s="488"/>
      <c r="H126" s="1242"/>
      <c r="I126" s="1242"/>
      <c r="J126" s="1242"/>
      <c r="K126" s="2481" t="s">
        <v>2447</v>
      </c>
      <c r="L126" s="2482" t="s">
        <v>292</v>
      </c>
      <c r="M126" s="643">
        <f t="shared" si="20"/>
        <v>4591.9999999999991</v>
      </c>
      <c r="N126" s="2509" t="s">
        <v>2448</v>
      </c>
      <c r="O126" s="2479"/>
      <c r="P126" s="2534">
        <f t="shared" si="21"/>
        <v>4591.9999999999991</v>
      </c>
      <c r="Q126" s="2535">
        <v>4.0999999999999996</v>
      </c>
      <c r="R126" s="374">
        <v>3.5</v>
      </c>
      <c r="S126" s="374">
        <v>320</v>
      </c>
      <c r="U126" s="951"/>
      <c r="V126" s="951"/>
      <c r="W126" s="951"/>
    </row>
    <row r="127" spans="1:23" s="300" customFormat="1">
      <c r="A127" s="1340"/>
      <c r="B127" s="911"/>
      <c r="C127" s="1646"/>
      <c r="D127" s="490"/>
      <c r="E127" s="488"/>
      <c r="F127" s="488"/>
      <c r="G127" s="488"/>
      <c r="H127" s="1242"/>
      <c r="I127" s="1242"/>
      <c r="J127" s="1242"/>
      <c r="K127" s="2537" t="s">
        <v>2230</v>
      </c>
      <c r="L127" s="2482" t="s">
        <v>292</v>
      </c>
      <c r="M127" s="643">
        <f t="shared" si="20"/>
        <v>4480</v>
      </c>
      <c r="N127" s="2509" t="s">
        <v>2449</v>
      </c>
      <c r="O127" s="2479"/>
      <c r="P127" s="2534">
        <f t="shared" si="21"/>
        <v>4480</v>
      </c>
      <c r="Q127" s="2535">
        <v>4</v>
      </c>
      <c r="R127" s="374">
        <v>3.5</v>
      </c>
      <c r="S127" s="374">
        <v>320</v>
      </c>
      <c r="U127" s="951"/>
      <c r="V127" s="951"/>
      <c r="W127" s="951"/>
    </row>
    <row r="128" spans="1:23" s="300" customFormat="1">
      <c r="A128" s="1340"/>
      <c r="B128" s="911"/>
      <c r="C128" s="1646"/>
      <c r="D128" s="490"/>
      <c r="E128" s="488"/>
      <c r="F128" s="488"/>
      <c r="G128" s="488"/>
      <c r="H128" s="1242"/>
      <c r="I128" s="1242"/>
      <c r="J128" s="1242"/>
      <c r="K128" s="2537" t="s">
        <v>2231</v>
      </c>
      <c r="L128" s="2482" t="s">
        <v>292</v>
      </c>
      <c r="M128" s="643">
        <f t="shared" si="20"/>
        <v>1600</v>
      </c>
      <c r="N128" s="2509" t="s">
        <v>2450</v>
      </c>
      <c r="O128" s="2479"/>
      <c r="P128" s="2534">
        <f t="shared" si="21"/>
        <v>1600</v>
      </c>
      <c r="Q128" s="2535">
        <v>5</v>
      </c>
      <c r="R128" s="374">
        <v>1</v>
      </c>
      <c r="S128" s="374">
        <v>320</v>
      </c>
      <c r="U128" s="951"/>
      <c r="V128" s="951"/>
      <c r="W128" s="951"/>
    </row>
    <row r="129" spans="1:23" s="2541" customFormat="1">
      <c r="A129" s="2538"/>
      <c r="B129" s="2539"/>
      <c r="C129" s="2540"/>
      <c r="D129" s="490"/>
      <c r="E129" s="488"/>
      <c r="F129" s="488"/>
      <c r="G129" s="488"/>
      <c r="H129" s="1242"/>
      <c r="I129" s="1242"/>
      <c r="J129" s="1242"/>
      <c r="K129" s="2481" t="s">
        <v>2451</v>
      </c>
      <c r="L129" s="2482" t="s">
        <v>292</v>
      </c>
      <c r="M129" s="643">
        <f t="shared" si="20"/>
        <v>96768.000000000015</v>
      </c>
      <c r="N129" s="2509" t="s">
        <v>2452</v>
      </c>
      <c r="O129" s="2479"/>
      <c r="P129" s="2534">
        <f t="shared" si="21"/>
        <v>96768.000000000015</v>
      </c>
      <c r="Q129" s="2535">
        <v>1.8</v>
      </c>
      <c r="R129" s="374">
        <v>168</v>
      </c>
      <c r="S129" s="374">
        <v>320</v>
      </c>
      <c r="U129" s="2542"/>
      <c r="V129" s="2542"/>
      <c r="W129" s="2542"/>
    </row>
    <row r="130" spans="1:23" s="300" customFormat="1">
      <c r="A130" s="1340"/>
      <c r="B130" s="911"/>
      <c r="C130" s="1646"/>
      <c r="D130" s="490"/>
      <c r="E130" s="488"/>
      <c r="F130" s="488"/>
      <c r="G130" s="488"/>
      <c r="H130" s="1242"/>
      <c r="I130" s="1242"/>
      <c r="J130" s="1242"/>
      <c r="K130" s="2481" t="s">
        <v>2453</v>
      </c>
      <c r="L130" s="2482" t="s">
        <v>6</v>
      </c>
      <c r="M130" s="643">
        <f t="shared" si="20"/>
        <v>28576</v>
      </c>
      <c r="N130" s="2509" t="s">
        <v>2454</v>
      </c>
      <c r="O130" s="373"/>
      <c r="P130" s="2534">
        <f t="shared" si="21"/>
        <v>28576</v>
      </c>
      <c r="Q130" s="2535">
        <v>0.47</v>
      </c>
      <c r="R130" s="374">
        <v>190</v>
      </c>
      <c r="S130" s="374">
        <v>320</v>
      </c>
      <c r="U130" s="951"/>
      <c r="V130" s="951"/>
      <c r="W130" s="951"/>
    </row>
    <row r="131" spans="1:23" s="2541" customFormat="1">
      <c r="A131" s="2538"/>
      <c r="B131" s="2539"/>
      <c r="C131" s="2540"/>
      <c r="D131" s="490"/>
      <c r="E131" s="488"/>
      <c r="F131" s="488"/>
      <c r="G131" s="488"/>
      <c r="H131" s="1242"/>
      <c r="I131" s="1242"/>
      <c r="J131" s="1242"/>
      <c r="K131" s="2481" t="s">
        <v>2455</v>
      </c>
      <c r="L131" s="2482" t="s">
        <v>292</v>
      </c>
      <c r="M131" s="643">
        <f t="shared" si="20"/>
        <v>4104</v>
      </c>
      <c r="N131" s="2509" t="s">
        <v>2456</v>
      </c>
      <c r="O131" s="373"/>
      <c r="P131" s="2534">
        <f t="shared" si="21"/>
        <v>4104</v>
      </c>
      <c r="Q131" s="2535">
        <v>0.19</v>
      </c>
      <c r="R131" s="374">
        <v>60</v>
      </c>
      <c r="S131" s="374">
        <v>360</v>
      </c>
      <c r="U131" s="2542"/>
      <c r="V131" s="2542"/>
      <c r="W131" s="2542"/>
    </row>
    <row r="132" spans="1:23" s="300" customFormat="1">
      <c r="A132" s="1340"/>
      <c r="B132" s="911"/>
      <c r="C132" s="1646"/>
      <c r="D132" s="490"/>
      <c r="E132" s="488"/>
      <c r="F132" s="488"/>
      <c r="G132" s="488"/>
      <c r="H132" s="1242"/>
      <c r="I132" s="1242"/>
      <c r="J132" s="1242"/>
      <c r="K132" s="2481" t="s">
        <v>2457</v>
      </c>
      <c r="L132" s="2482" t="s">
        <v>292</v>
      </c>
      <c r="M132" s="643">
        <f t="shared" si="20"/>
        <v>168264</v>
      </c>
      <c r="N132" s="2509" t="s">
        <v>2458</v>
      </c>
      <c r="O132" s="2479"/>
      <c r="P132" s="2534">
        <f t="shared" si="21"/>
        <v>168264</v>
      </c>
      <c r="Q132" s="2535">
        <v>4.0999999999999996</v>
      </c>
      <c r="R132" s="374">
        <v>114</v>
      </c>
      <c r="S132" s="374">
        <v>360</v>
      </c>
      <c r="U132" s="951"/>
      <c r="V132" s="951"/>
      <c r="W132" s="951"/>
    </row>
    <row r="133" spans="1:23" s="300" customFormat="1">
      <c r="A133" s="1340"/>
      <c r="B133" s="911"/>
      <c r="C133" s="1646"/>
      <c r="D133" s="490"/>
      <c r="E133" s="2507"/>
      <c r="F133" s="1059"/>
      <c r="G133" s="490"/>
      <c r="H133" s="1242"/>
      <c r="I133" s="1242"/>
      <c r="J133" s="1242"/>
      <c r="K133" s="2481" t="s">
        <v>2459</v>
      </c>
      <c r="L133" s="2482" t="s">
        <v>292</v>
      </c>
      <c r="M133" s="643">
        <f t="shared" si="20"/>
        <v>10368</v>
      </c>
      <c r="N133" s="2509" t="s">
        <v>2460</v>
      </c>
      <c r="O133" s="373"/>
      <c r="P133" s="2534">
        <f>Q133*R133*S133</f>
        <v>10368</v>
      </c>
      <c r="Q133" s="2535">
        <v>3.2</v>
      </c>
      <c r="R133" s="374">
        <v>9</v>
      </c>
      <c r="S133" s="374">
        <v>360</v>
      </c>
      <c r="U133" s="951"/>
      <c r="V133" s="951"/>
      <c r="W133" s="951"/>
    </row>
    <row r="134" spans="1:23" s="300" customFormat="1">
      <c r="A134" s="1340"/>
      <c r="B134" s="911"/>
      <c r="C134" s="1646"/>
      <c r="D134" s="490"/>
      <c r="E134" s="488"/>
      <c r="F134" s="488"/>
      <c r="G134" s="488"/>
      <c r="H134" s="1242"/>
      <c r="I134" s="1242"/>
      <c r="J134" s="1242"/>
      <c r="K134" s="2481" t="s">
        <v>2461</v>
      </c>
      <c r="L134" s="2482" t="s">
        <v>6</v>
      </c>
      <c r="M134" s="643">
        <f t="shared" si="20"/>
        <v>6048</v>
      </c>
      <c r="N134" s="2509" t="s">
        <v>2462</v>
      </c>
      <c r="O134" s="373"/>
      <c r="P134" s="2534">
        <f t="shared" ref="P134" si="22">Q134*R134*S134</f>
        <v>6048</v>
      </c>
      <c r="Q134" s="2535">
        <v>0.28000000000000003</v>
      </c>
      <c r="R134" s="374">
        <v>60</v>
      </c>
      <c r="S134" s="374">
        <v>360</v>
      </c>
      <c r="U134" s="951"/>
      <c r="V134" s="951"/>
      <c r="W134" s="951"/>
    </row>
    <row r="135" spans="1:23" s="300" customFormat="1">
      <c r="A135" s="1340"/>
      <c r="B135" s="911"/>
      <c r="C135" s="1646"/>
      <c r="D135" s="490"/>
      <c r="E135" s="488"/>
      <c r="F135" s="488"/>
      <c r="G135" s="488"/>
      <c r="H135" s="1242"/>
      <c r="I135" s="1242"/>
      <c r="J135" s="1242"/>
      <c r="K135" s="2481" t="s">
        <v>2463</v>
      </c>
      <c r="L135" s="2482" t="s">
        <v>6</v>
      </c>
      <c r="M135" s="643">
        <f t="shared" si="20"/>
        <v>13500</v>
      </c>
      <c r="N135" s="2509" t="s">
        <v>2464</v>
      </c>
      <c r="O135" s="373"/>
      <c r="P135" s="2534">
        <f>Q135*R135*S135</f>
        <v>13500</v>
      </c>
      <c r="Q135" s="2535">
        <v>2.5</v>
      </c>
      <c r="R135" s="374">
        <v>15</v>
      </c>
      <c r="S135" s="374">
        <v>360</v>
      </c>
      <c r="U135" s="951"/>
      <c r="V135" s="951"/>
      <c r="W135" s="951"/>
    </row>
    <row r="136" spans="1:23" s="300" customFormat="1">
      <c r="A136" s="1340"/>
      <c r="B136" s="911"/>
      <c r="C136" s="1646"/>
      <c r="D136" s="490"/>
      <c r="E136" s="490"/>
      <c r="F136" s="488"/>
      <c r="G136" s="488"/>
      <c r="H136" s="1242"/>
      <c r="I136" s="1242"/>
      <c r="J136" s="1242"/>
      <c r="K136" s="2481" t="s">
        <v>2232</v>
      </c>
      <c r="L136" s="2482" t="s">
        <v>6</v>
      </c>
      <c r="M136" s="643">
        <f t="shared" si="20"/>
        <v>11339.999999999998</v>
      </c>
      <c r="N136" s="2509" t="s">
        <v>2465</v>
      </c>
      <c r="O136" s="373"/>
      <c r="P136" s="2534">
        <f t="shared" ref="P136:P137" si="23">Q136*R136*S136</f>
        <v>11339.999999999998</v>
      </c>
      <c r="Q136" s="2535">
        <v>0.7</v>
      </c>
      <c r="R136" s="374">
        <v>45</v>
      </c>
      <c r="S136" s="374">
        <v>360</v>
      </c>
      <c r="U136" s="951"/>
      <c r="V136" s="951"/>
      <c r="W136" s="951"/>
    </row>
    <row r="137" spans="1:23" s="951" customFormat="1">
      <c r="A137" s="1340"/>
      <c r="B137" s="911"/>
      <c r="C137" s="1646"/>
      <c r="D137" s="490"/>
      <c r="E137" s="490"/>
      <c r="F137" s="1250"/>
      <c r="G137" s="1250"/>
      <c r="H137" s="1236"/>
      <c r="I137" s="1236"/>
      <c r="J137" s="1236"/>
      <c r="K137" s="647" t="s">
        <v>2466</v>
      </c>
      <c r="L137" s="667" t="s">
        <v>6</v>
      </c>
      <c r="M137" s="644">
        <f t="shared" si="20"/>
        <v>298</v>
      </c>
      <c r="N137" s="2543" t="s">
        <v>2467</v>
      </c>
      <c r="O137" s="373"/>
      <c r="P137" s="2534">
        <f t="shared" si="23"/>
        <v>298</v>
      </c>
      <c r="Q137" s="2535">
        <v>0.4</v>
      </c>
      <c r="R137" s="374">
        <v>5</v>
      </c>
      <c r="S137" s="374">
        <v>149</v>
      </c>
      <c r="T137" s="300"/>
    </row>
    <row r="138" spans="1:23" s="951" customFormat="1" ht="13.5" customHeight="1">
      <c r="A138" s="1340"/>
      <c r="B138" s="911"/>
      <c r="C138" s="1646"/>
      <c r="D138" s="1252"/>
      <c r="E138" s="490"/>
      <c r="F138" s="1249" t="s">
        <v>1027</v>
      </c>
      <c r="G138" s="1231"/>
      <c r="H138" s="1638">
        <f>H139</f>
        <v>12000</v>
      </c>
      <c r="I138" s="1638">
        <f>I139</f>
        <v>21000</v>
      </c>
      <c r="J138" s="1242">
        <f>H138-I138</f>
        <v>-9000</v>
      </c>
      <c r="K138" s="1732"/>
      <c r="L138" s="667"/>
      <c r="M138" s="1733"/>
      <c r="N138" s="2544"/>
      <c r="O138" s="2514">
        <f>O139</f>
        <v>12000</v>
      </c>
      <c r="P138" s="374"/>
      <c r="Q138" s="375"/>
      <c r="R138" s="374"/>
      <c r="S138" s="374"/>
      <c r="T138" s="300"/>
    </row>
    <row r="139" spans="1:23" s="951" customFormat="1">
      <c r="A139" s="1340"/>
      <c r="B139" s="911"/>
      <c r="C139" s="1646"/>
      <c r="D139" s="1243"/>
      <c r="E139" s="1243"/>
      <c r="F139" s="1256"/>
      <c r="G139" s="646" t="s">
        <v>1028</v>
      </c>
      <c r="H139" s="1638">
        <f>M139</f>
        <v>12000</v>
      </c>
      <c r="I139" s="1638">
        <v>21000</v>
      </c>
      <c r="J139" s="943">
        <f>H139-I139</f>
        <v>-9000</v>
      </c>
      <c r="K139" s="647" t="s">
        <v>2233</v>
      </c>
      <c r="L139" s="667" t="s">
        <v>6</v>
      </c>
      <c r="M139" s="644">
        <v>12000</v>
      </c>
      <c r="N139" s="363" t="s">
        <v>2234</v>
      </c>
      <c r="O139" s="2496">
        <f>P139</f>
        <v>12000</v>
      </c>
      <c r="P139" s="1725">
        <f>Q139*R139</f>
        <v>12000</v>
      </c>
      <c r="Q139" s="375">
        <v>2000</v>
      </c>
      <c r="R139" s="374">
        <v>6</v>
      </c>
      <c r="S139" s="374"/>
      <c r="T139" s="300"/>
    </row>
    <row r="140" spans="1:23" s="951" customFormat="1" ht="13.5" customHeight="1">
      <c r="A140" s="1340"/>
      <c r="B140" s="911"/>
      <c r="C140" s="1646"/>
      <c r="D140" s="1252"/>
      <c r="E140" s="490"/>
      <c r="F140" s="1249" t="s">
        <v>461</v>
      </c>
      <c r="G140" s="1231"/>
      <c r="H140" s="1253">
        <f>H141</f>
        <v>1289180</v>
      </c>
      <c r="I140" s="943">
        <f>I141</f>
        <v>2187850</v>
      </c>
      <c r="J140" s="943">
        <f>H140-I140</f>
        <v>-898670</v>
      </c>
      <c r="K140" s="1254"/>
      <c r="L140" s="1255"/>
      <c r="M140" s="659"/>
      <c r="N140" s="353"/>
      <c r="O140" s="2514"/>
      <c r="P140" s="374"/>
      <c r="Q140" s="375"/>
      <c r="R140" s="374"/>
      <c r="S140" s="374"/>
      <c r="T140" s="300"/>
    </row>
    <row r="141" spans="1:23" s="951" customFormat="1">
      <c r="A141" s="1340"/>
      <c r="B141" s="911"/>
      <c r="C141" s="1646"/>
      <c r="D141" s="1243"/>
      <c r="E141" s="1243"/>
      <c r="F141" s="1256"/>
      <c r="G141" s="646" t="s">
        <v>345</v>
      </c>
      <c r="H141" s="1251">
        <f>M141</f>
        <v>1289180</v>
      </c>
      <c r="I141" s="1237">
        <v>2187850</v>
      </c>
      <c r="J141" s="1237">
        <f>H141-I141</f>
        <v>-898670</v>
      </c>
      <c r="K141" s="2494"/>
      <c r="L141" s="671"/>
      <c r="M141" s="665">
        <f>SUM(M142,M144,M146,M148,M150,M151,M152,M153,M156,M162,M164,M165)</f>
        <v>1289180</v>
      </c>
      <c r="N141" s="2497"/>
      <c r="O141" s="2496">
        <f>SUM(O142:O166)</f>
        <v>1289180</v>
      </c>
      <c r="P141" s="374"/>
      <c r="Q141" s="375"/>
      <c r="R141" s="374"/>
      <c r="S141" s="374"/>
      <c r="T141" s="300"/>
    </row>
    <row r="142" spans="1:23" s="951" customFormat="1">
      <c r="A142" s="1340"/>
      <c r="B142" s="911"/>
      <c r="C142" s="298"/>
      <c r="D142" s="1643"/>
      <c r="E142" s="1643"/>
      <c r="F142" s="1643"/>
      <c r="G142" s="490"/>
      <c r="H142" s="1636"/>
      <c r="I142" s="2488"/>
      <c r="J142" s="1628"/>
      <c r="K142" s="656" t="s">
        <v>791</v>
      </c>
      <c r="L142" s="2491"/>
      <c r="M142" s="660">
        <f>M143</f>
        <v>179000</v>
      </c>
      <c r="N142" s="2509" t="s">
        <v>462</v>
      </c>
      <c r="O142" s="2479">
        <f>SUM(P143)</f>
        <v>179000</v>
      </c>
      <c r="P142" s="2480"/>
      <c r="Q142" s="1088"/>
      <c r="R142" s="374"/>
      <c r="S142" s="374"/>
      <c r="T142" s="300"/>
    </row>
    <row r="143" spans="1:23" s="951" customFormat="1">
      <c r="A143" s="1340"/>
      <c r="B143" s="911"/>
      <c r="C143" s="298"/>
      <c r="D143" s="1643"/>
      <c r="E143" s="1643"/>
      <c r="F143" s="1643"/>
      <c r="G143" s="490"/>
      <c r="H143" s="1636"/>
      <c r="I143" s="2488"/>
      <c r="J143" s="1628"/>
      <c r="K143" s="2545" t="s">
        <v>792</v>
      </c>
      <c r="L143" s="2491" t="s">
        <v>292</v>
      </c>
      <c r="M143" s="660">
        <f>P143</f>
        <v>179000</v>
      </c>
      <c r="N143" s="2546" t="s">
        <v>463</v>
      </c>
      <c r="O143" s="2479"/>
      <c r="P143" s="2480">
        <f>ROUNDDOWN(Q143*R143, -3)</f>
        <v>179000</v>
      </c>
      <c r="Q143" s="375">
        <v>35889672</v>
      </c>
      <c r="R143" s="2547">
        <v>5.0000000000000001E-3</v>
      </c>
      <c r="S143" s="374"/>
      <c r="T143" s="300"/>
    </row>
    <row r="144" spans="1:23" s="951" customFormat="1">
      <c r="A144" s="1340"/>
      <c r="B144" s="911"/>
      <c r="C144" s="298"/>
      <c r="D144" s="1643"/>
      <c r="E144" s="1643"/>
      <c r="F144" s="1643"/>
      <c r="G144" s="490"/>
      <c r="H144" s="1636"/>
      <c r="I144" s="2488"/>
      <c r="J144" s="1628"/>
      <c r="K144" s="656" t="s">
        <v>793</v>
      </c>
      <c r="L144" s="2498"/>
      <c r="M144" s="663">
        <f>M145</f>
        <v>179000</v>
      </c>
      <c r="N144" s="2546" t="s">
        <v>771</v>
      </c>
      <c r="O144" s="2479">
        <f>SUM(P145)</f>
        <v>179000</v>
      </c>
      <c r="P144" s="2480"/>
      <c r="Q144" s="375"/>
      <c r="R144" s="374"/>
      <c r="S144" s="374"/>
      <c r="T144" s="300"/>
    </row>
    <row r="145" spans="1:23" s="951" customFormat="1">
      <c r="A145" s="1340"/>
      <c r="B145" s="911"/>
      <c r="C145" s="298"/>
      <c r="D145" s="1643"/>
      <c r="E145" s="1643"/>
      <c r="F145" s="1643"/>
      <c r="G145" s="490"/>
      <c r="H145" s="1636"/>
      <c r="I145" s="2488"/>
      <c r="J145" s="1628"/>
      <c r="K145" s="656" t="s">
        <v>794</v>
      </c>
      <c r="L145" s="2491" t="s">
        <v>292</v>
      </c>
      <c r="M145" s="660">
        <f>P145</f>
        <v>179000</v>
      </c>
      <c r="N145" s="2546" t="s">
        <v>464</v>
      </c>
      <c r="O145" s="2479"/>
      <c r="P145" s="2480">
        <f>ROUNDDOWN(Q145*R145, -3)</f>
        <v>179000</v>
      </c>
      <c r="Q145" s="375">
        <v>35889672</v>
      </c>
      <c r="R145" s="2547">
        <v>5.0000000000000001E-3</v>
      </c>
      <c r="S145" s="374"/>
      <c r="T145" s="300"/>
    </row>
    <row r="146" spans="1:23" s="951" customFormat="1">
      <c r="A146" s="1340"/>
      <c r="B146" s="911"/>
      <c r="C146" s="298"/>
      <c r="D146" s="1643"/>
      <c r="E146" s="1643"/>
      <c r="F146" s="1643"/>
      <c r="G146" s="490"/>
      <c r="H146" s="1636"/>
      <c r="I146" s="2488"/>
      <c r="J146" s="1628"/>
      <c r="K146" s="656" t="s">
        <v>988</v>
      </c>
      <c r="L146" s="2491"/>
      <c r="M146" s="660">
        <f>M147</f>
        <v>53000</v>
      </c>
      <c r="N146" s="2546" t="s">
        <v>465</v>
      </c>
      <c r="O146" s="2479">
        <f>SUM(P147)</f>
        <v>53000</v>
      </c>
      <c r="P146" s="2480"/>
      <c r="Q146" s="1088"/>
      <c r="R146" s="374"/>
      <c r="S146" s="374"/>
      <c r="T146" s="300"/>
    </row>
    <row r="147" spans="1:23" s="951" customFormat="1">
      <c r="A147" s="1340"/>
      <c r="B147" s="911"/>
      <c r="C147" s="298"/>
      <c r="D147" s="1643"/>
      <c r="E147" s="1643"/>
      <c r="F147" s="1643"/>
      <c r="G147" s="490"/>
      <c r="H147" s="1636"/>
      <c r="I147" s="2488"/>
      <c r="J147" s="1628"/>
      <c r="K147" s="648" t="s">
        <v>898</v>
      </c>
      <c r="L147" s="2491" t="s">
        <v>292</v>
      </c>
      <c r="M147" s="660">
        <f>P147</f>
        <v>53000</v>
      </c>
      <c r="N147" s="2546"/>
      <c r="O147" s="2479"/>
      <c r="P147" s="2480">
        <f>ROUNDUP(Q147*R147, -3)</f>
        <v>53000</v>
      </c>
      <c r="Q147" s="375">
        <v>6613000</v>
      </c>
      <c r="R147" s="2547">
        <v>8.0000000000000002E-3</v>
      </c>
      <c r="S147" s="374"/>
      <c r="T147" s="300"/>
    </row>
    <row r="148" spans="1:23" s="951" customFormat="1">
      <c r="A148" s="1340"/>
      <c r="B148" s="911"/>
      <c r="C148" s="298"/>
      <c r="D148" s="1644"/>
      <c r="E148" s="1644"/>
      <c r="F148" s="1644"/>
      <c r="G148" s="1645"/>
      <c r="H148" s="1636"/>
      <c r="I148" s="2488"/>
      <c r="J148" s="1628"/>
      <c r="K148" s="656" t="s">
        <v>989</v>
      </c>
      <c r="L148" s="2491"/>
      <c r="M148" s="660">
        <f>M149</f>
        <v>53000</v>
      </c>
      <c r="N148" s="2546"/>
      <c r="O148" s="2479">
        <f>SUM(P149)</f>
        <v>53000</v>
      </c>
      <c r="P148" s="2480"/>
      <c r="Q148" s="1088"/>
      <c r="R148" s="374"/>
      <c r="S148" s="374"/>
      <c r="T148" s="300"/>
    </row>
    <row r="149" spans="1:23" s="951" customFormat="1">
      <c r="A149" s="1340"/>
      <c r="B149" s="911"/>
      <c r="C149" s="298"/>
      <c r="D149" s="1644"/>
      <c r="E149" s="1644"/>
      <c r="F149" s="1644"/>
      <c r="G149" s="1645"/>
      <c r="H149" s="1636"/>
      <c r="I149" s="2488"/>
      <c r="J149" s="1628"/>
      <c r="K149" s="648" t="s">
        <v>898</v>
      </c>
      <c r="L149" s="2491" t="s">
        <v>292</v>
      </c>
      <c r="M149" s="660">
        <f>P149</f>
        <v>53000</v>
      </c>
      <c r="N149" s="2548"/>
      <c r="O149" s="2479"/>
      <c r="P149" s="2480">
        <f>ROUNDUP(Q149*R149, -3)</f>
        <v>53000</v>
      </c>
      <c r="Q149" s="375">
        <v>6613000</v>
      </c>
      <c r="R149" s="2547">
        <v>8.0000000000000002E-3</v>
      </c>
      <c r="S149" s="374"/>
      <c r="T149" s="300"/>
    </row>
    <row r="150" spans="1:23" s="951" customFormat="1">
      <c r="A150" s="1340"/>
      <c r="B150" s="911"/>
      <c r="C150" s="298"/>
      <c r="D150" s="1644"/>
      <c r="E150" s="1644"/>
      <c r="F150" s="1644"/>
      <c r="G150" s="1645"/>
      <c r="H150" s="1636"/>
      <c r="I150" s="2488"/>
      <c r="J150" s="1628"/>
      <c r="K150" s="648" t="s">
        <v>2235</v>
      </c>
      <c r="L150" s="2491"/>
      <c r="M150" s="660">
        <f>O150</f>
        <v>300000</v>
      </c>
      <c r="N150" s="2548" t="s">
        <v>2236</v>
      </c>
      <c r="O150" s="2479">
        <f>P150</f>
        <v>300000</v>
      </c>
      <c r="P150" s="2480">
        <f>ROUNDUP(Q150*R150, -3)</f>
        <v>300000</v>
      </c>
      <c r="Q150" s="375">
        <v>300000</v>
      </c>
      <c r="R150" s="2547">
        <v>1</v>
      </c>
      <c r="S150" s="374"/>
      <c r="T150" s="300"/>
    </row>
    <row r="151" spans="1:23" s="951" customFormat="1">
      <c r="A151" s="1340"/>
      <c r="B151" s="911"/>
      <c r="C151" s="298"/>
      <c r="D151" s="1644"/>
      <c r="E151" s="1644"/>
      <c r="F151" s="1644"/>
      <c r="G151" s="1645"/>
      <c r="H151" s="1636"/>
      <c r="I151" s="2488"/>
      <c r="J151" s="1628"/>
      <c r="K151" s="1088" t="s">
        <v>2237</v>
      </c>
      <c r="L151" s="2491"/>
      <c r="M151" s="660">
        <f>O151</f>
        <v>220000</v>
      </c>
      <c r="N151" s="2548" t="s">
        <v>2238</v>
      </c>
      <c r="O151" s="2479">
        <f>P151</f>
        <v>220000</v>
      </c>
      <c r="P151" s="2480">
        <f>ROUNDUP(Q151*R151, -3)</f>
        <v>220000</v>
      </c>
      <c r="Q151" s="375">
        <v>220000</v>
      </c>
      <c r="R151" s="2547">
        <v>1</v>
      </c>
      <c r="S151" s="374"/>
      <c r="T151" s="300"/>
    </row>
    <row r="152" spans="1:23" s="300" customFormat="1">
      <c r="A152" s="1340"/>
      <c r="B152" s="911"/>
      <c r="C152" s="298"/>
      <c r="D152" s="1644"/>
      <c r="E152" s="1644"/>
      <c r="F152" s="1644"/>
      <c r="G152" s="1645"/>
      <c r="H152" s="1636"/>
      <c r="I152" s="2488"/>
      <c r="J152" s="1628"/>
      <c r="K152" s="648" t="s">
        <v>2239</v>
      </c>
      <c r="L152" s="2486" t="s">
        <v>292</v>
      </c>
      <c r="M152" s="660">
        <f>P152</f>
        <v>4000</v>
      </c>
      <c r="N152" s="2546" t="s">
        <v>2240</v>
      </c>
      <c r="O152" s="2479">
        <f>P152</f>
        <v>4000</v>
      </c>
      <c r="P152" s="2480">
        <f>Q152*R152*S152</f>
        <v>4000</v>
      </c>
      <c r="Q152" s="375">
        <v>2000</v>
      </c>
      <c r="R152" s="2489">
        <v>1</v>
      </c>
      <c r="S152" s="374">
        <v>2</v>
      </c>
      <c r="U152" s="951"/>
      <c r="V152" s="951"/>
      <c r="W152" s="951"/>
    </row>
    <row r="153" spans="1:23" s="300" customFormat="1">
      <c r="A153" s="1340"/>
      <c r="B153" s="911"/>
      <c r="C153" s="298"/>
      <c r="D153" s="1633"/>
      <c r="E153" s="1633"/>
      <c r="F153" s="1633"/>
      <c r="G153" s="1625"/>
      <c r="H153" s="1627"/>
      <c r="I153" s="2488"/>
      <c r="J153" s="1628"/>
      <c r="K153" s="656" t="s">
        <v>466</v>
      </c>
      <c r="L153" s="2491" t="s">
        <v>230</v>
      </c>
      <c r="M153" s="660">
        <f>SUM(M154:M155)</f>
        <v>9000</v>
      </c>
      <c r="N153" s="2509" t="s">
        <v>467</v>
      </c>
      <c r="O153" s="2479">
        <f>SUM(P154:P155)</f>
        <v>9000</v>
      </c>
      <c r="P153" s="2480" t="s">
        <v>230</v>
      </c>
      <c r="Q153" s="375" t="s">
        <v>230</v>
      </c>
      <c r="R153" s="374" t="s">
        <v>230</v>
      </c>
      <c r="S153" s="374" t="s">
        <v>230</v>
      </c>
      <c r="U153" s="951"/>
      <c r="V153" s="951"/>
      <c r="W153" s="951"/>
    </row>
    <row r="154" spans="1:23" s="300" customFormat="1">
      <c r="A154" s="1340"/>
      <c r="B154" s="911"/>
      <c r="C154" s="298"/>
      <c r="D154" s="1633"/>
      <c r="E154" s="1633"/>
      <c r="F154" s="1633"/>
      <c r="G154" s="1625"/>
      <c r="H154" s="1627"/>
      <c r="I154" s="2488"/>
      <c r="J154" s="1628"/>
      <c r="K154" s="656" t="s">
        <v>772</v>
      </c>
      <c r="L154" s="2491" t="s">
        <v>292</v>
      </c>
      <c r="M154" s="660">
        <f t="shared" ref="M154:M155" si="24">P154</f>
        <v>5000</v>
      </c>
      <c r="N154" s="2549" t="s">
        <v>468</v>
      </c>
      <c r="O154" s="2479" t="s">
        <v>230</v>
      </c>
      <c r="P154" s="2480">
        <f>Q154*S154</f>
        <v>5000</v>
      </c>
      <c r="Q154" s="375">
        <v>5000</v>
      </c>
      <c r="R154" s="374"/>
      <c r="S154" s="374">
        <v>1</v>
      </c>
      <c r="U154" s="951"/>
      <c r="V154" s="951"/>
      <c r="W154" s="951"/>
    </row>
    <row r="155" spans="1:23" s="300" customFormat="1">
      <c r="A155" s="1340"/>
      <c r="B155" s="911"/>
      <c r="C155" s="298"/>
      <c r="D155" s="1633"/>
      <c r="E155" s="1633"/>
      <c r="F155" s="1633"/>
      <c r="G155" s="1625"/>
      <c r="H155" s="1627"/>
      <c r="I155" s="2488"/>
      <c r="J155" s="1628"/>
      <c r="K155" s="656" t="s">
        <v>469</v>
      </c>
      <c r="L155" s="2491" t="s">
        <v>292</v>
      </c>
      <c r="M155" s="660">
        <f t="shared" si="24"/>
        <v>4000</v>
      </c>
      <c r="N155" s="2549" t="s">
        <v>470</v>
      </c>
      <c r="O155" s="2479" t="s">
        <v>230</v>
      </c>
      <c r="P155" s="2480">
        <f>Q155*S155</f>
        <v>4000</v>
      </c>
      <c r="Q155" s="375">
        <v>4000</v>
      </c>
      <c r="R155" s="374"/>
      <c r="S155" s="374">
        <v>1</v>
      </c>
      <c r="U155" s="951"/>
      <c r="V155" s="951"/>
      <c r="W155" s="951"/>
    </row>
    <row r="156" spans="1:23" s="300" customFormat="1">
      <c r="A156" s="1340"/>
      <c r="B156" s="911"/>
      <c r="C156" s="298"/>
      <c r="D156" s="1644"/>
      <c r="E156" s="1644"/>
      <c r="F156" s="1644"/>
      <c r="G156" s="1645"/>
      <c r="H156" s="1636"/>
      <c r="I156" s="2488"/>
      <c r="J156" s="1628"/>
      <c r="K156" s="648" t="s">
        <v>2241</v>
      </c>
      <c r="L156" s="2491"/>
      <c r="M156" s="660">
        <f>SUM(M157:M161)</f>
        <v>35180</v>
      </c>
      <c r="N156" s="2509" t="s">
        <v>471</v>
      </c>
      <c r="O156" s="2479">
        <f>SUM(P157:P161)</f>
        <v>35180</v>
      </c>
      <c r="P156" s="2480"/>
      <c r="Q156" s="375"/>
      <c r="R156" s="374"/>
      <c r="S156" s="374"/>
      <c r="U156" s="951"/>
      <c r="V156" s="951"/>
      <c r="W156" s="951"/>
    </row>
    <row r="157" spans="1:23" s="300" customFormat="1">
      <c r="A157" s="1340"/>
      <c r="B157" s="911"/>
      <c r="C157" s="298"/>
      <c r="D157" s="1644"/>
      <c r="E157" s="1644"/>
      <c r="F157" s="1644"/>
      <c r="G157" s="1645"/>
      <c r="H157" s="1636"/>
      <c r="I157" s="2488"/>
      <c r="J157" s="1628"/>
      <c r="K157" s="2550" t="s">
        <v>2242</v>
      </c>
      <c r="L157" s="2491" t="s">
        <v>292</v>
      </c>
      <c r="M157" s="660">
        <f>P157</f>
        <v>4000</v>
      </c>
      <c r="N157" s="954" t="s">
        <v>2243</v>
      </c>
      <c r="O157" s="2479"/>
      <c r="P157" s="2480">
        <f>Q157*R157*S157</f>
        <v>4000</v>
      </c>
      <c r="Q157" s="375">
        <v>4</v>
      </c>
      <c r="R157" s="374">
        <v>1000</v>
      </c>
      <c r="S157" s="374">
        <v>1</v>
      </c>
      <c r="U157" s="951"/>
      <c r="V157" s="951"/>
      <c r="W157" s="951"/>
    </row>
    <row r="158" spans="1:23" s="300" customFormat="1">
      <c r="A158" s="1340"/>
      <c r="B158" s="911"/>
      <c r="C158" s="298"/>
      <c r="D158" s="1644"/>
      <c r="E158" s="1644"/>
      <c r="F158" s="1644"/>
      <c r="G158" s="1645"/>
      <c r="H158" s="1636"/>
      <c r="I158" s="2488"/>
      <c r="J158" s="1628"/>
      <c r="K158" s="2551" t="s">
        <v>2244</v>
      </c>
      <c r="L158" s="2491" t="s">
        <v>292</v>
      </c>
      <c r="M158" s="660">
        <f>P158</f>
        <v>480</v>
      </c>
      <c r="N158" s="954" t="s">
        <v>2245</v>
      </c>
      <c r="O158" s="2479"/>
      <c r="P158" s="2480">
        <f>Q158*R158*S158</f>
        <v>480</v>
      </c>
      <c r="Q158" s="375">
        <v>6</v>
      </c>
      <c r="R158" s="374">
        <v>20</v>
      </c>
      <c r="S158" s="374">
        <v>4</v>
      </c>
      <c r="U158" s="951"/>
      <c r="V158" s="951"/>
      <c r="W158" s="951"/>
    </row>
    <row r="159" spans="1:23" s="300" customFormat="1">
      <c r="A159" s="1340"/>
      <c r="B159" s="911"/>
      <c r="C159" s="298"/>
      <c r="D159" s="1644"/>
      <c r="E159" s="1644"/>
      <c r="F159" s="1644"/>
      <c r="G159" s="1645"/>
      <c r="H159" s="1636"/>
      <c r="I159" s="2488"/>
      <c r="J159" s="1628"/>
      <c r="K159" s="648" t="s">
        <v>2246</v>
      </c>
      <c r="L159" s="2498" t="s">
        <v>292</v>
      </c>
      <c r="M159" s="660">
        <f t="shared" ref="M159:M160" si="25">P159</f>
        <v>11700</v>
      </c>
      <c r="N159" s="2549" t="s">
        <v>2247</v>
      </c>
      <c r="O159" s="2479"/>
      <c r="P159" s="2480">
        <f>Q159*R159</f>
        <v>11700</v>
      </c>
      <c r="Q159" s="375">
        <v>1950</v>
      </c>
      <c r="R159" s="374">
        <v>6</v>
      </c>
      <c r="S159" s="374"/>
      <c r="U159" s="951"/>
      <c r="V159" s="951"/>
      <c r="W159" s="951"/>
    </row>
    <row r="160" spans="1:23" s="300" customFormat="1">
      <c r="A160" s="1340"/>
      <c r="B160" s="911"/>
      <c r="C160" s="298"/>
      <c r="D160" s="1644"/>
      <c r="E160" s="1644"/>
      <c r="F160" s="1644"/>
      <c r="G160" s="1645"/>
      <c r="H160" s="1636"/>
      <c r="I160" s="2488"/>
      <c r="J160" s="1628"/>
      <c r="K160" s="648" t="s">
        <v>472</v>
      </c>
      <c r="L160" s="2498" t="s">
        <v>292</v>
      </c>
      <c r="M160" s="660">
        <f t="shared" si="25"/>
        <v>7000</v>
      </c>
      <c r="N160" s="2549" t="s">
        <v>2248</v>
      </c>
      <c r="O160" s="2479"/>
      <c r="P160" s="2480">
        <f>Q160*R160</f>
        <v>7000</v>
      </c>
      <c r="Q160" s="375">
        <v>3500</v>
      </c>
      <c r="R160" s="374">
        <v>2</v>
      </c>
      <c r="S160" s="374"/>
      <c r="U160" s="951"/>
      <c r="V160" s="951"/>
      <c r="W160" s="951"/>
    </row>
    <row r="161" spans="1:23" s="300" customFormat="1">
      <c r="A161" s="1340"/>
      <c r="B161" s="911"/>
      <c r="C161" s="298"/>
      <c r="D161" s="1644"/>
      <c r="E161" s="1644"/>
      <c r="F161" s="1644"/>
      <c r="G161" s="1645"/>
      <c r="H161" s="1636"/>
      <c r="I161" s="2488"/>
      <c r="J161" s="1628"/>
      <c r="K161" s="648" t="s">
        <v>2249</v>
      </c>
      <c r="L161" s="2498" t="s">
        <v>292</v>
      </c>
      <c r="M161" s="660">
        <v>12000</v>
      </c>
      <c r="N161" s="2549" t="s">
        <v>2250</v>
      </c>
      <c r="O161" s="2479"/>
      <c r="P161" s="2480">
        <f>Q161*R161</f>
        <v>12000</v>
      </c>
      <c r="Q161" s="375">
        <v>2000</v>
      </c>
      <c r="R161" s="374">
        <v>6</v>
      </c>
      <c r="S161" s="374"/>
      <c r="U161" s="951"/>
      <c r="V161" s="951"/>
      <c r="W161" s="951"/>
    </row>
    <row r="162" spans="1:23" s="300" customFormat="1">
      <c r="A162" s="1340"/>
      <c r="B162" s="911"/>
      <c r="C162" s="298"/>
      <c r="D162" s="1644"/>
      <c r="E162" s="1644"/>
      <c r="F162" s="1644"/>
      <c r="G162" s="1645"/>
      <c r="H162" s="1636"/>
      <c r="I162" s="2488"/>
      <c r="J162" s="1628"/>
      <c r="K162" s="648" t="s">
        <v>473</v>
      </c>
      <c r="L162" s="2491"/>
      <c r="M162" s="660">
        <f>SUM(M163:M163)</f>
        <v>5000</v>
      </c>
      <c r="N162" s="2509" t="s">
        <v>473</v>
      </c>
      <c r="O162" s="2479">
        <f>SUM(P163:P163)</f>
        <v>5000</v>
      </c>
      <c r="P162" s="2480"/>
      <c r="Q162" s="375"/>
      <c r="R162" s="374"/>
      <c r="S162" s="374"/>
      <c r="U162" s="951"/>
      <c r="V162" s="951"/>
      <c r="W162" s="951"/>
    </row>
    <row r="163" spans="1:23" s="300" customFormat="1">
      <c r="A163" s="1340"/>
      <c r="B163" s="911"/>
      <c r="C163" s="298"/>
      <c r="D163" s="1644"/>
      <c r="E163" s="1644"/>
      <c r="F163" s="1644"/>
      <c r="G163" s="1645"/>
      <c r="H163" s="1636"/>
      <c r="I163" s="2488"/>
      <c r="J163" s="1628"/>
      <c r="K163" s="648" t="s">
        <v>990</v>
      </c>
      <c r="L163" s="2498" t="s">
        <v>292</v>
      </c>
      <c r="M163" s="660">
        <v>5000</v>
      </c>
      <c r="N163" s="2549" t="s">
        <v>991</v>
      </c>
      <c r="O163" s="2479"/>
      <c r="P163" s="2480">
        <f>Q163*R163</f>
        <v>5000</v>
      </c>
      <c r="Q163" s="375">
        <v>5000</v>
      </c>
      <c r="R163" s="374">
        <v>1</v>
      </c>
      <c r="S163" s="374"/>
      <c r="U163" s="951"/>
      <c r="V163" s="951"/>
      <c r="W163" s="951"/>
    </row>
    <row r="164" spans="1:23" s="300" customFormat="1">
      <c r="A164" s="1340"/>
      <c r="B164" s="911"/>
      <c r="C164" s="298"/>
      <c r="D164" s="1644"/>
      <c r="E164" s="1644"/>
      <c r="F164" s="1644"/>
      <c r="G164" s="1645"/>
      <c r="H164" s="1636"/>
      <c r="I164" s="2488"/>
      <c r="J164" s="1628"/>
      <c r="K164" s="648" t="s">
        <v>992</v>
      </c>
      <c r="L164" s="2491" t="s">
        <v>292</v>
      </c>
      <c r="M164" s="660">
        <f t="shared" ref="M164:M166" si="26">P164</f>
        <v>12000</v>
      </c>
      <c r="N164" s="2509" t="s">
        <v>2251</v>
      </c>
      <c r="O164" s="2479">
        <f t="shared" ref="O164" si="27">P164</f>
        <v>12000</v>
      </c>
      <c r="P164" s="2480">
        <f>Q164*S164</f>
        <v>12000</v>
      </c>
      <c r="Q164" s="375">
        <v>2000</v>
      </c>
      <c r="R164" s="374"/>
      <c r="S164" s="374">
        <v>6</v>
      </c>
      <c r="U164" s="951"/>
      <c r="V164" s="951"/>
      <c r="W164" s="951"/>
    </row>
    <row r="165" spans="1:23" s="300" customFormat="1">
      <c r="A165" s="1340"/>
      <c r="B165" s="911"/>
      <c r="C165" s="298"/>
      <c r="D165" s="1644"/>
      <c r="E165" s="1644"/>
      <c r="F165" s="1644"/>
      <c r="G165" s="1645"/>
      <c r="H165" s="1636"/>
      <c r="I165" s="2488"/>
      <c r="J165" s="1628"/>
      <c r="K165" s="648" t="s">
        <v>773</v>
      </c>
      <c r="L165" s="2491" t="s">
        <v>292</v>
      </c>
      <c r="M165" s="660">
        <f>SUM(M166)</f>
        <v>240000</v>
      </c>
      <c r="N165" s="2509" t="s">
        <v>2252</v>
      </c>
      <c r="O165" s="2479">
        <f>SUM(P166:P166)</f>
        <v>240000</v>
      </c>
      <c r="P165" s="2480"/>
      <c r="Q165" s="375"/>
      <c r="R165" s="374"/>
      <c r="S165" s="374"/>
      <c r="U165" s="951"/>
      <c r="V165" s="951"/>
      <c r="W165" s="951"/>
    </row>
    <row r="166" spans="1:23" s="300" customFormat="1">
      <c r="A166" s="1340"/>
      <c r="B166" s="911"/>
      <c r="C166" s="298"/>
      <c r="D166" s="1644"/>
      <c r="E166" s="1644"/>
      <c r="F166" s="1644"/>
      <c r="G166" s="1645"/>
      <c r="H166" s="1636"/>
      <c r="I166" s="2488"/>
      <c r="J166" s="1628"/>
      <c r="K166" s="648" t="s">
        <v>2468</v>
      </c>
      <c r="L166" s="2491" t="s">
        <v>292</v>
      </c>
      <c r="M166" s="660">
        <f t="shared" si="26"/>
        <v>240000</v>
      </c>
      <c r="N166" s="2519"/>
      <c r="O166" s="2479"/>
      <c r="P166" s="2480">
        <f>Q166*S166</f>
        <v>240000</v>
      </c>
      <c r="Q166" s="375">
        <v>30</v>
      </c>
      <c r="R166" s="374"/>
      <c r="S166" s="374">
        <v>8000</v>
      </c>
      <c r="U166" s="951"/>
      <c r="V166" s="951"/>
      <c r="W166" s="951"/>
    </row>
    <row r="167" spans="1:23" s="300" customFormat="1" ht="13.5" customHeight="1">
      <c r="A167" s="1340"/>
      <c r="B167" s="911"/>
      <c r="C167" s="1646"/>
      <c r="D167" s="1252"/>
      <c r="E167" s="490"/>
      <c r="F167" s="1249" t="s">
        <v>474</v>
      </c>
      <c r="G167" s="1231"/>
      <c r="H167" s="1253">
        <f>O167</f>
        <v>898420</v>
      </c>
      <c r="I167" s="943">
        <v>767823</v>
      </c>
      <c r="J167" s="943">
        <f>H167-I167</f>
        <v>130597</v>
      </c>
      <c r="K167" s="1254"/>
      <c r="L167" s="1255"/>
      <c r="M167" s="661">
        <f>SUM(M168+M171+M172)</f>
        <v>898420</v>
      </c>
      <c r="N167" s="376"/>
      <c r="O167" s="2514">
        <f>SUM(O168:O176)</f>
        <v>898420</v>
      </c>
      <c r="P167" s="374"/>
      <c r="Q167" s="375"/>
      <c r="R167" s="374"/>
      <c r="S167" s="374"/>
      <c r="U167" s="951"/>
      <c r="V167" s="951"/>
      <c r="W167" s="951"/>
    </row>
    <row r="168" spans="1:23" s="300" customFormat="1">
      <c r="A168" s="1340"/>
      <c r="B168" s="911"/>
      <c r="C168" s="1646"/>
      <c r="D168" s="1259"/>
      <c r="E168" s="1259"/>
      <c r="F168" s="1260"/>
      <c r="G168" s="1261"/>
      <c r="H168" s="1247"/>
      <c r="I168" s="1242"/>
      <c r="J168" s="1242"/>
      <c r="K168" s="2485" t="s">
        <v>475</v>
      </c>
      <c r="L168" s="2552"/>
      <c r="M168" s="643">
        <f>SUM(M169:M170)</f>
        <v>141300</v>
      </c>
      <c r="N168" s="2508" t="s">
        <v>475</v>
      </c>
      <c r="O168" s="2479">
        <f>SUM(P169:P170)</f>
        <v>141300</v>
      </c>
      <c r="P168" s="2480"/>
      <c r="Q168" s="375"/>
      <c r="R168" s="374"/>
      <c r="S168" s="374"/>
      <c r="U168" s="951"/>
      <c r="V168" s="951"/>
      <c r="W168" s="951"/>
    </row>
    <row r="169" spans="1:23" s="300" customFormat="1">
      <c r="A169" s="1340"/>
      <c r="B169" s="911"/>
      <c r="C169" s="1646"/>
      <c r="D169" s="1257"/>
      <c r="E169" s="1257"/>
      <c r="F169" s="1258"/>
      <c r="G169" s="1262"/>
      <c r="H169" s="1247"/>
      <c r="I169" s="2553"/>
      <c r="J169" s="1242" t="s">
        <v>230</v>
      </c>
      <c r="K169" s="651" t="s">
        <v>777</v>
      </c>
      <c r="L169" s="2491" t="s">
        <v>292</v>
      </c>
      <c r="M169" s="660">
        <f>P169</f>
        <v>108900</v>
      </c>
      <c r="N169" s="2549" t="s">
        <v>778</v>
      </c>
      <c r="O169" s="2479"/>
      <c r="P169" s="2480">
        <f>INT(Q169*R169*S169)</f>
        <v>108900</v>
      </c>
      <c r="Q169" s="375">
        <v>1.65</v>
      </c>
      <c r="R169" s="374">
        <v>5500</v>
      </c>
      <c r="S169" s="374">
        <v>12</v>
      </c>
      <c r="U169" s="951"/>
      <c r="V169" s="951"/>
      <c r="W169" s="951"/>
    </row>
    <row r="170" spans="1:23" s="300" customFormat="1">
      <c r="A170" s="1340"/>
      <c r="B170" s="911"/>
      <c r="C170" s="1646"/>
      <c r="D170" s="1259"/>
      <c r="E170" s="1259"/>
      <c r="F170" s="1260"/>
      <c r="G170" s="1261"/>
      <c r="H170" s="1247"/>
      <c r="I170" s="1242"/>
      <c r="J170" s="1242" t="s">
        <v>230</v>
      </c>
      <c r="K170" s="2485" t="s">
        <v>2253</v>
      </c>
      <c r="L170" s="2491" t="s">
        <v>292</v>
      </c>
      <c r="M170" s="643">
        <f t="shared" ref="M170" si="28">P170</f>
        <v>32400</v>
      </c>
      <c r="N170" s="2549" t="s">
        <v>2254</v>
      </c>
      <c r="O170" s="2479"/>
      <c r="P170" s="2480">
        <f>INT(Q170*R170*S170)</f>
        <v>32400</v>
      </c>
      <c r="Q170" s="375">
        <v>0.45</v>
      </c>
      <c r="R170" s="374">
        <v>6000</v>
      </c>
      <c r="S170" s="374">
        <v>12</v>
      </c>
      <c r="U170" s="951"/>
      <c r="V170" s="951"/>
      <c r="W170" s="951"/>
    </row>
    <row r="171" spans="1:23" s="300" customFormat="1">
      <c r="A171" s="1340"/>
      <c r="B171" s="911"/>
      <c r="C171" s="1646"/>
      <c r="D171" s="1259"/>
      <c r="E171" s="1259"/>
      <c r="F171" s="1260"/>
      <c r="G171" s="1261"/>
      <c r="H171" s="1247"/>
      <c r="I171" s="1242"/>
      <c r="J171" s="1242"/>
      <c r="K171" s="2485" t="s">
        <v>2255</v>
      </c>
      <c r="L171" s="2552"/>
      <c r="M171" s="643">
        <f>O171</f>
        <v>729600</v>
      </c>
      <c r="N171" s="2509" t="s">
        <v>2256</v>
      </c>
      <c r="O171" s="2479">
        <f>P171</f>
        <v>729600</v>
      </c>
      <c r="P171" s="2480">
        <f>INT(Q171*R171*S171)</f>
        <v>729600</v>
      </c>
      <c r="Q171" s="375">
        <v>0.16</v>
      </c>
      <c r="R171" s="374">
        <v>380000</v>
      </c>
      <c r="S171" s="374">
        <v>12</v>
      </c>
      <c r="U171" s="951"/>
      <c r="V171" s="951"/>
      <c r="W171" s="951"/>
    </row>
    <row r="172" spans="1:23" s="300" customFormat="1">
      <c r="A172" s="1340"/>
      <c r="B172" s="911"/>
      <c r="C172" s="1646"/>
      <c r="D172" s="1259"/>
      <c r="E172" s="1259"/>
      <c r="F172" s="1260"/>
      <c r="G172" s="1261"/>
      <c r="H172" s="1247"/>
      <c r="I172" s="1242"/>
      <c r="J172" s="1242"/>
      <c r="K172" s="2485" t="s">
        <v>476</v>
      </c>
      <c r="L172" s="2552"/>
      <c r="M172" s="660">
        <f>SUM(M173:M176)</f>
        <v>27520</v>
      </c>
      <c r="N172" s="2509" t="s">
        <v>476</v>
      </c>
      <c r="O172" s="2479">
        <f>SUM(P173:P176)</f>
        <v>27520</v>
      </c>
      <c r="P172" s="374"/>
      <c r="Q172" s="375"/>
      <c r="R172" s="374"/>
      <c r="S172" s="374"/>
      <c r="U172" s="951"/>
      <c r="V172" s="951"/>
      <c r="W172" s="951"/>
    </row>
    <row r="173" spans="1:23" s="300" customFormat="1">
      <c r="A173" s="1340"/>
      <c r="B173" s="911"/>
      <c r="C173" s="1646"/>
      <c r="D173" s="1259"/>
      <c r="E173" s="1259"/>
      <c r="F173" s="1260"/>
      <c r="G173" s="1261"/>
      <c r="H173" s="1247"/>
      <c r="I173" s="1242"/>
      <c r="J173" s="1242"/>
      <c r="K173" s="2485" t="s">
        <v>2257</v>
      </c>
      <c r="L173" s="2491" t="s">
        <v>292</v>
      </c>
      <c r="M173" s="342">
        <f>P173</f>
        <v>16000</v>
      </c>
      <c r="N173" s="2554" t="s">
        <v>2258</v>
      </c>
      <c r="O173" s="2479"/>
      <c r="P173" s="2555">
        <f>INT(Q173*R173*S173)</f>
        <v>16000</v>
      </c>
      <c r="Q173" s="375">
        <v>1.6</v>
      </c>
      <c r="R173" s="374">
        <v>5000</v>
      </c>
      <c r="S173" s="374">
        <v>2</v>
      </c>
      <c r="U173" s="951"/>
      <c r="V173" s="951"/>
      <c r="W173" s="951"/>
    </row>
    <row r="174" spans="1:23" s="300" customFormat="1">
      <c r="A174" s="1340"/>
      <c r="B174" s="911"/>
      <c r="C174" s="1646"/>
      <c r="D174" s="1259"/>
      <c r="E174" s="2556"/>
      <c r="F174" s="1260"/>
      <c r="G174" s="1261"/>
      <c r="H174" s="1247"/>
      <c r="I174" s="1242"/>
      <c r="J174" s="1242"/>
      <c r="K174" s="2485" t="s">
        <v>2259</v>
      </c>
      <c r="L174" s="2491" t="s">
        <v>292</v>
      </c>
      <c r="M174" s="342">
        <f>P174</f>
        <v>9600</v>
      </c>
      <c r="N174" s="960" t="s">
        <v>2260</v>
      </c>
      <c r="O174" s="2479"/>
      <c r="P174" s="2555">
        <f>INT(Q174*R174*S174)</f>
        <v>9600</v>
      </c>
      <c r="Q174" s="375">
        <v>1.6</v>
      </c>
      <c r="R174" s="374">
        <v>3000</v>
      </c>
      <c r="S174" s="374">
        <v>2</v>
      </c>
      <c r="U174" s="951"/>
      <c r="V174" s="951"/>
      <c r="W174" s="951"/>
    </row>
    <row r="175" spans="1:23" s="300" customFormat="1">
      <c r="A175" s="1340"/>
      <c r="B175" s="911"/>
      <c r="C175" s="1646"/>
      <c r="D175" s="1259"/>
      <c r="E175" s="2556"/>
      <c r="F175" s="1260"/>
      <c r="G175" s="1261"/>
      <c r="H175" s="1247"/>
      <c r="I175" s="1242"/>
      <c r="J175" s="1242"/>
      <c r="K175" s="2485" t="s">
        <v>2261</v>
      </c>
      <c r="L175" s="2491" t="s">
        <v>292</v>
      </c>
      <c r="M175" s="342">
        <f>P175</f>
        <v>960</v>
      </c>
      <c r="N175" s="960" t="s">
        <v>779</v>
      </c>
      <c r="O175" s="2479"/>
      <c r="P175" s="2555">
        <f>INT(Q175*R175*S175)</f>
        <v>960</v>
      </c>
      <c r="Q175" s="375">
        <v>1.6</v>
      </c>
      <c r="R175" s="374">
        <v>50</v>
      </c>
      <c r="S175" s="374">
        <v>12</v>
      </c>
      <c r="U175" s="951"/>
      <c r="V175" s="951"/>
      <c r="W175" s="951"/>
    </row>
    <row r="176" spans="1:23" s="300" customFormat="1" ht="14.25" thickBot="1">
      <c r="A176" s="1340"/>
      <c r="B176" s="911"/>
      <c r="C176" s="1646"/>
      <c r="D176" s="1259"/>
      <c r="E176" s="2556"/>
      <c r="F176" s="1260"/>
      <c r="G176" s="1261"/>
      <c r="H176" s="1247"/>
      <c r="I176" s="1242"/>
      <c r="J176" s="1242"/>
      <c r="K176" s="2485" t="s">
        <v>2262</v>
      </c>
      <c r="L176" s="2491" t="s">
        <v>292</v>
      </c>
      <c r="M176" s="342">
        <f>P176</f>
        <v>960</v>
      </c>
      <c r="N176" s="2557" t="s">
        <v>2263</v>
      </c>
      <c r="O176" s="2479"/>
      <c r="P176" s="2555">
        <f>INT(Q176*R176*S176)</f>
        <v>960</v>
      </c>
      <c r="Q176" s="375">
        <v>1.6</v>
      </c>
      <c r="R176" s="374">
        <v>200</v>
      </c>
      <c r="S176" s="374">
        <v>3</v>
      </c>
      <c r="U176" s="951"/>
      <c r="V176" s="951"/>
      <c r="W176" s="951"/>
    </row>
    <row r="177" spans="1:21" s="2440" customFormat="1" ht="18" customHeight="1">
      <c r="A177" s="2448" t="s">
        <v>205</v>
      </c>
      <c r="B177" s="2449"/>
      <c r="C177" s="2450"/>
      <c r="D177" s="2450"/>
      <c r="E177" s="2450"/>
      <c r="F177" s="2450"/>
      <c r="G177" s="2451"/>
      <c r="H177" s="2558">
        <f>H178</f>
        <v>207600</v>
      </c>
      <c r="I177" s="2558">
        <f>I178</f>
        <v>2106441</v>
      </c>
      <c r="J177" s="2559">
        <f t="shared" ref="J177:J189" si="29">H177-I177</f>
        <v>-1898841</v>
      </c>
      <c r="K177" s="2560"/>
      <c r="L177" s="2561"/>
      <c r="M177" s="2562"/>
      <c r="N177" s="2457"/>
      <c r="O177" s="2458"/>
      <c r="P177" s="2437"/>
      <c r="Q177" s="2436"/>
      <c r="R177" s="2436"/>
      <c r="S177" s="2436"/>
      <c r="T177" s="2438"/>
      <c r="U177" s="2439"/>
    </row>
    <row r="178" spans="1:21" s="2440" customFormat="1" ht="18" customHeight="1">
      <c r="A178" s="2459"/>
      <c r="B178" s="2460" t="s">
        <v>590</v>
      </c>
      <c r="C178" s="2461"/>
      <c r="D178" s="2462"/>
      <c r="E178" s="2462"/>
      <c r="F178" s="2462"/>
      <c r="G178" s="2463"/>
      <c r="H178" s="2452">
        <f>H179</f>
        <v>207600</v>
      </c>
      <c r="I178" s="2452">
        <f>I179</f>
        <v>2106441</v>
      </c>
      <c r="J178" s="2453">
        <f t="shared" si="29"/>
        <v>-1898841</v>
      </c>
      <c r="K178" s="2454"/>
      <c r="L178" s="2455"/>
      <c r="M178" s="2456"/>
      <c r="N178" s="2457"/>
      <c r="O178" s="2458"/>
      <c r="P178" s="2437"/>
      <c r="Q178" s="2436"/>
      <c r="R178" s="2436"/>
      <c r="S178" s="2436"/>
      <c r="T178" s="2438"/>
      <c r="U178" s="2439"/>
    </row>
    <row r="179" spans="1:21" s="2440" customFormat="1" ht="18" customHeight="1">
      <c r="A179" s="2459"/>
      <c r="B179" s="2467"/>
      <c r="C179" s="2460" t="s">
        <v>915</v>
      </c>
      <c r="D179" s="2462"/>
      <c r="E179" s="2462"/>
      <c r="F179" s="2462"/>
      <c r="G179" s="2463"/>
      <c r="H179" s="2452">
        <f>H186+H192+H180</f>
        <v>207600</v>
      </c>
      <c r="I179" s="2452">
        <f>I186+I192+I180</f>
        <v>2106441</v>
      </c>
      <c r="J179" s="2453">
        <f t="shared" si="29"/>
        <v>-1898841</v>
      </c>
      <c r="K179" s="2454"/>
      <c r="L179" s="2455"/>
      <c r="M179" s="2456"/>
      <c r="N179" s="3038"/>
      <c r="O179" s="3039"/>
      <c r="P179" s="3039"/>
      <c r="Q179" s="3039"/>
      <c r="R179" s="3039"/>
      <c r="S179" s="3039"/>
      <c r="T179" s="3039"/>
      <c r="U179" s="3039"/>
    </row>
    <row r="180" spans="1:21" s="2439" customFormat="1" ht="18" customHeight="1">
      <c r="A180" s="2459"/>
      <c r="B180" s="2467"/>
      <c r="C180" s="2465"/>
      <c r="D180" s="2461" t="s">
        <v>2474</v>
      </c>
      <c r="E180" s="2462"/>
      <c r="F180" s="2462"/>
      <c r="G180" s="2463"/>
      <c r="H180" s="2469">
        <f t="shared" ref="H180:I182" si="30">H181</f>
        <v>0</v>
      </c>
      <c r="I180" s="2469">
        <f t="shared" si="30"/>
        <v>2090839</v>
      </c>
      <c r="J180" s="2470">
        <f t="shared" ref="J180:J183" si="31">H180-I180</f>
        <v>-2090839</v>
      </c>
      <c r="K180" s="2471"/>
      <c r="L180" s="2472"/>
      <c r="M180" s="2456"/>
      <c r="N180" s="2457"/>
      <c r="O180" s="2458"/>
      <c r="P180" s="2437"/>
      <c r="Q180" s="2436"/>
      <c r="R180" s="2436"/>
      <c r="S180" s="2436"/>
      <c r="T180" s="2438"/>
    </row>
    <row r="181" spans="1:21" s="2440" customFormat="1" ht="18" customHeight="1">
      <c r="A181" s="2459"/>
      <c r="B181" s="2467"/>
      <c r="C181" s="2563"/>
      <c r="D181" s="2564"/>
      <c r="E181" s="2461" t="s">
        <v>795</v>
      </c>
      <c r="F181" s="2462"/>
      <c r="G181" s="2463"/>
      <c r="H181" s="2565">
        <f t="shared" si="30"/>
        <v>0</v>
      </c>
      <c r="I181" s="2565">
        <f t="shared" si="30"/>
        <v>2090839</v>
      </c>
      <c r="J181" s="2566">
        <f t="shared" si="31"/>
        <v>-2090839</v>
      </c>
      <c r="K181" s="2567"/>
      <c r="L181" s="2568"/>
      <c r="M181" s="2569">
        <f>M182+M322+M328+M331+M386</f>
        <v>0</v>
      </c>
      <c r="N181" s="2457"/>
      <c r="O181" s="2458"/>
      <c r="P181" s="2437"/>
      <c r="Q181" s="2436"/>
      <c r="R181" s="2436"/>
      <c r="S181" s="2436"/>
      <c r="T181" s="2570"/>
      <c r="U181" s="2439"/>
    </row>
    <row r="182" spans="1:21" s="481" customFormat="1" ht="18" customHeight="1">
      <c r="A182" s="2571"/>
      <c r="B182" s="2572"/>
      <c r="C182" s="2572"/>
      <c r="D182" s="2572"/>
      <c r="E182" s="2573"/>
      <c r="F182" s="2574" t="s">
        <v>899</v>
      </c>
      <c r="G182" s="2574"/>
      <c r="H182" s="1145">
        <f t="shared" si="30"/>
        <v>0</v>
      </c>
      <c r="I182" s="1145">
        <f t="shared" si="30"/>
        <v>2090839</v>
      </c>
      <c r="J182" s="520">
        <f t="shared" si="31"/>
        <v>-2090839</v>
      </c>
      <c r="K182" s="512"/>
      <c r="L182" s="513"/>
      <c r="M182" s="2575"/>
      <c r="N182" s="541"/>
      <c r="O182" s="2576"/>
      <c r="P182" s="2577"/>
      <c r="Q182" s="511"/>
      <c r="R182" s="2578"/>
      <c r="S182" s="2578"/>
      <c r="T182" s="2579"/>
    </row>
    <row r="183" spans="1:21" s="481" customFormat="1" ht="18" customHeight="1">
      <c r="A183" s="2571"/>
      <c r="B183" s="2572"/>
      <c r="C183" s="2572"/>
      <c r="D183" s="2572"/>
      <c r="E183" s="2572"/>
      <c r="F183" s="2580"/>
      <c r="G183" s="2722" t="s">
        <v>900</v>
      </c>
      <c r="H183" s="2723">
        <v>0</v>
      </c>
      <c r="I183" s="2723">
        <v>2090839</v>
      </c>
      <c r="J183" s="2724">
        <f t="shared" si="31"/>
        <v>-2090839</v>
      </c>
      <c r="K183" s="2725"/>
      <c r="L183" s="2726"/>
      <c r="M183" s="2727">
        <f>M184</f>
        <v>150000</v>
      </c>
      <c r="N183" s="2728"/>
      <c r="O183" s="2729"/>
      <c r="P183" s="2730"/>
      <c r="Q183" s="2731"/>
      <c r="R183" s="2732"/>
      <c r="S183" s="2578"/>
      <c r="T183" s="2579"/>
    </row>
    <row r="184" spans="1:21" s="481" customFormat="1" ht="18" customHeight="1">
      <c r="A184" s="2571"/>
      <c r="B184" s="2572"/>
      <c r="C184" s="2572"/>
      <c r="D184" s="2572"/>
      <c r="E184" s="2572"/>
      <c r="F184" s="2580"/>
      <c r="G184" s="2733"/>
      <c r="H184" s="2734"/>
      <c r="I184" s="2734"/>
      <c r="J184" s="2735"/>
      <c r="K184" s="2483" t="s">
        <v>2362</v>
      </c>
      <c r="L184" s="2736"/>
      <c r="M184" s="666">
        <f>M185</f>
        <v>150000</v>
      </c>
      <c r="N184" s="2737" t="s">
        <v>2264</v>
      </c>
      <c r="O184" s="2529">
        <f>SUM(O185:O185)</f>
        <v>150000</v>
      </c>
      <c r="P184" s="2738"/>
      <c r="Q184" s="2739"/>
      <c r="R184" s="2740"/>
      <c r="S184" s="2578"/>
      <c r="T184" s="2579"/>
    </row>
    <row r="185" spans="1:21" s="481" customFormat="1" ht="18" customHeight="1">
      <c r="A185" s="2571"/>
      <c r="B185" s="2572"/>
      <c r="C185" s="2572"/>
      <c r="D185" s="2572"/>
      <c r="E185" s="2572"/>
      <c r="F185" s="2580"/>
      <c r="G185" s="2733"/>
      <c r="H185" s="2734"/>
      <c r="I185" s="2734"/>
      <c r="J185" s="2735"/>
      <c r="K185" s="2741" t="s">
        <v>2363</v>
      </c>
      <c r="L185" s="2736" t="s">
        <v>352</v>
      </c>
      <c r="M185" s="666">
        <f>O185</f>
        <v>150000</v>
      </c>
      <c r="N185" s="2728" t="s">
        <v>2364</v>
      </c>
      <c r="O185" s="2529">
        <f>P185</f>
        <v>150000</v>
      </c>
      <c r="P185" s="2738">
        <f>Q185*R185</f>
        <v>150000</v>
      </c>
      <c r="Q185" s="2739">
        <v>150000</v>
      </c>
      <c r="R185" s="2740">
        <v>1</v>
      </c>
      <c r="S185" s="2578"/>
      <c r="T185" s="2579"/>
    </row>
    <row r="186" spans="1:21" s="2439" customFormat="1" ht="18" customHeight="1">
      <c r="A186" s="2459"/>
      <c r="B186" s="2467"/>
      <c r="C186" s="2467"/>
      <c r="D186" s="2461" t="s">
        <v>2471</v>
      </c>
      <c r="E186" s="2462"/>
      <c r="F186" s="2462"/>
      <c r="G186" s="2463"/>
      <c r="H186" s="2469">
        <f t="shared" ref="H186:I188" si="32">H187</f>
        <v>150000</v>
      </c>
      <c r="I186" s="2469">
        <f t="shared" si="32"/>
        <v>0</v>
      </c>
      <c r="J186" s="2470">
        <f t="shared" si="29"/>
        <v>150000</v>
      </c>
      <c r="K186" s="2581"/>
      <c r="L186" s="2582"/>
      <c r="M186" s="2583"/>
      <c r="N186" s="2457"/>
      <c r="O186" s="2458"/>
      <c r="P186" s="2437"/>
      <c r="Q186" s="2436"/>
      <c r="R186" s="2436"/>
      <c r="S186" s="2436"/>
      <c r="T186" s="2438"/>
    </row>
    <row r="187" spans="1:21" s="2440" customFormat="1" ht="18" customHeight="1">
      <c r="A187" s="2459"/>
      <c r="B187" s="2467"/>
      <c r="C187" s="2563"/>
      <c r="D187" s="2564"/>
      <c r="E187" s="2461" t="s">
        <v>795</v>
      </c>
      <c r="F187" s="2462"/>
      <c r="G187" s="2463"/>
      <c r="H187" s="2565">
        <f t="shared" si="32"/>
        <v>150000</v>
      </c>
      <c r="I187" s="2565">
        <f t="shared" si="32"/>
        <v>0</v>
      </c>
      <c r="J187" s="2566">
        <f t="shared" si="29"/>
        <v>150000</v>
      </c>
      <c r="K187" s="2567"/>
      <c r="L187" s="2568"/>
      <c r="M187" s="2569">
        <f>M188+M328+M334+M337+M392</f>
        <v>0</v>
      </c>
      <c r="N187" s="2457"/>
      <c r="O187" s="2458"/>
      <c r="P187" s="2437"/>
      <c r="Q187" s="2436"/>
      <c r="R187" s="2436"/>
      <c r="S187" s="2436"/>
      <c r="T187" s="2570"/>
      <c r="U187" s="2439"/>
    </row>
    <row r="188" spans="1:21" s="481" customFormat="1" ht="18" customHeight="1">
      <c r="A188" s="2571"/>
      <c r="B188" s="2572"/>
      <c r="C188" s="2572"/>
      <c r="D188" s="2572"/>
      <c r="E188" s="2573"/>
      <c r="F188" s="2574" t="s">
        <v>899</v>
      </c>
      <c r="G188" s="2574"/>
      <c r="H188" s="1145">
        <f t="shared" si="32"/>
        <v>150000</v>
      </c>
      <c r="I188" s="1145">
        <f t="shared" si="32"/>
        <v>0</v>
      </c>
      <c r="J188" s="520">
        <f t="shared" si="29"/>
        <v>150000</v>
      </c>
      <c r="K188" s="512"/>
      <c r="L188" s="513"/>
      <c r="M188" s="2575"/>
      <c r="N188" s="541"/>
      <c r="O188" s="2576"/>
      <c r="P188" s="2577"/>
      <c r="Q188" s="511"/>
      <c r="R188" s="2578"/>
      <c r="S188" s="2578"/>
      <c r="T188" s="2579"/>
    </row>
    <row r="189" spans="1:21" s="481" customFormat="1" ht="18" customHeight="1">
      <c r="A189" s="2571"/>
      <c r="B189" s="2572"/>
      <c r="C189" s="2572"/>
      <c r="D189" s="2572"/>
      <c r="E189" s="2572"/>
      <c r="F189" s="2580"/>
      <c r="G189" s="2722" t="s">
        <v>900</v>
      </c>
      <c r="H189" s="2723">
        <f>M189</f>
        <v>150000</v>
      </c>
      <c r="I189" s="2723">
        <v>0</v>
      </c>
      <c r="J189" s="2724">
        <f t="shared" si="29"/>
        <v>150000</v>
      </c>
      <c r="K189" s="2725"/>
      <c r="L189" s="2726"/>
      <c r="M189" s="2727">
        <f>M190</f>
        <v>150000</v>
      </c>
      <c r="N189" s="2728"/>
      <c r="O189" s="2729"/>
      <c r="P189" s="2730"/>
      <c r="Q189" s="2731"/>
      <c r="R189" s="2732"/>
      <c r="S189" s="2578"/>
      <c r="T189" s="2579"/>
    </row>
    <row r="190" spans="1:21" s="481" customFormat="1" ht="18" customHeight="1">
      <c r="A190" s="2571"/>
      <c r="B190" s="2572"/>
      <c r="C190" s="2572"/>
      <c r="D190" s="2572"/>
      <c r="E190" s="2572"/>
      <c r="F190" s="2580"/>
      <c r="G190" s="2733"/>
      <c r="H190" s="2734"/>
      <c r="I190" s="2734"/>
      <c r="J190" s="2735"/>
      <c r="K190" s="2483" t="s">
        <v>2362</v>
      </c>
      <c r="L190" s="2736"/>
      <c r="M190" s="666">
        <f>M191</f>
        <v>150000</v>
      </c>
      <c r="N190" s="2737" t="s">
        <v>2264</v>
      </c>
      <c r="O190" s="2529">
        <f>SUM(O191:O191)</f>
        <v>150000</v>
      </c>
      <c r="P190" s="2738"/>
      <c r="Q190" s="2739"/>
      <c r="R190" s="2740"/>
      <c r="S190" s="2578"/>
      <c r="T190" s="2579"/>
    </row>
    <row r="191" spans="1:21" s="481" customFormat="1" ht="18" customHeight="1">
      <c r="A191" s="2571"/>
      <c r="B191" s="2572"/>
      <c r="C191" s="2572"/>
      <c r="D191" s="2572"/>
      <c r="E191" s="2572"/>
      <c r="F191" s="2580"/>
      <c r="G191" s="2733"/>
      <c r="H191" s="2734"/>
      <c r="I191" s="2734"/>
      <c r="J191" s="2735"/>
      <c r="K191" s="2741" t="s">
        <v>2363</v>
      </c>
      <c r="L191" s="2736" t="s">
        <v>352</v>
      </c>
      <c r="M191" s="666">
        <f>O191</f>
        <v>150000</v>
      </c>
      <c r="N191" s="2728" t="s">
        <v>2364</v>
      </c>
      <c r="O191" s="2529">
        <f>P191</f>
        <v>150000</v>
      </c>
      <c r="P191" s="2738">
        <f>Q191*R191</f>
        <v>150000</v>
      </c>
      <c r="Q191" s="2739">
        <v>150000</v>
      </c>
      <c r="R191" s="2740">
        <v>1</v>
      </c>
      <c r="S191" s="2578"/>
      <c r="T191" s="2579"/>
    </row>
    <row r="192" spans="1:21" s="2439" customFormat="1" ht="18" customHeight="1">
      <c r="A192" s="2459"/>
      <c r="B192" s="2467"/>
      <c r="C192" s="2467"/>
      <c r="D192" s="2461" t="s">
        <v>1021</v>
      </c>
      <c r="E192" s="2462"/>
      <c r="F192" s="2462"/>
      <c r="G192" s="2463"/>
      <c r="H192" s="2565">
        <f t="shared" ref="H192:I194" si="33">H193</f>
        <v>57600</v>
      </c>
      <c r="I192" s="2565">
        <f t="shared" si="33"/>
        <v>15602</v>
      </c>
      <c r="J192" s="2566">
        <f>H192-I192</f>
        <v>41998</v>
      </c>
      <c r="K192" s="2581"/>
      <c r="L192" s="2582"/>
      <c r="M192" s="2583"/>
      <c r="N192" s="2457"/>
      <c r="O192" s="2458"/>
      <c r="P192" s="2437"/>
      <c r="Q192" s="2436"/>
      <c r="R192" s="2436"/>
      <c r="S192" s="2436"/>
      <c r="T192" s="2438"/>
    </row>
    <row r="193" spans="1:21" s="2440" customFormat="1" ht="18" customHeight="1">
      <c r="A193" s="2459"/>
      <c r="B193" s="2467"/>
      <c r="C193" s="2563"/>
      <c r="D193" s="2564"/>
      <c r="E193" s="2461" t="s">
        <v>795</v>
      </c>
      <c r="F193" s="2462"/>
      <c r="G193" s="2463"/>
      <c r="H193" s="2565">
        <f t="shared" si="33"/>
        <v>57600</v>
      </c>
      <c r="I193" s="2565">
        <f t="shared" si="33"/>
        <v>15602</v>
      </c>
      <c r="J193" s="2566">
        <f>H193-I193</f>
        <v>41998</v>
      </c>
      <c r="K193" s="2567"/>
      <c r="L193" s="2568"/>
      <c r="M193" s="2569">
        <f>M194+M336+M342+M345+M400</f>
        <v>0</v>
      </c>
      <c r="N193" s="2457"/>
      <c r="O193" s="2458"/>
      <c r="P193" s="2437"/>
      <c r="Q193" s="2436"/>
      <c r="R193" s="2436"/>
      <c r="S193" s="2436"/>
      <c r="T193" s="2570"/>
      <c r="U193" s="2439"/>
    </row>
    <row r="194" spans="1:21" s="481" customFormat="1" ht="18" customHeight="1">
      <c r="A194" s="2571"/>
      <c r="B194" s="2572"/>
      <c r="C194" s="2572"/>
      <c r="D194" s="2572"/>
      <c r="E194" s="2573"/>
      <c r="F194" s="2574" t="s">
        <v>893</v>
      </c>
      <c r="G194" s="2574"/>
      <c r="H194" s="1145">
        <f t="shared" si="33"/>
        <v>57600</v>
      </c>
      <c r="I194" s="1145">
        <f t="shared" si="33"/>
        <v>15602</v>
      </c>
      <c r="J194" s="520">
        <f>H194-I194</f>
        <v>41998</v>
      </c>
      <c r="K194" s="512"/>
      <c r="L194" s="513"/>
      <c r="M194" s="2575"/>
      <c r="N194" s="541"/>
      <c r="O194" s="2576"/>
      <c r="P194" s="2577"/>
      <c r="Q194" s="511"/>
      <c r="R194" s="2578"/>
      <c r="S194" s="2578"/>
      <c r="T194" s="2579"/>
    </row>
    <row r="195" spans="1:21" s="481" customFormat="1" ht="18" customHeight="1">
      <c r="A195" s="2571"/>
      <c r="B195" s="2572"/>
      <c r="C195" s="2572"/>
      <c r="D195" s="2572"/>
      <c r="E195" s="2572"/>
      <c r="F195" s="2580"/>
      <c r="G195" s="2584" t="s">
        <v>894</v>
      </c>
      <c r="H195" s="1146">
        <f>M195</f>
        <v>57600</v>
      </c>
      <c r="I195" s="1146">
        <v>15602</v>
      </c>
      <c r="J195" s="520">
        <f>H195-I195</f>
        <v>41998</v>
      </c>
      <c r="M195" s="2585">
        <f>M196+M197</f>
        <v>57600</v>
      </c>
      <c r="N195" s="2586"/>
      <c r="O195" s="2576">
        <f>SUM(O196:O199)</f>
        <v>57600</v>
      </c>
      <c r="P195" s="2577"/>
      <c r="Q195" s="510"/>
      <c r="R195" s="2578"/>
      <c r="S195" s="2578"/>
      <c r="T195" s="2579"/>
    </row>
    <row r="196" spans="1:21" s="481" customFormat="1" ht="18" customHeight="1">
      <c r="A196" s="2571"/>
      <c r="B196" s="2572"/>
      <c r="C196" s="2572"/>
      <c r="D196" s="2572"/>
      <c r="E196" s="2572"/>
      <c r="F196" s="2580"/>
      <c r="G196" s="2587"/>
      <c r="H196" s="1147"/>
      <c r="I196" s="1147"/>
      <c r="J196" s="515"/>
      <c r="K196" s="2588" t="s">
        <v>2265</v>
      </c>
      <c r="L196" s="2589" t="s">
        <v>292</v>
      </c>
      <c r="M196" s="666">
        <f t="shared" ref="M196" si="34">O196</f>
        <v>55000</v>
      </c>
      <c r="N196" s="2590" t="s">
        <v>2266</v>
      </c>
      <c r="O196" s="2588">
        <f t="shared" ref="O196" si="35">P196</f>
        <v>55000</v>
      </c>
      <c r="P196" s="2591">
        <f t="shared" ref="P196" si="36">Q196*R196</f>
        <v>55000</v>
      </c>
      <c r="Q196" s="2588">
        <v>55000</v>
      </c>
      <c r="R196" s="2588">
        <v>1</v>
      </c>
      <c r="S196" s="2578"/>
      <c r="T196" s="2579"/>
    </row>
    <row r="197" spans="1:21" s="481" customFormat="1" ht="18" customHeight="1">
      <c r="A197" s="2571"/>
      <c r="B197" s="2572"/>
      <c r="C197" s="2572"/>
      <c r="D197" s="2572"/>
      <c r="E197" s="2572"/>
      <c r="F197" s="2580"/>
      <c r="G197" s="2587"/>
      <c r="H197" s="1147"/>
      <c r="I197" s="1147"/>
      <c r="J197" s="515"/>
      <c r="K197" s="964" t="s">
        <v>2267</v>
      </c>
      <c r="L197" s="977"/>
      <c r="M197" s="320">
        <f>SUM(M198:M199)</f>
        <v>2600</v>
      </c>
      <c r="N197" s="2592"/>
      <c r="O197" s="2576"/>
      <c r="P197" s="2577"/>
      <c r="Q197" s="510"/>
      <c r="R197" s="2578"/>
      <c r="S197" s="2578"/>
      <c r="T197" s="2579"/>
    </row>
    <row r="198" spans="1:21" s="481" customFormat="1" ht="18" customHeight="1">
      <c r="A198" s="2571"/>
      <c r="B198" s="2572"/>
      <c r="C198" s="2572"/>
      <c r="D198" s="2572"/>
      <c r="E198" s="2572"/>
      <c r="F198" s="2580"/>
      <c r="G198" s="2587"/>
      <c r="H198" s="1147"/>
      <c r="I198" s="1147"/>
      <c r="J198" s="515"/>
      <c r="K198" s="964" t="s">
        <v>2469</v>
      </c>
      <c r="L198" s="977" t="s">
        <v>6</v>
      </c>
      <c r="M198" s="320">
        <f>O198</f>
        <v>2400</v>
      </c>
      <c r="N198" s="2593" t="s">
        <v>2268</v>
      </c>
      <c r="O198" s="948">
        <f>P198</f>
        <v>2400</v>
      </c>
      <c r="P198" s="1647">
        <f>Q198*R198</f>
        <v>2400</v>
      </c>
      <c r="Q198" s="1648">
        <v>300</v>
      </c>
      <c r="R198" s="1649">
        <v>8</v>
      </c>
      <c r="S198" s="1649"/>
      <c r="T198" s="2579"/>
    </row>
    <row r="199" spans="1:21" s="481" customFormat="1" ht="18" customHeight="1" thickBot="1">
      <c r="A199" s="2594"/>
      <c r="B199" s="2595"/>
      <c r="C199" s="2595"/>
      <c r="D199" s="2595"/>
      <c r="E199" s="2595"/>
      <c r="F199" s="2596"/>
      <c r="G199" s="2597"/>
      <c r="H199" s="1225"/>
      <c r="I199" s="1225"/>
      <c r="J199" s="1226"/>
      <c r="K199" s="1263" t="s">
        <v>2470</v>
      </c>
      <c r="L199" s="1264" t="s">
        <v>6</v>
      </c>
      <c r="M199" s="2742">
        <f>O199</f>
        <v>200</v>
      </c>
      <c r="N199" s="2593" t="s">
        <v>2269</v>
      </c>
      <c r="O199" s="948">
        <f>P199</f>
        <v>200</v>
      </c>
      <c r="P199" s="1647">
        <f>Q199*R199</f>
        <v>200</v>
      </c>
      <c r="Q199" s="1648">
        <v>20</v>
      </c>
      <c r="R199" s="1649">
        <v>10</v>
      </c>
      <c r="S199" s="2578"/>
      <c r="T199" s="2579"/>
    </row>
  </sheetData>
  <sheetProtection selectLockedCells="1" selectUnlockedCells="1"/>
  <protectedRanges>
    <protectedRange password="ECE8" sqref="O2:AF4" name="작성자만수정_1_1"/>
    <protectedRange password="ECE8" sqref="O5:AF8 O118:AF118" name="작성자만수정_2_2"/>
    <protectedRange password="ECE8" sqref="O192:AF194 O186:AF188 O177:AF182" name="작성자만수정_2_1_1"/>
    <protectedRange password="ECE8" sqref="O189:AF191 O183:AF185" name="작성자만수정_2_1_1_1"/>
    <protectedRange password="ECE8" sqref="O195:AF199" name="작성자만수정_2_1_1_2"/>
  </protectedRanges>
  <mergeCells count="10">
    <mergeCell ref="K2:M3"/>
    <mergeCell ref="A4:G4"/>
    <mergeCell ref="N7:U7"/>
    <mergeCell ref="N179:U179"/>
    <mergeCell ref="A2:A3"/>
    <mergeCell ref="B2:D2"/>
    <mergeCell ref="E2:G2"/>
    <mergeCell ref="H2:H3"/>
    <mergeCell ref="I2:I3"/>
    <mergeCell ref="J2:J3"/>
  </mergeCells>
  <phoneticPr fontId="15" type="noConversion"/>
  <conditionalFormatting sqref="J2:J3">
    <cfRule type="containsText" dxfId="41" priority="37" operator="containsText" text="허하나로">
      <formula>NOT(ISERROR(SEARCH("허하나로",H792)))</formula>
    </cfRule>
    <cfRule type="containsText" dxfId="40" priority="38" operator="containsText" text="한별">
      <formula>NOT(ISERROR(SEARCH("한별",H792)))</formula>
    </cfRule>
    <cfRule type="containsText" dxfId="39" priority="39" operator="containsText" text="정홍조">
      <formula>NOT(ISERROR(SEARCH("정홍조",H792)))</formula>
    </cfRule>
    <cfRule type="containsText" dxfId="38" priority="40" operator="containsText" text="김지윤">
      <formula>NOT(ISERROR(SEARCH("김지윤",H792)))</formula>
    </cfRule>
    <cfRule type="containsText" dxfId="37" priority="41" operator="containsText" text="전준영">
      <formula>NOT(ISERROR(SEARCH("전준영",H792)))</formula>
    </cfRule>
    <cfRule type="containsText" dxfId="36" priority="42" operator="containsText" text="차재성">
      <formula>NOT(ISERROR(SEARCH("차재성",H792)))</formula>
    </cfRule>
  </conditionalFormatting>
  <conditionalFormatting sqref="J5:J6">
    <cfRule type="containsText" dxfId="35" priority="31" operator="containsText" text="허하나로">
      <formula>NOT(ISERROR(SEARCH("허하나로",H793)))</formula>
    </cfRule>
    <cfRule type="containsText" dxfId="34" priority="32" operator="containsText" text="한별">
      <formula>NOT(ISERROR(SEARCH("한별",H793)))</formula>
    </cfRule>
    <cfRule type="containsText" dxfId="33" priority="33" operator="containsText" text="정홍조">
      <formula>NOT(ISERROR(SEARCH("정홍조",H793)))</formula>
    </cfRule>
    <cfRule type="containsText" dxfId="32" priority="34" operator="containsText" text="김지윤">
      <formula>NOT(ISERROR(SEARCH("김지윤",H793)))</formula>
    </cfRule>
    <cfRule type="containsText" dxfId="31" priority="35" operator="containsText" text="전준영">
      <formula>NOT(ISERROR(SEARCH("전준영",H793)))</formula>
    </cfRule>
    <cfRule type="containsText" dxfId="30" priority="36" operator="containsText" text="차재성">
      <formula>NOT(ISERROR(SEARCH("차재성",H793)))</formula>
    </cfRule>
  </conditionalFormatting>
  <conditionalFormatting sqref="J7">
    <cfRule type="containsText" dxfId="29" priority="25" operator="containsText" text="허하나로">
      <formula>NOT(ISERROR(SEARCH("허하나로",H794)))</formula>
    </cfRule>
    <cfRule type="containsText" dxfId="28" priority="26" operator="containsText" text="한별">
      <formula>NOT(ISERROR(SEARCH("한별",H794)))</formula>
    </cfRule>
    <cfRule type="containsText" dxfId="27" priority="27" operator="containsText" text="정홍조">
      <formula>NOT(ISERROR(SEARCH("정홍조",H794)))</formula>
    </cfRule>
    <cfRule type="containsText" dxfId="26" priority="28" operator="containsText" text="김지윤">
      <formula>NOT(ISERROR(SEARCH("김지윤",H794)))</formula>
    </cfRule>
    <cfRule type="containsText" dxfId="25" priority="29" operator="containsText" text="전준영">
      <formula>NOT(ISERROR(SEARCH("전준영",H794)))</formula>
    </cfRule>
    <cfRule type="containsText" dxfId="24" priority="30" operator="containsText" text="차재성">
      <formula>NOT(ISERROR(SEARCH("차재성",H794)))</formula>
    </cfRule>
  </conditionalFormatting>
  <conditionalFormatting sqref="J177:J179">
    <cfRule type="containsText" dxfId="23" priority="7" operator="containsText" text="허하나로">
      <formula>NOT(ISERROR(SEARCH("허하나로",H968)))</formula>
    </cfRule>
    <cfRule type="containsText" dxfId="22" priority="8" operator="containsText" text="한별">
      <formula>NOT(ISERROR(SEARCH("한별",H968)))</formula>
    </cfRule>
    <cfRule type="containsText" dxfId="21" priority="9" operator="containsText" text="정홍조">
      <formula>NOT(ISERROR(SEARCH("정홍조",H968)))</formula>
    </cfRule>
    <cfRule type="containsText" dxfId="20" priority="10" operator="containsText" text="김지윤">
      <formula>NOT(ISERROR(SEARCH("김지윤",H968)))</formula>
    </cfRule>
    <cfRule type="containsText" dxfId="19" priority="11" operator="containsText" text="전준영">
      <formula>NOT(ISERROR(SEARCH("전준영",H968)))</formula>
    </cfRule>
    <cfRule type="containsText" dxfId="18" priority="12" operator="containsText" text="차재성">
      <formula>NOT(ISERROR(SEARCH("차재성",H968)))</formula>
    </cfRule>
  </conditionalFormatting>
  <conditionalFormatting sqref="J187">
    <cfRule type="containsText" dxfId="17" priority="19" operator="containsText" text="허하나로">
      <formula>NOT(ISERROR(SEARCH("허하나로",H1163)))</formula>
    </cfRule>
    <cfRule type="containsText" dxfId="16" priority="20" operator="containsText" text="한별">
      <formula>NOT(ISERROR(SEARCH("한별",H1163)))</formula>
    </cfRule>
    <cfRule type="containsText" dxfId="15" priority="21" operator="containsText" text="정홍조">
      <formula>NOT(ISERROR(SEARCH("정홍조",H1163)))</formula>
    </cfRule>
    <cfRule type="containsText" dxfId="14" priority="22" operator="containsText" text="김지윤">
      <formula>NOT(ISERROR(SEARCH("김지윤",H1163)))</formula>
    </cfRule>
    <cfRule type="containsText" dxfId="13" priority="23" operator="containsText" text="전준영">
      <formula>NOT(ISERROR(SEARCH("전준영",H1163)))</formula>
    </cfRule>
    <cfRule type="containsText" dxfId="12" priority="24" operator="containsText" text="차재성">
      <formula>NOT(ISERROR(SEARCH("차재성",H1163)))</formula>
    </cfRule>
  </conditionalFormatting>
  <conditionalFormatting sqref="J192:J193">
    <cfRule type="containsText" dxfId="11" priority="13" operator="containsText" text="허하나로">
      <formula>NOT(ISERROR(SEARCH("허하나로",H1170)))</formula>
    </cfRule>
    <cfRule type="containsText" dxfId="10" priority="14" operator="containsText" text="한별">
      <formula>NOT(ISERROR(SEARCH("한별",H1170)))</formula>
    </cfRule>
    <cfRule type="containsText" dxfId="9" priority="15" operator="containsText" text="정홍조">
      <formula>NOT(ISERROR(SEARCH("정홍조",H1170)))</formula>
    </cfRule>
    <cfRule type="containsText" dxfId="8" priority="16" operator="containsText" text="김지윤">
      <formula>NOT(ISERROR(SEARCH("김지윤",H1170)))</formula>
    </cfRule>
    <cfRule type="containsText" dxfId="7" priority="17" operator="containsText" text="전준영">
      <formula>NOT(ISERROR(SEARCH("전준영",H1170)))</formula>
    </cfRule>
    <cfRule type="containsText" dxfId="6" priority="18" operator="containsText" text="차재성">
      <formula>NOT(ISERROR(SEARCH("차재성",H1170)))</formula>
    </cfRule>
  </conditionalFormatting>
  <conditionalFormatting sqref="J181">
    <cfRule type="containsText" dxfId="5" priority="1" operator="containsText" text="허하나로">
      <formula>NOT(ISERROR(SEARCH("허하나로",H1157)))</formula>
    </cfRule>
    <cfRule type="containsText" dxfId="4" priority="2" operator="containsText" text="한별">
      <formula>NOT(ISERROR(SEARCH("한별",H1157)))</formula>
    </cfRule>
    <cfRule type="containsText" dxfId="3" priority="3" operator="containsText" text="정홍조">
      <formula>NOT(ISERROR(SEARCH("정홍조",H1157)))</formula>
    </cfRule>
    <cfRule type="containsText" dxfId="2" priority="4" operator="containsText" text="김지윤">
      <formula>NOT(ISERROR(SEARCH("김지윤",H1157)))</formula>
    </cfRule>
    <cfRule type="containsText" dxfId="1" priority="5" operator="containsText" text="전준영">
      <formula>NOT(ISERROR(SEARCH("전준영",H1157)))</formula>
    </cfRule>
    <cfRule type="containsText" dxfId="0" priority="6" operator="containsText" text="차재성">
      <formula>NOT(ISERROR(SEARCH("차재성",H1157)))</formula>
    </cfRule>
  </conditionalFormatting>
  <pageMargins left="0.94488188976377963" right="0.78740157480314965" top="0.6692913385826772" bottom="0.98425196850393704" header="0.51181102362204722" footer="0.51181102362204722"/>
  <pageSetup paperSize="8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6" tint="-0.249977111117893"/>
  </sheetPr>
  <dimension ref="A1:N58"/>
  <sheetViews>
    <sheetView zoomScaleNormal="100" workbookViewId="0">
      <selection activeCell="J20" sqref="J20"/>
    </sheetView>
  </sheetViews>
  <sheetFormatPr defaultRowHeight="13.5"/>
  <cols>
    <col min="1" max="1" width="20.25" style="316" customWidth="1"/>
    <col min="2" max="2" width="8.25" style="316" customWidth="1"/>
    <col min="3" max="256" width="9" style="316"/>
    <col min="257" max="257" width="20.25" style="316" customWidth="1"/>
    <col min="258" max="258" width="8.25" style="316" customWidth="1"/>
    <col min="259" max="512" width="9" style="316"/>
    <col min="513" max="513" width="20.25" style="316" customWidth="1"/>
    <col min="514" max="514" width="8.25" style="316" customWidth="1"/>
    <col min="515" max="768" width="9" style="316"/>
    <col min="769" max="769" width="20.25" style="316" customWidth="1"/>
    <col min="770" max="770" width="8.25" style="316" customWidth="1"/>
    <col min="771" max="1024" width="9" style="316"/>
    <col min="1025" max="1025" width="20.25" style="316" customWidth="1"/>
    <col min="1026" max="1026" width="8.25" style="316" customWidth="1"/>
    <col min="1027" max="1280" width="9" style="316"/>
    <col min="1281" max="1281" width="20.25" style="316" customWidth="1"/>
    <col min="1282" max="1282" width="8.25" style="316" customWidth="1"/>
    <col min="1283" max="1536" width="9" style="316"/>
    <col min="1537" max="1537" width="20.25" style="316" customWidth="1"/>
    <col min="1538" max="1538" width="8.25" style="316" customWidth="1"/>
    <col min="1539" max="1792" width="9" style="316"/>
    <col min="1793" max="1793" width="20.25" style="316" customWidth="1"/>
    <col min="1794" max="1794" width="8.25" style="316" customWidth="1"/>
    <col min="1795" max="2048" width="9" style="316"/>
    <col min="2049" max="2049" width="20.25" style="316" customWidth="1"/>
    <col min="2050" max="2050" width="8.25" style="316" customWidth="1"/>
    <col min="2051" max="2304" width="9" style="316"/>
    <col min="2305" max="2305" width="20.25" style="316" customWidth="1"/>
    <col min="2306" max="2306" width="8.25" style="316" customWidth="1"/>
    <col min="2307" max="2560" width="9" style="316"/>
    <col min="2561" max="2561" width="20.25" style="316" customWidth="1"/>
    <col min="2562" max="2562" width="8.25" style="316" customWidth="1"/>
    <col min="2563" max="2816" width="9" style="316"/>
    <col min="2817" max="2817" width="20.25" style="316" customWidth="1"/>
    <col min="2818" max="2818" width="8.25" style="316" customWidth="1"/>
    <col min="2819" max="3072" width="9" style="316"/>
    <col min="3073" max="3073" width="20.25" style="316" customWidth="1"/>
    <col min="3074" max="3074" width="8.25" style="316" customWidth="1"/>
    <col min="3075" max="3328" width="9" style="316"/>
    <col min="3329" max="3329" width="20.25" style="316" customWidth="1"/>
    <col min="3330" max="3330" width="8.25" style="316" customWidth="1"/>
    <col min="3331" max="3584" width="9" style="316"/>
    <col min="3585" max="3585" width="20.25" style="316" customWidth="1"/>
    <col min="3586" max="3586" width="8.25" style="316" customWidth="1"/>
    <col min="3587" max="3840" width="9" style="316"/>
    <col min="3841" max="3841" width="20.25" style="316" customWidth="1"/>
    <col min="3842" max="3842" width="8.25" style="316" customWidth="1"/>
    <col min="3843" max="4096" width="9" style="316"/>
    <col min="4097" max="4097" width="20.25" style="316" customWidth="1"/>
    <col min="4098" max="4098" width="8.25" style="316" customWidth="1"/>
    <col min="4099" max="4352" width="9" style="316"/>
    <col min="4353" max="4353" width="20.25" style="316" customWidth="1"/>
    <col min="4354" max="4354" width="8.25" style="316" customWidth="1"/>
    <col min="4355" max="4608" width="9" style="316"/>
    <col min="4609" max="4609" width="20.25" style="316" customWidth="1"/>
    <col min="4610" max="4610" width="8.25" style="316" customWidth="1"/>
    <col min="4611" max="4864" width="9" style="316"/>
    <col min="4865" max="4865" width="20.25" style="316" customWidth="1"/>
    <col min="4866" max="4866" width="8.25" style="316" customWidth="1"/>
    <col min="4867" max="5120" width="9" style="316"/>
    <col min="5121" max="5121" width="20.25" style="316" customWidth="1"/>
    <col min="5122" max="5122" width="8.25" style="316" customWidth="1"/>
    <col min="5123" max="5376" width="9" style="316"/>
    <col min="5377" max="5377" width="20.25" style="316" customWidth="1"/>
    <col min="5378" max="5378" width="8.25" style="316" customWidth="1"/>
    <col min="5379" max="5632" width="9" style="316"/>
    <col min="5633" max="5633" width="20.25" style="316" customWidth="1"/>
    <col min="5634" max="5634" width="8.25" style="316" customWidth="1"/>
    <col min="5635" max="5888" width="9" style="316"/>
    <col min="5889" max="5889" width="20.25" style="316" customWidth="1"/>
    <col min="5890" max="5890" width="8.25" style="316" customWidth="1"/>
    <col min="5891" max="6144" width="9" style="316"/>
    <col min="6145" max="6145" width="20.25" style="316" customWidth="1"/>
    <col min="6146" max="6146" width="8.25" style="316" customWidth="1"/>
    <col min="6147" max="6400" width="9" style="316"/>
    <col min="6401" max="6401" width="20.25" style="316" customWidth="1"/>
    <col min="6402" max="6402" width="8.25" style="316" customWidth="1"/>
    <col min="6403" max="6656" width="9" style="316"/>
    <col min="6657" max="6657" width="20.25" style="316" customWidth="1"/>
    <col min="6658" max="6658" width="8.25" style="316" customWidth="1"/>
    <col min="6659" max="6912" width="9" style="316"/>
    <col min="6913" max="6913" width="20.25" style="316" customWidth="1"/>
    <col min="6914" max="6914" width="8.25" style="316" customWidth="1"/>
    <col min="6915" max="7168" width="9" style="316"/>
    <col min="7169" max="7169" width="20.25" style="316" customWidth="1"/>
    <col min="7170" max="7170" width="8.25" style="316" customWidth="1"/>
    <col min="7171" max="7424" width="9" style="316"/>
    <col min="7425" max="7425" width="20.25" style="316" customWidth="1"/>
    <col min="7426" max="7426" width="8.25" style="316" customWidth="1"/>
    <col min="7427" max="7680" width="9" style="316"/>
    <col min="7681" max="7681" width="20.25" style="316" customWidth="1"/>
    <col min="7682" max="7682" width="8.25" style="316" customWidth="1"/>
    <col min="7683" max="7936" width="9" style="316"/>
    <col min="7937" max="7937" width="20.25" style="316" customWidth="1"/>
    <col min="7938" max="7938" width="8.25" style="316" customWidth="1"/>
    <col min="7939" max="8192" width="9" style="316"/>
    <col min="8193" max="8193" width="20.25" style="316" customWidth="1"/>
    <col min="8194" max="8194" width="8.25" style="316" customWidth="1"/>
    <col min="8195" max="8448" width="9" style="316"/>
    <col min="8449" max="8449" width="20.25" style="316" customWidth="1"/>
    <col min="8450" max="8450" width="8.25" style="316" customWidth="1"/>
    <col min="8451" max="8704" width="9" style="316"/>
    <col min="8705" max="8705" width="20.25" style="316" customWidth="1"/>
    <col min="8706" max="8706" width="8.25" style="316" customWidth="1"/>
    <col min="8707" max="8960" width="9" style="316"/>
    <col min="8961" max="8961" width="20.25" style="316" customWidth="1"/>
    <col min="8962" max="8962" width="8.25" style="316" customWidth="1"/>
    <col min="8963" max="9216" width="9" style="316"/>
    <col min="9217" max="9217" width="20.25" style="316" customWidth="1"/>
    <col min="9218" max="9218" width="8.25" style="316" customWidth="1"/>
    <col min="9219" max="9472" width="9" style="316"/>
    <col min="9473" max="9473" width="20.25" style="316" customWidth="1"/>
    <col min="9474" max="9474" width="8.25" style="316" customWidth="1"/>
    <col min="9475" max="9728" width="9" style="316"/>
    <col min="9729" max="9729" width="20.25" style="316" customWidth="1"/>
    <col min="9730" max="9730" width="8.25" style="316" customWidth="1"/>
    <col min="9731" max="9984" width="9" style="316"/>
    <col min="9985" max="9985" width="20.25" style="316" customWidth="1"/>
    <col min="9986" max="9986" width="8.25" style="316" customWidth="1"/>
    <col min="9987" max="10240" width="9" style="316"/>
    <col min="10241" max="10241" width="20.25" style="316" customWidth="1"/>
    <col min="10242" max="10242" width="8.25" style="316" customWidth="1"/>
    <col min="10243" max="10496" width="9" style="316"/>
    <col min="10497" max="10497" width="20.25" style="316" customWidth="1"/>
    <col min="10498" max="10498" width="8.25" style="316" customWidth="1"/>
    <col min="10499" max="10752" width="9" style="316"/>
    <col min="10753" max="10753" width="20.25" style="316" customWidth="1"/>
    <col min="10754" max="10754" width="8.25" style="316" customWidth="1"/>
    <col min="10755" max="11008" width="9" style="316"/>
    <col min="11009" max="11009" width="20.25" style="316" customWidth="1"/>
    <col min="11010" max="11010" width="8.25" style="316" customWidth="1"/>
    <col min="11011" max="11264" width="9" style="316"/>
    <col min="11265" max="11265" width="20.25" style="316" customWidth="1"/>
    <col min="11266" max="11266" width="8.25" style="316" customWidth="1"/>
    <col min="11267" max="11520" width="9" style="316"/>
    <col min="11521" max="11521" width="20.25" style="316" customWidth="1"/>
    <col min="11522" max="11522" width="8.25" style="316" customWidth="1"/>
    <col min="11523" max="11776" width="9" style="316"/>
    <col min="11777" max="11777" width="20.25" style="316" customWidth="1"/>
    <col min="11778" max="11778" width="8.25" style="316" customWidth="1"/>
    <col min="11779" max="12032" width="9" style="316"/>
    <col min="12033" max="12033" width="20.25" style="316" customWidth="1"/>
    <col min="12034" max="12034" width="8.25" style="316" customWidth="1"/>
    <col min="12035" max="12288" width="9" style="316"/>
    <col min="12289" max="12289" width="20.25" style="316" customWidth="1"/>
    <col min="12290" max="12290" width="8.25" style="316" customWidth="1"/>
    <col min="12291" max="12544" width="9" style="316"/>
    <col min="12545" max="12545" width="20.25" style="316" customWidth="1"/>
    <col min="12546" max="12546" width="8.25" style="316" customWidth="1"/>
    <col min="12547" max="12800" width="9" style="316"/>
    <col min="12801" max="12801" width="20.25" style="316" customWidth="1"/>
    <col min="12802" max="12802" width="8.25" style="316" customWidth="1"/>
    <col min="12803" max="13056" width="9" style="316"/>
    <col min="13057" max="13057" width="20.25" style="316" customWidth="1"/>
    <col min="13058" max="13058" width="8.25" style="316" customWidth="1"/>
    <col min="13059" max="13312" width="9" style="316"/>
    <col min="13313" max="13313" width="20.25" style="316" customWidth="1"/>
    <col min="13314" max="13314" width="8.25" style="316" customWidth="1"/>
    <col min="13315" max="13568" width="9" style="316"/>
    <col min="13569" max="13569" width="20.25" style="316" customWidth="1"/>
    <col min="13570" max="13570" width="8.25" style="316" customWidth="1"/>
    <col min="13571" max="13824" width="9" style="316"/>
    <col min="13825" max="13825" width="20.25" style="316" customWidth="1"/>
    <col min="13826" max="13826" width="8.25" style="316" customWidth="1"/>
    <col min="13827" max="14080" width="9" style="316"/>
    <col min="14081" max="14081" width="20.25" style="316" customWidth="1"/>
    <col min="14082" max="14082" width="8.25" style="316" customWidth="1"/>
    <col min="14083" max="14336" width="9" style="316"/>
    <col min="14337" max="14337" width="20.25" style="316" customWidth="1"/>
    <col min="14338" max="14338" width="8.25" style="316" customWidth="1"/>
    <col min="14339" max="14592" width="9" style="316"/>
    <col min="14593" max="14593" width="20.25" style="316" customWidth="1"/>
    <col min="14594" max="14594" width="8.25" style="316" customWidth="1"/>
    <col min="14595" max="14848" width="9" style="316"/>
    <col min="14849" max="14849" width="20.25" style="316" customWidth="1"/>
    <col min="14850" max="14850" width="8.25" style="316" customWidth="1"/>
    <col min="14851" max="15104" width="9" style="316"/>
    <col min="15105" max="15105" width="20.25" style="316" customWidth="1"/>
    <col min="15106" max="15106" width="8.25" style="316" customWidth="1"/>
    <col min="15107" max="15360" width="9" style="316"/>
    <col min="15361" max="15361" width="20.25" style="316" customWidth="1"/>
    <col min="15362" max="15362" width="8.25" style="316" customWidth="1"/>
    <col min="15363" max="15616" width="9" style="316"/>
    <col min="15617" max="15617" width="20.25" style="316" customWidth="1"/>
    <col min="15618" max="15618" width="8.25" style="316" customWidth="1"/>
    <col min="15619" max="15872" width="9" style="316"/>
    <col min="15873" max="15873" width="20.25" style="316" customWidth="1"/>
    <col min="15874" max="15874" width="8.25" style="316" customWidth="1"/>
    <col min="15875" max="16128" width="9" style="316"/>
    <col min="16129" max="16129" width="20.25" style="316" customWidth="1"/>
    <col min="16130" max="16130" width="8.25" style="316" customWidth="1"/>
    <col min="16131" max="16384" width="9" style="316"/>
  </cols>
  <sheetData>
    <row r="1" spans="1:14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4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</row>
    <row r="3" spans="1:14" ht="43.5" customHeight="1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</row>
    <row r="4" spans="1:14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</row>
    <row r="5" spans="1:14">
      <c r="A5" s="492"/>
      <c r="B5" s="492"/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</row>
    <row r="6" spans="1:14">
      <c r="A6" s="492"/>
      <c r="B6" s="492"/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</row>
    <row r="7" spans="1:14">
      <c r="A7" s="492"/>
      <c r="B7" s="492"/>
      <c r="C7" s="492"/>
      <c r="D7" s="492"/>
      <c r="E7" s="492"/>
      <c r="F7" s="492"/>
      <c r="G7" s="492"/>
      <c r="H7" s="492"/>
      <c r="I7" s="492"/>
      <c r="J7" s="492"/>
      <c r="K7" s="492"/>
      <c r="L7" s="492"/>
      <c r="M7" s="492"/>
      <c r="N7" s="492"/>
    </row>
    <row r="8" spans="1:14">
      <c r="A8" s="492"/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</row>
    <row r="9" spans="1:14" ht="46.5">
      <c r="A9" s="492"/>
      <c r="B9" s="3049" t="s">
        <v>513</v>
      </c>
      <c r="C9" s="3049"/>
      <c r="D9" s="3049"/>
      <c r="E9" s="3049"/>
      <c r="F9" s="3049"/>
      <c r="G9" s="3049"/>
      <c r="H9" s="3049"/>
      <c r="I9" s="3049"/>
      <c r="J9" s="3049"/>
      <c r="K9" s="492"/>
      <c r="L9" s="492"/>
      <c r="M9" s="492"/>
      <c r="N9" s="492"/>
    </row>
    <row r="10" spans="1:14">
      <c r="A10" s="492"/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2"/>
      <c r="N10" s="492"/>
    </row>
    <row r="11" spans="1:14">
      <c r="A11" s="492"/>
      <c r="B11" s="492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</row>
    <row r="12" spans="1:14" ht="46.5">
      <c r="A12" s="492"/>
      <c r="B12" s="492"/>
      <c r="K12" s="549"/>
      <c r="L12" s="492"/>
      <c r="M12" s="492"/>
      <c r="N12" s="492"/>
    </row>
    <row r="13" spans="1:14">
      <c r="A13" s="492"/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</row>
    <row r="14" spans="1:14">
      <c r="A14" s="492"/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</row>
    <row r="15" spans="1:14" ht="29.25" customHeight="1">
      <c r="A15" s="492"/>
      <c r="B15" s="492"/>
      <c r="C15" s="492"/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</row>
    <row r="16" spans="1:14">
      <c r="A16" s="492"/>
      <c r="B16" s="492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</row>
    <row r="17" spans="1:14">
      <c r="A17" s="492"/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</row>
    <row r="18" spans="1:14">
      <c r="A18" s="492"/>
      <c r="B18" s="492"/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</row>
    <row r="19" spans="1:14" ht="30" customHeight="1">
      <c r="A19" s="492"/>
      <c r="B19" s="492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</row>
    <row r="20" spans="1:14" ht="50.25" customHeight="1">
      <c r="A20" s="492"/>
      <c r="B20" s="492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2"/>
    </row>
    <row r="21" spans="1:14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</row>
    <row r="22" spans="1:14">
      <c r="A22" s="492"/>
      <c r="B22" s="492"/>
      <c r="C22" s="492"/>
      <c r="D22" s="492"/>
      <c r="E22" s="492"/>
      <c r="F22" s="492"/>
      <c r="G22" s="492"/>
      <c r="H22" s="492"/>
      <c r="I22" s="492"/>
      <c r="J22" s="492"/>
      <c r="K22" s="492"/>
      <c r="L22" s="492"/>
      <c r="M22" s="492"/>
      <c r="N22" s="492"/>
    </row>
    <row r="23" spans="1:14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4">
      <c r="A24" s="492"/>
      <c r="B24" s="492"/>
      <c r="C24" s="492"/>
      <c r="D24" s="492"/>
      <c r="E24" s="492"/>
      <c r="F24" s="492"/>
      <c r="G24" s="492"/>
      <c r="H24" s="492"/>
      <c r="I24" s="492"/>
      <c r="J24" s="492"/>
      <c r="K24" s="492"/>
      <c r="L24" s="492"/>
      <c r="M24" s="492"/>
      <c r="N24" s="492"/>
    </row>
    <row r="25" spans="1:14">
      <c r="A25" s="492"/>
      <c r="B25" s="492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</row>
    <row r="26" spans="1:14">
      <c r="A26" s="492"/>
      <c r="B26" s="492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</row>
    <row r="27" spans="1:14">
      <c r="A27" s="492"/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</row>
    <row r="28" spans="1:14">
      <c r="A28" s="492"/>
      <c r="B28" s="492"/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</row>
    <row r="29" spans="1:14">
      <c r="A29" s="492"/>
      <c r="B29" s="492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</row>
    <row r="30" spans="1:14">
      <c r="A30" s="492"/>
      <c r="B30" s="492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</row>
    <row r="31" spans="1:14">
      <c r="A31" s="492"/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</row>
    <row r="32" spans="1:14">
      <c r="A32" s="492"/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</row>
    <row r="33" spans="1:14">
      <c r="A33" s="492"/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</row>
    <row r="34" spans="1:14">
      <c r="A34" s="492"/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</row>
    <row r="35" spans="1:14">
      <c r="A35" s="492"/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</row>
    <row r="36" spans="1:14">
      <c r="A36" s="492"/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</row>
    <row r="37" spans="1:14">
      <c r="A37" s="492"/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  <c r="N37" s="492"/>
    </row>
    <row r="38" spans="1:14">
      <c r="A38" s="492"/>
      <c r="B38" s="492"/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  <c r="N38" s="492"/>
    </row>
    <row r="39" spans="1:14">
      <c r="A39" s="492"/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</row>
    <row r="40" spans="1:14">
      <c r="A40" s="492"/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</row>
    <row r="41" spans="1:14">
      <c r="A41" s="492"/>
      <c r="B41" s="492"/>
      <c r="C41" s="492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</row>
    <row r="42" spans="1:14">
      <c r="A42" s="492"/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</row>
    <row r="43" spans="1:14">
      <c r="A43" s="492"/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</row>
    <row r="44" spans="1:14">
      <c r="A44" s="492"/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</row>
    <row r="45" spans="1:14">
      <c r="A45" s="492"/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</row>
    <row r="46" spans="1:14">
      <c r="A46" s="492"/>
      <c r="B46" s="492"/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</row>
    <row r="47" spans="1:14">
      <c r="A47" s="492"/>
      <c r="B47" s="492"/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</row>
    <row r="48" spans="1:14">
      <c r="A48" s="492"/>
      <c r="B48" s="492"/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</row>
    <row r="49" spans="1:13">
      <c r="A49" s="492"/>
      <c r="B49" s="492"/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</row>
    <row r="50" spans="1:13">
      <c r="A50" s="492"/>
      <c r="B50" s="492"/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</row>
    <row r="51" spans="1:13">
      <c r="A51" s="492"/>
      <c r="B51" s="492"/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</row>
    <row r="52" spans="1:13">
      <c r="A52" s="492"/>
      <c r="B52" s="492"/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</row>
    <row r="53" spans="1:13">
      <c r="A53" s="492"/>
      <c r="B53" s="492"/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</row>
    <row r="54" spans="1:13">
      <c r="A54" s="492"/>
      <c r="B54" s="492"/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</row>
    <row r="55" spans="1:13">
      <c r="A55" s="492"/>
      <c r="B55" s="492"/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</row>
    <row r="56" spans="1:13">
      <c r="A56" s="492"/>
      <c r="B56" s="492"/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</row>
    <row r="57" spans="1:13">
      <c r="A57" s="492"/>
      <c r="B57" s="492"/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</row>
    <row r="58" spans="1:13">
      <c r="A58" s="492"/>
      <c r="B58" s="492"/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</row>
  </sheetData>
  <mergeCells count="1">
    <mergeCell ref="B9:J9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6" tint="-0.249977111117893"/>
  </sheetPr>
  <dimension ref="A1:L22"/>
  <sheetViews>
    <sheetView zoomScaleNormal="100" workbookViewId="0">
      <selection activeCell="J20" sqref="J20"/>
    </sheetView>
  </sheetViews>
  <sheetFormatPr defaultRowHeight="13.5"/>
  <cols>
    <col min="1" max="1" width="19.25" style="612" customWidth="1"/>
    <col min="2" max="2" width="22.625" style="612" customWidth="1"/>
    <col min="3" max="5" width="21.75" style="613" customWidth="1"/>
    <col min="6" max="6" width="16.25" style="613" customWidth="1"/>
    <col min="7" max="7" width="10.875" style="612" customWidth="1"/>
    <col min="8" max="256" width="9" style="612"/>
    <col min="257" max="257" width="19.25" style="612" customWidth="1"/>
    <col min="258" max="258" width="22.625" style="612" customWidth="1"/>
    <col min="259" max="261" width="21.75" style="612" customWidth="1"/>
    <col min="262" max="262" width="16.25" style="612" customWidth="1"/>
    <col min="263" max="263" width="10.875" style="612" customWidth="1"/>
    <col min="264" max="512" width="9" style="612"/>
    <col min="513" max="513" width="19.25" style="612" customWidth="1"/>
    <col min="514" max="514" width="22.625" style="612" customWidth="1"/>
    <col min="515" max="517" width="21.75" style="612" customWidth="1"/>
    <col min="518" max="518" width="16.25" style="612" customWidth="1"/>
    <col min="519" max="519" width="10.875" style="612" customWidth="1"/>
    <col min="520" max="768" width="9" style="612"/>
    <col min="769" max="769" width="19.25" style="612" customWidth="1"/>
    <col min="770" max="770" width="22.625" style="612" customWidth="1"/>
    <col min="771" max="773" width="21.75" style="612" customWidth="1"/>
    <col min="774" max="774" width="16.25" style="612" customWidth="1"/>
    <col min="775" max="775" width="10.875" style="612" customWidth="1"/>
    <col min="776" max="1024" width="9" style="612"/>
    <col min="1025" max="1025" width="19.25" style="612" customWidth="1"/>
    <col min="1026" max="1026" width="22.625" style="612" customWidth="1"/>
    <col min="1027" max="1029" width="21.75" style="612" customWidth="1"/>
    <col min="1030" max="1030" width="16.25" style="612" customWidth="1"/>
    <col min="1031" max="1031" width="10.875" style="612" customWidth="1"/>
    <col min="1032" max="1280" width="9" style="612"/>
    <col min="1281" max="1281" width="19.25" style="612" customWidth="1"/>
    <col min="1282" max="1282" width="22.625" style="612" customWidth="1"/>
    <col min="1283" max="1285" width="21.75" style="612" customWidth="1"/>
    <col min="1286" max="1286" width="16.25" style="612" customWidth="1"/>
    <col min="1287" max="1287" width="10.875" style="612" customWidth="1"/>
    <col min="1288" max="1536" width="9" style="612"/>
    <col min="1537" max="1537" width="19.25" style="612" customWidth="1"/>
    <col min="1538" max="1538" width="22.625" style="612" customWidth="1"/>
    <col min="1539" max="1541" width="21.75" style="612" customWidth="1"/>
    <col min="1542" max="1542" width="16.25" style="612" customWidth="1"/>
    <col min="1543" max="1543" width="10.875" style="612" customWidth="1"/>
    <col min="1544" max="1792" width="9" style="612"/>
    <col min="1793" max="1793" width="19.25" style="612" customWidth="1"/>
    <col min="1794" max="1794" width="22.625" style="612" customWidth="1"/>
    <col min="1795" max="1797" width="21.75" style="612" customWidth="1"/>
    <col min="1798" max="1798" width="16.25" style="612" customWidth="1"/>
    <col min="1799" max="1799" width="10.875" style="612" customWidth="1"/>
    <col min="1800" max="2048" width="9" style="612"/>
    <col min="2049" max="2049" width="19.25" style="612" customWidth="1"/>
    <col min="2050" max="2050" width="22.625" style="612" customWidth="1"/>
    <col min="2051" max="2053" width="21.75" style="612" customWidth="1"/>
    <col min="2054" max="2054" width="16.25" style="612" customWidth="1"/>
    <col min="2055" max="2055" width="10.875" style="612" customWidth="1"/>
    <col min="2056" max="2304" width="9" style="612"/>
    <col min="2305" max="2305" width="19.25" style="612" customWidth="1"/>
    <col min="2306" max="2306" width="22.625" style="612" customWidth="1"/>
    <col min="2307" max="2309" width="21.75" style="612" customWidth="1"/>
    <col min="2310" max="2310" width="16.25" style="612" customWidth="1"/>
    <col min="2311" max="2311" width="10.875" style="612" customWidth="1"/>
    <col min="2312" max="2560" width="9" style="612"/>
    <col min="2561" max="2561" width="19.25" style="612" customWidth="1"/>
    <col min="2562" max="2562" width="22.625" style="612" customWidth="1"/>
    <col min="2563" max="2565" width="21.75" style="612" customWidth="1"/>
    <col min="2566" max="2566" width="16.25" style="612" customWidth="1"/>
    <col min="2567" max="2567" width="10.875" style="612" customWidth="1"/>
    <col min="2568" max="2816" width="9" style="612"/>
    <col min="2817" max="2817" width="19.25" style="612" customWidth="1"/>
    <col min="2818" max="2818" width="22.625" style="612" customWidth="1"/>
    <col min="2819" max="2821" width="21.75" style="612" customWidth="1"/>
    <col min="2822" max="2822" width="16.25" style="612" customWidth="1"/>
    <col min="2823" max="2823" width="10.875" style="612" customWidth="1"/>
    <col min="2824" max="3072" width="9" style="612"/>
    <col min="3073" max="3073" width="19.25" style="612" customWidth="1"/>
    <col min="3074" max="3074" width="22.625" style="612" customWidth="1"/>
    <col min="3075" max="3077" width="21.75" style="612" customWidth="1"/>
    <col min="3078" max="3078" width="16.25" style="612" customWidth="1"/>
    <col min="3079" max="3079" width="10.875" style="612" customWidth="1"/>
    <col min="3080" max="3328" width="9" style="612"/>
    <col min="3329" max="3329" width="19.25" style="612" customWidth="1"/>
    <col min="3330" max="3330" width="22.625" style="612" customWidth="1"/>
    <col min="3331" max="3333" width="21.75" style="612" customWidth="1"/>
    <col min="3334" max="3334" width="16.25" style="612" customWidth="1"/>
    <col min="3335" max="3335" width="10.875" style="612" customWidth="1"/>
    <col min="3336" max="3584" width="9" style="612"/>
    <col min="3585" max="3585" width="19.25" style="612" customWidth="1"/>
    <col min="3586" max="3586" width="22.625" style="612" customWidth="1"/>
    <col min="3587" max="3589" width="21.75" style="612" customWidth="1"/>
    <col min="3590" max="3590" width="16.25" style="612" customWidth="1"/>
    <col min="3591" max="3591" width="10.875" style="612" customWidth="1"/>
    <col min="3592" max="3840" width="9" style="612"/>
    <col min="3841" max="3841" width="19.25" style="612" customWidth="1"/>
    <col min="3842" max="3842" width="22.625" style="612" customWidth="1"/>
    <col min="3843" max="3845" width="21.75" style="612" customWidth="1"/>
    <col min="3846" max="3846" width="16.25" style="612" customWidth="1"/>
    <col min="3847" max="3847" width="10.875" style="612" customWidth="1"/>
    <col min="3848" max="4096" width="9" style="612"/>
    <col min="4097" max="4097" width="19.25" style="612" customWidth="1"/>
    <col min="4098" max="4098" width="22.625" style="612" customWidth="1"/>
    <col min="4099" max="4101" width="21.75" style="612" customWidth="1"/>
    <col min="4102" max="4102" width="16.25" style="612" customWidth="1"/>
    <col min="4103" max="4103" width="10.875" style="612" customWidth="1"/>
    <col min="4104" max="4352" width="9" style="612"/>
    <col min="4353" max="4353" width="19.25" style="612" customWidth="1"/>
    <col min="4354" max="4354" width="22.625" style="612" customWidth="1"/>
    <col min="4355" max="4357" width="21.75" style="612" customWidth="1"/>
    <col min="4358" max="4358" width="16.25" style="612" customWidth="1"/>
    <col min="4359" max="4359" width="10.875" style="612" customWidth="1"/>
    <col min="4360" max="4608" width="9" style="612"/>
    <col min="4609" max="4609" width="19.25" style="612" customWidth="1"/>
    <col min="4610" max="4610" width="22.625" style="612" customWidth="1"/>
    <col min="4611" max="4613" width="21.75" style="612" customWidth="1"/>
    <col min="4614" max="4614" width="16.25" style="612" customWidth="1"/>
    <col min="4615" max="4615" width="10.875" style="612" customWidth="1"/>
    <col min="4616" max="4864" width="9" style="612"/>
    <col min="4865" max="4865" width="19.25" style="612" customWidth="1"/>
    <col min="4866" max="4866" width="22.625" style="612" customWidth="1"/>
    <col min="4867" max="4869" width="21.75" style="612" customWidth="1"/>
    <col min="4870" max="4870" width="16.25" style="612" customWidth="1"/>
    <col min="4871" max="4871" width="10.875" style="612" customWidth="1"/>
    <col min="4872" max="5120" width="9" style="612"/>
    <col min="5121" max="5121" width="19.25" style="612" customWidth="1"/>
    <col min="5122" max="5122" width="22.625" style="612" customWidth="1"/>
    <col min="5123" max="5125" width="21.75" style="612" customWidth="1"/>
    <col min="5126" max="5126" width="16.25" style="612" customWidth="1"/>
    <col min="5127" max="5127" width="10.875" style="612" customWidth="1"/>
    <col min="5128" max="5376" width="9" style="612"/>
    <col min="5377" max="5377" width="19.25" style="612" customWidth="1"/>
    <col min="5378" max="5378" width="22.625" style="612" customWidth="1"/>
    <col min="5379" max="5381" width="21.75" style="612" customWidth="1"/>
    <col min="5382" max="5382" width="16.25" style="612" customWidth="1"/>
    <col min="5383" max="5383" width="10.875" style="612" customWidth="1"/>
    <col min="5384" max="5632" width="9" style="612"/>
    <col min="5633" max="5633" width="19.25" style="612" customWidth="1"/>
    <col min="5634" max="5634" width="22.625" style="612" customWidth="1"/>
    <col min="5635" max="5637" width="21.75" style="612" customWidth="1"/>
    <col min="5638" max="5638" width="16.25" style="612" customWidth="1"/>
    <col min="5639" max="5639" width="10.875" style="612" customWidth="1"/>
    <col min="5640" max="5888" width="9" style="612"/>
    <col min="5889" max="5889" width="19.25" style="612" customWidth="1"/>
    <col min="5890" max="5890" width="22.625" style="612" customWidth="1"/>
    <col min="5891" max="5893" width="21.75" style="612" customWidth="1"/>
    <col min="5894" max="5894" width="16.25" style="612" customWidth="1"/>
    <col min="5895" max="5895" width="10.875" style="612" customWidth="1"/>
    <col min="5896" max="6144" width="9" style="612"/>
    <col min="6145" max="6145" width="19.25" style="612" customWidth="1"/>
    <col min="6146" max="6146" width="22.625" style="612" customWidth="1"/>
    <col min="6147" max="6149" width="21.75" style="612" customWidth="1"/>
    <col min="6150" max="6150" width="16.25" style="612" customWidth="1"/>
    <col min="6151" max="6151" width="10.875" style="612" customWidth="1"/>
    <col min="6152" max="6400" width="9" style="612"/>
    <col min="6401" max="6401" width="19.25" style="612" customWidth="1"/>
    <col min="6402" max="6402" width="22.625" style="612" customWidth="1"/>
    <col min="6403" max="6405" width="21.75" style="612" customWidth="1"/>
    <col min="6406" max="6406" width="16.25" style="612" customWidth="1"/>
    <col min="6407" max="6407" width="10.875" style="612" customWidth="1"/>
    <col min="6408" max="6656" width="9" style="612"/>
    <col min="6657" max="6657" width="19.25" style="612" customWidth="1"/>
    <col min="6658" max="6658" width="22.625" style="612" customWidth="1"/>
    <col min="6659" max="6661" width="21.75" style="612" customWidth="1"/>
    <col min="6662" max="6662" width="16.25" style="612" customWidth="1"/>
    <col min="6663" max="6663" width="10.875" style="612" customWidth="1"/>
    <col min="6664" max="6912" width="9" style="612"/>
    <col min="6913" max="6913" width="19.25" style="612" customWidth="1"/>
    <col min="6914" max="6914" width="22.625" style="612" customWidth="1"/>
    <col min="6915" max="6917" width="21.75" style="612" customWidth="1"/>
    <col min="6918" max="6918" width="16.25" style="612" customWidth="1"/>
    <col min="6919" max="6919" width="10.875" style="612" customWidth="1"/>
    <col min="6920" max="7168" width="9" style="612"/>
    <col min="7169" max="7169" width="19.25" style="612" customWidth="1"/>
    <col min="7170" max="7170" width="22.625" style="612" customWidth="1"/>
    <col min="7171" max="7173" width="21.75" style="612" customWidth="1"/>
    <col min="7174" max="7174" width="16.25" style="612" customWidth="1"/>
    <col min="7175" max="7175" width="10.875" style="612" customWidth="1"/>
    <col min="7176" max="7424" width="9" style="612"/>
    <col min="7425" max="7425" width="19.25" style="612" customWidth="1"/>
    <col min="7426" max="7426" width="22.625" style="612" customWidth="1"/>
    <col min="7427" max="7429" width="21.75" style="612" customWidth="1"/>
    <col min="7430" max="7430" width="16.25" style="612" customWidth="1"/>
    <col min="7431" max="7431" width="10.875" style="612" customWidth="1"/>
    <col min="7432" max="7680" width="9" style="612"/>
    <col min="7681" max="7681" width="19.25" style="612" customWidth="1"/>
    <col min="7682" max="7682" width="22.625" style="612" customWidth="1"/>
    <col min="7683" max="7685" width="21.75" style="612" customWidth="1"/>
    <col min="7686" max="7686" width="16.25" style="612" customWidth="1"/>
    <col min="7687" max="7687" width="10.875" style="612" customWidth="1"/>
    <col min="7688" max="7936" width="9" style="612"/>
    <col min="7937" max="7937" width="19.25" style="612" customWidth="1"/>
    <col min="7938" max="7938" width="22.625" style="612" customWidth="1"/>
    <col min="7939" max="7941" width="21.75" style="612" customWidth="1"/>
    <col min="7942" max="7942" width="16.25" style="612" customWidth="1"/>
    <col min="7943" max="7943" width="10.875" style="612" customWidth="1"/>
    <col min="7944" max="8192" width="9" style="612"/>
    <col min="8193" max="8193" width="19.25" style="612" customWidth="1"/>
    <col min="8194" max="8194" width="22.625" style="612" customWidth="1"/>
    <col min="8195" max="8197" width="21.75" style="612" customWidth="1"/>
    <col min="8198" max="8198" width="16.25" style="612" customWidth="1"/>
    <col min="8199" max="8199" width="10.875" style="612" customWidth="1"/>
    <col min="8200" max="8448" width="9" style="612"/>
    <col min="8449" max="8449" width="19.25" style="612" customWidth="1"/>
    <col min="8450" max="8450" width="22.625" style="612" customWidth="1"/>
    <col min="8451" max="8453" width="21.75" style="612" customWidth="1"/>
    <col min="8454" max="8454" width="16.25" style="612" customWidth="1"/>
    <col min="8455" max="8455" width="10.875" style="612" customWidth="1"/>
    <col min="8456" max="8704" width="9" style="612"/>
    <col min="8705" max="8705" width="19.25" style="612" customWidth="1"/>
    <col min="8706" max="8706" width="22.625" style="612" customWidth="1"/>
    <col min="8707" max="8709" width="21.75" style="612" customWidth="1"/>
    <col min="8710" max="8710" width="16.25" style="612" customWidth="1"/>
    <col min="8711" max="8711" width="10.875" style="612" customWidth="1"/>
    <col min="8712" max="8960" width="9" style="612"/>
    <col min="8961" max="8961" width="19.25" style="612" customWidth="1"/>
    <col min="8962" max="8962" width="22.625" style="612" customWidth="1"/>
    <col min="8963" max="8965" width="21.75" style="612" customWidth="1"/>
    <col min="8966" max="8966" width="16.25" style="612" customWidth="1"/>
    <col min="8967" max="8967" width="10.875" style="612" customWidth="1"/>
    <col min="8968" max="9216" width="9" style="612"/>
    <col min="9217" max="9217" width="19.25" style="612" customWidth="1"/>
    <col min="9218" max="9218" width="22.625" style="612" customWidth="1"/>
    <col min="9219" max="9221" width="21.75" style="612" customWidth="1"/>
    <col min="9222" max="9222" width="16.25" style="612" customWidth="1"/>
    <col min="9223" max="9223" width="10.875" style="612" customWidth="1"/>
    <col min="9224" max="9472" width="9" style="612"/>
    <col min="9473" max="9473" width="19.25" style="612" customWidth="1"/>
    <col min="9474" max="9474" width="22.625" style="612" customWidth="1"/>
    <col min="9475" max="9477" width="21.75" style="612" customWidth="1"/>
    <col min="9478" max="9478" width="16.25" style="612" customWidth="1"/>
    <col min="9479" max="9479" width="10.875" style="612" customWidth="1"/>
    <col min="9480" max="9728" width="9" style="612"/>
    <col min="9729" max="9729" width="19.25" style="612" customWidth="1"/>
    <col min="9730" max="9730" width="22.625" style="612" customWidth="1"/>
    <col min="9731" max="9733" width="21.75" style="612" customWidth="1"/>
    <col min="9734" max="9734" width="16.25" style="612" customWidth="1"/>
    <col min="9735" max="9735" width="10.875" style="612" customWidth="1"/>
    <col min="9736" max="9984" width="9" style="612"/>
    <col min="9985" max="9985" width="19.25" style="612" customWidth="1"/>
    <col min="9986" max="9986" width="22.625" style="612" customWidth="1"/>
    <col min="9987" max="9989" width="21.75" style="612" customWidth="1"/>
    <col min="9990" max="9990" width="16.25" style="612" customWidth="1"/>
    <col min="9991" max="9991" width="10.875" style="612" customWidth="1"/>
    <col min="9992" max="10240" width="9" style="612"/>
    <col min="10241" max="10241" width="19.25" style="612" customWidth="1"/>
    <col min="10242" max="10242" width="22.625" style="612" customWidth="1"/>
    <col min="10243" max="10245" width="21.75" style="612" customWidth="1"/>
    <col min="10246" max="10246" width="16.25" style="612" customWidth="1"/>
    <col min="10247" max="10247" width="10.875" style="612" customWidth="1"/>
    <col min="10248" max="10496" width="9" style="612"/>
    <col min="10497" max="10497" width="19.25" style="612" customWidth="1"/>
    <col min="10498" max="10498" width="22.625" style="612" customWidth="1"/>
    <col min="10499" max="10501" width="21.75" style="612" customWidth="1"/>
    <col min="10502" max="10502" width="16.25" style="612" customWidth="1"/>
    <col min="10503" max="10503" width="10.875" style="612" customWidth="1"/>
    <col min="10504" max="10752" width="9" style="612"/>
    <col min="10753" max="10753" width="19.25" style="612" customWidth="1"/>
    <col min="10754" max="10754" width="22.625" style="612" customWidth="1"/>
    <col min="10755" max="10757" width="21.75" style="612" customWidth="1"/>
    <col min="10758" max="10758" width="16.25" style="612" customWidth="1"/>
    <col min="10759" max="10759" width="10.875" style="612" customWidth="1"/>
    <col min="10760" max="11008" width="9" style="612"/>
    <col min="11009" max="11009" width="19.25" style="612" customWidth="1"/>
    <col min="11010" max="11010" width="22.625" style="612" customWidth="1"/>
    <col min="11011" max="11013" width="21.75" style="612" customWidth="1"/>
    <col min="11014" max="11014" width="16.25" style="612" customWidth="1"/>
    <col min="11015" max="11015" width="10.875" style="612" customWidth="1"/>
    <col min="11016" max="11264" width="9" style="612"/>
    <col min="11265" max="11265" width="19.25" style="612" customWidth="1"/>
    <col min="11266" max="11266" width="22.625" style="612" customWidth="1"/>
    <col min="11267" max="11269" width="21.75" style="612" customWidth="1"/>
    <col min="11270" max="11270" width="16.25" style="612" customWidth="1"/>
    <col min="11271" max="11271" width="10.875" style="612" customWidth="1"/>
    <col min="11272" max="11520" width="9" style="612"/>
    <col min="11521" max="11521" width="19.25" style="612" customWidth="1"/>
    <col min="11522" max="11522" width="22.625" style="612" customWidth="1"/>
    <col min="11523" max="11525" width="21.75" style="612" customWidth="1"/>
    <col min="11526" max="11526" width="16.25" style="612" customWidth="1"/>
    <col min="11527" max="11527" width="10.875" style="612" customWidth="1"/>
    <col min="11528" max="11776" width="9" style="612"/>
    <col min="11777" max="11777" width="19.25" style="612" customWidth="1"/>
    <col min="11778" max="11778" width="22.625" style="612" customWidth="1"/>
    <col min="11779" max="11781" width="21.75" style="612" customWidth="1"/>
    <col min="11782" max="11782" width="16.25" style="612" customWidth="1"/>
    <col min="11783" max="11783" width="10.875" style="612" customWidth="1"/>
    <col min="11784" max="12032" width="9" style="612"/>
    <col min="12033" max="12033" width="19.25" style="612" customWidth="1"/>
    <col min="12034" max="12034" width="22.625" style="612" customWidth="1"/>
    <col min="12035" max="12037" width="21.75" style="612" customWidth="1"/>
    <col min="12038" max="12038" width="16.25" style="612" customWidth="1"/>
    <col min="12039" max="12039" width="10.875" style="612" customWidth="1"/>
    <col min="12040" max="12288" width="9" style="612"/>
    <col min="12289" max="12289" width="19.25" style="612" customWidth="1"/>
    <col min="12290" max="12290" width="22.625" style="612" customWidth="1"/>
    <col min="12291" max="12293" width="21.75" style="612" customWidth="1"/>
    <col min="12294" max="12294" width="16.25" style="612" customWidth="1"/>
    <col min="12295" max="12295" width="10.875" style="612" customWidth="1"/>
    <col min="12296" max="12544" width="9" style="612"/>
    <col min="12545" max="12545" width="19.25" style="612" customWidth="1"/>
    <col min="12546" max="12546" width="22.625" style="612" customWidth="1"/>
    <col min="12547" max="12549" width="21.75" style="612" customWidth="1"/>
    <col min="12550" max="12550" width="16.25" style="612" customWidth="1"/>
    <col min="12551" max="12551" width="10.875" style="612" customWidth="1"/>
    <col min="12552" max="12800" width="9" style="612"/>
    <col min="12801" max="12801" width="19.25" style="612" customWidth="1"/>
    <col min="12802" max="12802" width="22.625" style="612" customWidth="1"/>
    <col min="12803" max="12805" width="21.75" style="612" customWidth="1"/>
    <col min="12806" max="12806" width="16.25" style="612" customWidth="1"/>
    <col min="12807" max="12807" width="10.875" style="612" customWidth="1"/>
    <col min="12808" max="13056" width="9" style="612"/>
    <col min="13057" max="13057" width="19.25" style="612" customWidth="1"/>
    <col min="13058" max="13058" width="22.625" style="612" customWidth="1"/>
    <col min="13059" max="13061" width="21.75" style="612" customWidth="1"/>
    <col min="13062" max="13062" width="16.25" style="612" customWidth="1"/>
    <col min="13063" max="13063" width="10.875" style="612" customWidth="1"/>
    <col min="13064" max="13312" width="9" style="612"/>
    <col min="13313" max="13313" width="19.25" style="612" customWidth="1"/>
    <col min="13314" max="13314" width="22.625" style="612" customWidth="1"/>
    <col min="13315" max="13317" width="21.75" style="612" customWidth="1"/>
    <col min="13318" max="13318" width="16.25" style="612" customWidth="1"/>
    <col min="13319" max="13319" width="10.875" style="612" customWidth="1"/>
    <col min="13320" max="13568" width="9" style="612"/>
    <col min="13569" max="13569" width="19.25" style="612" customWidth="1"/>
    <col min="13570" max="13570" width="22.625" style="612" customWidth="1"/>
    <col min="13571" max="13573" width="21.75" style="612" customWidth="1"/>
    <col min="13574" max="13574" width="16.25" style="612" customWidth="1"/>
    <col min="13575" max="13575" width="10.875" style="612" customWidth="1"/>
    <col min="13576" max="13824" width="9" style="612"/>
    <col min="13825" max="13825" width="19.25" style="612" customWidth="1"/>
    <col min="13826" max="13826" width="22.625" style="612" customWidth="1"/>
    <col min="13827" max="13829" width="21.75" style="612" customWidth="1"/>
    <col min="13830" max="13830" width="16.25" style="612" customWidth="1"/>
    <col min="13831" max="13831" width="10.875" style="612" customWidth="1"/>
    <col min="13832" max="14080" width="9" style="612"/>
    <col min="14081" max="14081" width="19.25" style="612" customWidth="1"/>
    <col min="14082" max="14082" width="22.625" style="612" customWidth="1"/>
    <col min="14083" max="14085" width="21.75" style="612" customWidth="1"/>
    <col min="14086" max="14086" width="16.25" style="612" customWidth="1"/>
    <col min="14087" max="14087" width="10.875" style="612" customWidth="1"/>
    <col min="14088" max="14336" width="9" style="612"/>
    <col min="14337" max="14337" width="19.25" style="612" customWidth="1"/>
    <col min="14338" max="14338" width="22.625" style="612" customWidth="1"/>
    <col min="14339" max="14341" width="21.75" style="612" customWidth="1"/>
    <col min="14342" max="14342" width="16.25" style="612" customWidth="1"/>
    <col min="14343" max="14343" width="10.875" style="612" customWidth="1"/>
    <col min="14344" max="14592" width="9" style="612"/>
    <col min="14593" max="14593" width="19.25" style="612" customWidth="1"/>
    <col min="14594" max="14594" width="22.625" style="612" customWidth="1"/>
    <col min="14595" max="14597" width="21.75" style="612" customWidth="1"/>
    <col min="14598" max="14598" width="16.25" style="612" customWidth="1"/>
    <col min="14599" max="14599" width="10.875" style="612" customWidth="1"/>
    <col min="14600" max="14848" width="9" style="612"/>
    <col min="14849" max="14849" width="19.25" style="612" customWidth="1"/>
    <col min="14850" max="14850" width="22.625" style="612" customWidth="1"/>
    <col min="14851" max="14853" width="21.75" style="612" customWidth="1"/>
    <col min="14854" max="14854" width="16.25" style="612" customWidth="1"/>
    <col min="14855" max="14855" width="10.875" style="612" customWidth="1"/>
    <col min="14856" max="15104" width="9" style="612"/>
    <col min="15105" max="15105" width="19.25" style="612" customWidth="1"/>
    <col min="15106" max="15106" width="22.625" style="612" customWidth="1"/>
    <col min="15107" max="15109" width="21.75" style="612" customWidth="1"/>
    <col min="15110" max="15110" width="16.25" style="612" customWidth="1"/>
    <col min="15111" max="15111" width="10.875" style="612" customWidth="1"/>
    <col min="15112" max="15360" width="9" style="612"/>
    <col min="15361" max="15361" width="19.25" style="612" customWidth="1"/>
    <col min="15362" max="15362" width="22.625" style="612" customWidth="1"/>
    <col min="15363" max="15365" width="21.75" style="612" customWidth="1"/>
    <col min="15366" max="15366" width="16.25" style="612" customWidth="1"/>
    <col min="15367" max="15367" width="10.875" style="612" customWidth="1"/>
    <col min="15368" max="15616" width="9" style="612"/>
    <col min="15617" max="15617" width="19.25" style="612" customWidth="1"/>
    <col min="15618" max="15618" width="22.625" style="612" customWidth="1"/>
    <col min="15619" max="15621" width="21.75" style="612" customWidth="1"/>
    <col min="15622" max="15622" width="16.25" style="612" customWidth="1"/>
    <col min="15623" max="15623" width="10.875" style="612" customWidth="1"/>
    <col min="15624" max="15872" width="9" style="612"/>
    <col min="15873" max="15873" width="19.25" style="612" customWidth="1"/>
    <col min="15874" max="15874" width="22.625" style="612" customWidth="1"/>
    <col min="15875" max="15877" width="21.75" style="612" customWidth="1"/>
    <col min="15878" max="15878" width="16.25" style="612" customWidth="1"/>
    <col min="15879" max="15879" width="10.875" style="612" customWidth="1"/>
    <col min="15880" max="16128" width="9" style="612"/>
    <col min="16129" max="16129" width="19.25" style="612" customWidth="1"/>
    <col min="16130" max="16130" width="22.625" style="612" customWidth="1"/>
    <col min="16131" max="16133" width="21.75" style="612" customWidth="1"/>
    <col min="16134" max="16134" width="16.25" style="612" customWidth="1"/>
    <col min="16135" max="16135" width="10.875" style="612" customWidth="1"/>
    <col min="16136" max="16384" width="9" style="612"/>
  </cols>
  <sheetData>
    <row r="1" spans="1:12" s="552" customFormat="1" ht="27.75" customHeight="1">
      <c r="A1" s="550" t="s">
        <v>514</v>
      </c>
      <c r="B1" s="550"/>
      <c r="C1" s="550"/>
      <c r="D1" s="550"/>
      <c r="E1" s="550"/>
      <c r="F1" s="550"/>
      <c r="G1" s="551"/>
    </row>
    <row r="2" spans="1:12" s="557" customFormat="1" ht="22.5" customHeight="1" thickBot="1">
      <c r="A2" s="553" t="s">
        <v>515</v>
      </c>
      <c r="B2" s="553"/>
      <c r="C2" s="554"/>
      <c r="D2" s="554"/>
      <c r="E2" s="554"/>
      <c r="F2" s="555" t="s">
        <v>516</v>
      </c>
      <c r="G2" s="556"/>
    </row>
    <row r="3" spans="1:12" s="358" customFormat="1" ht="33" customHeight="1" thickBot="1">
      <c r="A3" s="3054" t="s">
        <v>517</v>
      </c>
      <c r="B3" s="3055"/>
      <c r="C3" s="558" t="s">
        <v>518</v>
      </c>
      <c r="D3" s="558" t="s">
        <v>519</v>
      </c>
      <c r="E3" s="558" t="s">
        <v>520</v>
      </c>
      <c r="F3" s="559" t="s">
        <v>129</v>
      </c>
      <c r="G3" s="560"/>
      <c r="I3" s="561"/>
      <c r="L3" s="562"/>
    </row>
    <row r="4" spans="1:12" s="495" customFormat="1" ht="21" customHeight="1">
      <c r="A4" s="563" t="s">
        <v>521</v>
      </c>
      <c r="B4" s="564"/>
      <c r="C4" s="565">
        <f>C5+C10+C13+C21+C15+C17+C19</f>
        <v>47211348</v>
      </c>
      <c r="D4" s="565">
        <f>D5+D10+D13+D21+D15+D17+D19</f>
        <v>49686584.700000003</v>
      </c>
      <c r="E4" s="565">
        <f>C4-D4</f>
        <v>-2475236.700000003</v>
      </c>
      <c r="F4" s="566"/>
      <c r="G4" s="567"/>
      <c r="L4" s="568"/>
    </row>
    <row r="5" spans="1:12" s="495" customFormat="1" ht="21" customHeight="1">
      <c r="A5" s="3056" t="s">
        <v>211</v>
      </c>
      <c r="B5" s="569" t="s">
        <v>143</v>
      </c>
      <c r="C5" s="570">
        <f>SUM(C6:C9)</f>
        <v>45601358</v>
      </c>
      <c r="D5" s="570">
        <f>SUM(D6:D9)</f>
        <v>46229778.700000003</v>
      </c>
      <c r="E5" s="571">
        <f>C5-D5</f>
        <v>-628420.70000000298</v>
      </c>
      <c r="F5" s="572"/>
      <c r="G5" s="567"/>
      <c r="L5" s="568"/>
    </row>
    <row r="6" spans="1:12" s="495" customFormat="1" ht="21" customHeight="1">
      <c r="A6" s="3052"/>
      <c r="B6" s="573" t="s">
        <v>244</v>
      </c>
      <c r="C6" s="574">
        <v>0</v>
      </c>
      <c r="D6" s="574">
        <v>0</v>
      </c>
      <c r="E6" s="575">
        <f t="shared" ref="E6:E18" si="0">C6-D6</f>
        <v>0</v>
      </c>
      <c r="F6" s="576"/>
      <c r="G6" s="567"/>
      <c r="L6" s="568"/>
    </row>
    <row r="7" spans="1:12" s="495" customFormat="1" ht="21" customHeight="1">
      <c r="A7" s="3052"/>
      <c r="B7" s="577" t="s">
        <v>246</v>
      </c>
      <c r="C7" s="578">
        <v>0</v>
      </c>
      <c r="D7" s="578">
        <v>0</v>
      </c>
      <c r="E7" s="578">
        <f t="shared" si="0"/>
        <v>0</v>
      </c>
      <c r="F7" s="579"/>
      <c r="G7" s="567"/>
      <c r="L7" s="568"/>
    </row>
    <row r="8" spans="1:12" s="495" customFormat="1" ht="21" customHeight="1">
      <c r="A8" s="3052"/>
      <c r="B8" s="577" t="s">
        <v>522</v>
      </c>
      <c r="C8" s="578">
        <v>0</v>
      </c>
      <c r="D8" s="578">
        <v>0</v>
      </c>
      <c r="E8" s="578">
        <f t="shared" si="0"/>
        <v>0</v>
      </c>
      <c r="F8" s="579"/>
      <c r="G8" s="567"/>
      <c r="J8" s="580"/>
      <c r="L8" s="568"/>
    </row>
    <row r="9" spans="1:12" s="495" customFormat="1" ht="21" customHeight="1">
      <c r="A9" s="3057"/>
      <c r="B9" s="581" t="s">
        <v>523</v>
      </c>
      <c r="C9" s="582">
        <f>'가. 수입예산 총괄표(사업수익+자본적수입)'!F9</f>
        <v>45601358</v>
      </c>
      <c r="D9" s="582">
        <f>'가. 수입예산 총괄표(사업수익+자본적수입)'!G9</f>
        <v>46229778.700000003</v>
      </c>
      <c r="E9" s="583">
        <f t="shared" si="0"/>
        <v>-628420.70000000298</v>
      </c>
      <c r="F9" s="584"/>
      <c r="G9" s="567"/>
      <c r="L9" s="568"/>
    </row>
    <row r="10" spans="1:12" s="495" customFormat="1" ht="21" customHeight="1">
      <c r="A10" s="3056" t="s">
        <v>215</v>
      </c>
      <c r="B10" s="585" t="s">
        <v>143</v>
      </c>
      <c r="C10" s="586">
        <f>SUM(C11:C12)</f>
        <v>0</v>
      </c>
      <c r="D10" s="586">
        <v>0</v>
      </c>
      <c r="E10" s="575">
        <f t="shared" si="0"/>
        <v>0</v>
      </c>
      <c r="F10" s="587"/>
      <c r="G10" s="567"/>
      <c r="L10" s="568"/>
    </row>
    <row r="11" spans="1:12" s="495" customFormat="1" ht="21" customHeight="1">
      <c r="A11" s="3052"/>
      <c r="B11" s="588" t="s">
        <v>524</v>
      </c>
      <c r="C11" s="578">
        <v>0</v>
      </c>
      <c r="D11" s="578">
        <v>0</v>
      </c>
      <c r="E11" s="578">
        <f t="shared" si="0"/>
        <v>0</v>
      </c>
      <c r="F11" s="579"/>
      <c r="G11" s="567"/>
      <c r="J11" s="589"/>
      <c r="L11" s="568"/>
    </row>
    <row r="12" spans="1:12" s="495" customFormat="1" ht="21" customHeight="1">
      <c r="A12" s="3057"/>
      <c r="B12" s="590" t="s">
        <v>525</v>
      </c>
      <c r="C12" s="582">
        <f>'가. 수입예산 총괄표(사업수익+자본적수입)'!F24</f>
        <v>0</v>
      </c>
      <c r="D12" s="582">
        <f>'가. 수입예산 총괄표(사업수익+자본적수입)'!G24</f>
        <v>0</v>
      </c>
      <c r="E12" s="583">
        <f t="shared" si="0"/>
        <v>0</v>
      </c>
      <c r="F12" s="584"/>
      <c r="G12" s="567"/>
      <c r="L12" s="568"/>
    </row>
    <row r="13" spans="1:12" s="495" customFormat="1" ht="21" customHeight="1">
      <c r="A13" s="3056" t="s">
        <v>214</v>
      </c>
      <c r="B13" s="591" t="s">
        <v>143</v>
      </c>
      <c r="C13" s="592">
        <f>C14</f>
        <v>0</v>
      </c>
      <c r="D13" s="592">
        <v>0</v>
      </c>
      <c r="E13" s="575">
        <f t="shared" si="0"/>
        <v>0</v>
      </c>
      <c r="F13" s="593"/>
      <c r="G13" s="567"/>
      <c r="L13" s="568"/>
    </row>
    <row r="14" spans="1:12" s="495" customFormat="1" ht="21" customHeight="1">
      <c r="A14" s="3052"/>
      <c r="B14" s="594" t="s">
        <v>526</v>
      </c>
      <c r="C14" s="595">
        <v>0</v>
      </c>
      <c r="D14" s="595">
        <v>0</v>
      </c>
      <c r="E14" s="582">
        <f t="shared" si="0"/>
        <v>0</v>
      </c>
      <c r="F14" s="596"/>
      <c r="G14" s="567"/>
      <c r="L14" s="568"/>
    </row>
    <row r="15" spans="1:12" s="495" customFormat="1" ht="21" customHeight="1">
      <c r="A15" s="3056" t="s">
        <v>527</v>
      </c>
      <c r="B15" s="585" t="s">
        <v>143</v>
      </c>
      <c r="C15" s="575">
        <f>C16</f>
        <v>0</v>
      </c>
      <c r="D15" s="575">
        <v>0</v>
      </c>
      <c r="E15" s="574">
        <f t="shared" si="0"/>
        <v>0</v>
      </c>
      <c r="F15" s="587"/>
      <c r="G15" s="567"/>
      <c r="L15" s="568"/>
    </row>
    <row r="16" spans="1:12" s="495" customFormat="1" ht="21" customHeight="1">
      <c r="A16" s="3057"/>
      <c r="B16" s="590" t="s">
        <v>272</v>
      </c>
      <c r="C16" s="582">
        <v>0</v>
      </c>
      <c r="D16" s="582">
        <v>0</v>
      </c>
      <c r="E16" s="583">
        <f t="shared" si="0"/>
        <v>0</v>
      </c>
      <c r="F16" s="584"/>
      <c r="G16" s="567"/>
      <c r="L16" s="568"/>
    </row>
    <row r="17" spans="1:12" s="495" customFormat="1" ht="21" customHeight="1">
      <c r="A17" s="3056" t="s">
        <v>528</v>
      </c>
      <c r="B17" s="585" t="s">
        <v>529</v>
      </c>
      <c r="C17" s="597">
        <f>C18</f>
        <v>1109990</v>
      </c>
      <c r="D17" s="597">
        <f>D18</f>
        <v>2956806</v>
      </c>
      <c r="E17" s="575">
        <f t="shared" si="0"/>
        <v>-1846816</v>
      </c>
      <c r="F17" s="598"/>
      <c r="G17" s="567"/>
      <c r="L17" s="568"/>
    </row>
    <row r="18" spans="1:12" s="495" customFormat="1" ht="21" customHeight="1">
      <c r="A18" s="3052"/>
      <c r="B18" s="599" t="s">
        <v>217</v>
      </c>
      <c r="C18" s="595">
        <f>'3-2.자본예산총괄표'!C17</f>
        <v>1109990</v>
      </c>
      <c r="D18" s="595">
        <f>'가. 수입예산 총괄표(사업수익+자본적수입)'!G29</f>
        <v>2956806</v>
      </c>
      <c r="E18" s="595">
        <f t="shared" si="0"/>
        <v>-1846816</v>
      </c>
      <c r="F18" s="596"/>
      <c r="G18" s="567"/>
      <c r="L18" s="568"/>
    </row>
    <row r="19" spans="1:12" s="495" customFormat="1" ht="21" customHeight="1">
      <c r="A19" s="3050" t="s">
        <v>219</v>
      </c>
      <c r="B19" s="591" t="s">
        <v>143</v>
      </c>
      <c r="C19" s="574">
        <f>C20</f>
        <v>500000</v>
      </c>
      <c r="D19" s="574">
        <f>D20</f>
        <v>500000</v>
      </c>
      <c r="E19" s="574">
        <f>E20</f>
        <v>0</v>
      </c>
      <c r="F19" s="576"/>
      <c r="G19" s="567"/>
      <c r="L19" s="568"/>
    </row>
    <row r="20" spans="1:12" s="495" customFormat="1" ht="21" customHeight="1" thickBot="1">
      <c r="A20" s="3051"/>
      <c r="B20" s="600" t="s">
        <v>218</v>
      </c>
      <c r="C20" s="601">
        <v>500000</v>
      </c>
      <c r="D20" s="601">
        <v>500000</v>
      </c>
      <c r="E20" s="601">
        <f>C20-D20</f>
        <v>0</v>
      </c>
      <c r="F20" s="602"/>
      <c r="G20" s="567"/>
      <c r="I20" s="589"/>
    </row>
    <row r="21" spans="1:12" s="495" customFormat="1" ht="21" customHeight="1">
      <c r="A21" s="3052" t="s">
        <v>530</v>
      </c>
      <c r="B21" s="603" t="s">
        <v>143</v>
      </c>
      <c r="C21" s="604">
        <f>C22</f>
        <v>0</v>
      </c>
      <c r="D21" s="605">
        <v>0</v>
      </c>
      <c r="E21" s="606">
        <f>C21-D21</f>
        <v>0</v>
      </c>
      <c r="F21" s="607"/>
      <c r="G21" s="567"/>
    </row>
    <row r="22" spans="1:12" s="494" customFormat="1" ht="21" customHeight="1" thickBot="1">
      <c r="A22" s="3053"/>
      <c r="B22" s="608" t="s">
        <v>531</v>
      </c>
      <c r="C22" s="609">
        <v>0</v>
      </c>
      <c r="D22" s="609">
        <v>0</v>
      </c>
      <c r="E22" s="610">
        <f>C22-D22</f>
        <v>0</v>
      </c>
      <c r="F22" s="611"/>
      <c r="G22" s="321"/>
    </row>
  </sheetData>
  <mergeCells count="8">
    <mergeCell ref="A19:A20"/>
    <mergeCell ref="A21:A22"/>
    <mergeCell ref="A3:B3"/>
    <mergeCell ref="A5:A9"/>
    <mergeCell ref="A10:A12"/>
    <mergeCell ref="A13:A14"/>
    <mergeCell ref="A15:A16"/>
    <mergeCell ref="A17:A18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94" orientation="landscape" useFirstPageNumber="1" r:id="rId1"/>
  <headerFooter alignWithMargins="0">
    <oddHeader xml:space="preserve">&amp;L&amp;"돋움,굵게"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6"/>
  <sheetViews>
    <sheetView showWhiteSpace="0" zoomScaleNormal="100" workbookViewId="0">
      <selection activeCell="J20" sqref="J20"/>
    </sheetView>
  </sheetViews>
  <sheetFormatPr defaultRowHeight="13.5"/>
  <cols>
    <col min="1" max="1" width="8" style="98" customWidth="1"/>
    <col min="2" max="2" width="14.875" style="98" customWidth="1"/>
    <col min="3" max="3" width="12.75" style="98" customWidth="1"/>
    <col min="4" max="7" width="9" style="98"/>
    <col min="8" max="8" width="9.625" style="98" customWidth="1"/>
    <col min="9" max="9" width="6.625" style="98" customWidth="1"/>
    <col min="10" max="256" width="9" style="98"/>
    <col min="257" max="257" width="8" style="98" customWidth="1"/>
    <col min="258" max="258" width="14.875" style="98" customWidth="1"/>
    <col min="259" max="259" width="12.75" style="98" customWidth="1"/>
    <col min="260" max="263" width="9" style="98"/>
    <col min="264" max="264" width="9.625" style="98" customWidth="1"/>
    <col min="265" max="265" width="6.625" style="98" customWidth="1"/>
    <col min="266" max="512" width="9" style="98"/>
    <col min="513" max="513" width="8" style="98" customWidth="1"/>
    <col min="514" max="514" width="14.875" style="98" customWidth="1"/>
    <col min="515" max="515" width="12.75" style="98" customWidth="1"/>
    <col min="516" max="519" width="9" style="98"/>
    <col min="520" max="520" width="9.625" style="98" customWidth="1"/>
    <col min="521" max="521" width="6.625" style="98" customWidth="1"/>
    <col min="522" max="768" width="9" style="98"/>
    <col min="769" max="769" width="8" style="98" customWidth="1"/>
    <col min="770" max="770" width="14.875" style="98" customWidth="1"/>
    <col min="771" max="771" width="12.75" style="98" customWidth="1"/>
    <col min="772" max="775" width="9" style="98"/>
    <col min="776" max="776" width="9.625" style="98" customWidth="1"/>
    <col min="777" max="777" width="6.625" style="98" customWidth="1"/>
    <col min="778" max="1024" width="9" style="98"/>
    <col min="1025" max="1025" width="8" style="98" customWidth="1"/>
    <col min="1026" max="1026" width="14.875" style="98" customWidth="1"/>
    <col min="1027" max="1027" width="12.75" style="98" customWidth="1"/>
    <col min="1028" max="1031" width="9" style="98"/>
    <col min="1032" max="1032" width="9.625" style="98" customWidth="1"/>
    <col min="1033" max="1033" width="6.625" style="98" customWidth="1"/>
    <col min="1034" max="1280" width="9" style="98"/>
    <col min="1281" max="1281" width="8" style="98" customWidth="1"/>
    <col min="1282" max="1282" width="14.875" style="98" customWidth="1"/>
    <col min="1283" max="1283" width="12.75" style="98" customWidth="1"/>
    <col min="1284" max="1287" width="9" style="98"/>
    <col min="1288" max="1288" width="9.625" style="98" customWidth="1"/>
    <col min="1289" max="1289" width="6.625" style="98" customWidth="1"/>
    <col min="1290" max="1536" width="9" style="98"/>
    <col min="1537" max="1537" width="8" style="98" customWidth="1"/>
    <col min="1538" max="1538" width="14.875" style="98" customWidth="1"/>
    <col min="1539" max="1539" width="12.75" style="98" customWidth="1"/>
    <col min="1540" max="1543" width="9" style="98"/>
    <col min="1544" max="1544" width="9.625" style="98" customWidth="1"/>
    <col min="1545" max="1545" width="6.625" style="98" customWidth="1"/>
    <col min="1546" max="1792" width="9" style="98"/>
    <col min="1793" max="1793" width="8" style="98" customWidth="1"/>
    <col min="1794" max="1794" width="14.875" style="98" customWidth="1"/>
    <col min="1795" max="1795" width="12.75" style="98" customWidth="1"/>
    <col min="1796" max="1799" width="9" style="98"/>
    <col min="1800" max="1800" width="9.625" style="98" customWidth="1"/>
    <col min="1801" max="1801" width="6.625" style="98" customWidth="1"/>
    <col min="1802" max="2048" width="9" style="98"/>
    <col min="2049" max="2049" width="8" style="98" customWidth="1"/>
    <col min="2050" max="2050" width="14.875" style="98" customWidth="1"/>
    <col min="2051" max="2051" width="12.75" style="98" customWidth="1"/>
    <col min="2052" max="2055" width="9" style="98"/>
    <col min="2056" max="2056" width="9.625" style="98" customWidth="1"/>
    <col min="2057" max="2057" width="6.625" style="98" customWidth="1"/>
    <col min="2058" max="2304" width="9" style="98"/>
    <col min="2305" max="2305" width="8" style="98" customWidth="1"/>
    <col min="2306" max="2306" width="14.875" style="98" customWidth="1"/>
    <col min="2307" max="2307" width="12.75" style="98" customWidth="1"/>
    <col min="2308" max="2311" width="9" style="98"/>
    <col min="2312" max="2312" width="9.625" style="98" customWidth="1"/>
    <col min="2313" max="2313" width="6.625" style="98" customWidth="1"/>
    <col min="2314" max="2560" width="9" style="98"/>
    <col min="2561" max="2561" width="8" style="98" customWidth="1"/>
    <col min="2562" max="2562" width="14.875" style="98" customWidth="1"/>
    <col min="2563" max="2563" width="12.75" style="98" customWidth="1"/>
    <col min="2564" max="2567" width="9" style="98"/>
    <col min="2568" max="2568" width="9.625" style="98" customWidth="1"/>
    <col min="2569" max="2569" width="6.625" style="98" customWidth="1"/>
    <col min="2570" max="2816" width="9" style="98"/>
    <col min="2817" max="2817" width="8" style="98" customWidth="1"/>
    <col min="2818" max="2818" width="14.875" style="98" customWidth="1"/>
    <col min="2819" max="2819" width="12.75" style="98" customWidth="1"/>
    <col min="2820" max="2823" width="9" style="98"/>
    <col min="2824" max="2824" width="9.625" style="98" customWidth="1"/>
    <col min="2825" max="2825" width="6.625" style="98" customWidth="1"/>
    <col min="2826" max="3072" width="9" style="98"/>
    <col min="3073" max="3073" width="8" style="98" customWidth="1"/>
    <col min="3074" max="3074" width="14.875" style="98" customWidth="1"/>
    <col min="3075" max="3075" width="12.75" style="98" customWidth="1"/>
    <col min="3076" max="3079" width="9" style="98"/>
    <col min="3080" max="3080" width="9.625" style="98" customWidth="1"/>
    <col min="3081" max="3081" width="6.625" style="98" customWidth="1"/>
    <col min="3082" max="3328" width="9" style="98"/>
    <col min="3329" max="3329" width="8" style="98" customWidth="1"/>
    <col min="3330" max="3330" width="14.875" style="98" customWidth="1"/>
    <col min="3331" max="3331" width="12.75" style="98" customWidth="1"/>
    <col min="3332" max="3335" width="9" style="98"/>
    <col min="3336" max="3336" width="9.625" style="98" customWidth="1"/>
    <col min="3337" max="3337" width="6.625" style="98" customWidth="1"/>
    <col min="3338" max="3584" width="9" style="98"/>
    <col min="3585" max="3585" width="8" style="98" customWidth="1"/>
    <col min="3586" max="3586" width="14.875" style="98" customWidth="1"/>
    <col min="3587" max="3587" width="12.75" style="98" customWidth="1"/>
    <col min="3588" max="3591" width="9" style="98"/>
    <col min="3592" max="3592" width="9.625" style="98" customWidth="1"/>
    <col min="3593" max="3593" width="6.625" style="98" customWidth="1"/>
    <col min="3594" max="3840" width="9" style="98"/>
    <col min="3841" max="3841" width="8" style="98" customWidth="1"/>
    <col min="3842" max="3842" width="14.875" style="98" customWidth="1"/>
    <col min="3843" max="3843" width="12.75" style="98" customWidth="1"/>
    <col min="3844" max="3847" width="9" style="98"/>
    <col min="3848" max="3848" width="9.625" style="98" customWidth="1"/>
    <col min="3849" max="3849" width="6.625" style="98" customWidth="1"/>
    <col min="3850" max="4096" width="9" style="98"/>
    <col min="4097" max="4097" width="8" style="98" customWidth="1"/>
    <col min="4098" max="4098" width="14.875" style="98" customWidth="1"/>
    <col min="4099" max="4099" width="12.75" style="98" customWidth="1"/>
    <col min="4100" max="4103" width="9" style="98"/>
    <col min="4104" max="4104" width="9.625" style="98" customWidth="1"/>
    <col min="4105" max="4105" width="6.625" style="98" customWidth="1"/>
    <col min="4106" max="4352" width="9" style="98"/>
    <col min="4353" max="4353" width="8" style="98" customWidth="1"/>
    <col min="4354" max="4354" width="14.875" style="98" customWidth="1"/>
    <col min="4355" max="4355" width="12.75" style="98" customWidth="1"/>
    <col min="4356" max="4359" width="9" style="98"/>
    <col min="4360" max="4360" width="9.625" style="98" customWidth="1"/>
    <col min="4361" max="4361" width="6.625" style="98" customWidth="1"/>
    <col min="4362" max="4608" width="9" style="98"/>
    <col min="4609" max="4609" width="8" style="98" customWidth="1"/>
    <col min="4610" max="4610" width="14.875" style="98" customWidth="1"/>
    <col min="4611" max="4611" width="12.75" style="98" customWidth="1"/>
    <col min="4612" max="4615" width="9" style="98"/>
    <col min="4616" max="4616" width="9.625" style="98" customWidth="1"/>
    <col min="4617" max="4617" width="6.625" style="98" customWidth="1"/>
    <col min="4618" max="4864" width="9" style="98"/>
    <col min="4865" max="4865" width="8" style="98" customWidth="1"/>
    <col min="4866" max="4866" width="14.875" style="98" customWidth="1"/>
    <col min="4867" max="4867" width="12.75" style="98" customWidth="1"/>
    <col min="4868" max="4871" width="9" style="98"/>
    <col min="4872" max="4872" width="9.625" style="98" customWidth="1"/>
    <col min="4873" max="4873" width="6.625" style="98" customWidth="1"/>
    <col min="4874" max="5120" width="9" style="98"/>
    <col min="5121" max="5121" width="8" style="98" customWidth="1"/>
    <col min="5122" max="5122" width="14.875" style="98" customWidth="1"/>
    <col min="5123" max="5123" width="12.75" style="98" customWidth="1"/>
    <col min="5124" max="5127" width="9" style="98"/>
    <col min="5128" max="5128" width="9.625" style="98" customWidth="1"/>
    <col min="5129" max="5129" width="6.625" style="98" customWidth="1"/>
    <col min="5130" max="5376" width="9" style="98"/>
    <col min="5377" max="5377" width="8" style="98" customWidth="1"/>
    <col min="5378" max="5378" width="14.875" style="98" customWidth="1"/>
    <col min="5379" max="5379" width="12.75" style="98" customWidth="1"/>
    <col min="5380" max="5383" width="9" style="98"/>
    <col min="5384" max="5384" width="9.625" style="98" customWidth="1"/>
    <col min="5385" max="5385" width="6.625" style="98" customWidth="1"/>
    <col min="5386" max="5632" width="9" style="98"/>
    <col min="5633" max="5633" width="8" style="98" customWidth="1"/>
    <col min="5634" max="5634" width="14.875" style="98" customWidth="1"/>
    <col min="5635" max="5635" width="12.75" style="98" customWidth="1"/>
    <col min="5636" max="5639" width="9" style="98"/>
    <col min="5640" max="5640" width="9.625" style="98" customWidth="1"/>
    <col min="5641" max="5641" width="6.625" style="98" customWidth="1"/>
    <col min="5642" max="5888" width="9" style="98"/>
    <col min="5889" max="5889" width="8" style="98" customWidth="1"/>
    <col min="5890" max="5890" width="14.875" style="98" customWidth="1"/>
    <col min="5891" max="5891" width="12.75" style="98" customWidth="1"/>
    <col min="5892" max="5895" width="9" style="98"/>
    <col min="5896" max="5896" width="9.625" style="98" customWidth="1"/>
    <col min="5897" max="5897" width="6.625" style="98" customWidth="1"/>
    <col min="5898" max="6144" width="9" style="98"/>
    <col min="6145" max="6145" width="8" style="98" customWidth="1"/>
    <col min="6146" max="6146" width="14.875" style="98" customWidth="1"/>
    <col min="6147" max="6147" width="12.75" style="98" customWidth="1"/>
    <col min="6148" max="6151" width="9" style="98"/>
    <col min="6152" max="6152" width="9.625" style="98" customWidth="1"/>
    <col min="6153" max="6153" width="6.625" style="98" customWidth="1"/>
    <col min="6154" max="6400" width="9" style="98"/>
    <col min="6401" max="6401" width="8" style="98" customWidth="1"/>
    <col min="6402" max="6402" width="14.875" style="98" customWidth="1"/>
    <col min="6403" max="6403" width="12.75" style="98" customWidth="1"/>
    <col min="6404" max="6407" width="9" style="98"/>
    <col min="6408" max="6408" width="9.625" style="98" customWidth="1"/>
    <col min="6409" max="6409" width="6.625" style="98" customWidth="1"/>
    <col min="6410" max="6656" width="9" style="98"/>
    <col min="6657" max="6657" width="8" style="98" customWidth="1"/>
    <col min="6658" max="6658" width="14.875" style="98" customWidth="1"/>
    <col min="6659" max="6659" width="12.75" style="98" customWidth="1"/>
    <col min="6660" max="6663" width="9" style="98"/>
    <col min="6664" max="6664" width="9.625" style="98" customWidth="1"/>
    <col min="6665" max="6665" width="6.625" style="98" customWidth="1"/>
    <col min="6666" max="6912" width="9" style="98"/>
    <col min="6913" max="6913" width="8" style="98" customWidth="1"/>
    <col min="6914" max="6914" width="14.875" style="98" customWidth="1"/>
    <col min="6915" max="6915" width="12.75" style="98" customWidth="1"/>
    <col min="6916" max="6919" width="9" style="98"/>
    <col min="6920" max="6920" width="9.625" style="98" customWidth="1"/>
    <col min="6921" max="6921" width="6.625" style="98" customWidth="1"/>
    <col min="6922" max="7168" width="9" style="98"/>
    <col min="7169" max="7169" width="8" style="98" customWidth="1"/>
    <col min="7170" max="7170" width="14.875" style="98" customWidth="1"/>
    <col min="7171" max="7171" width="12.75" style="98" customWidth="1"/>
    <col min="7172" max="7175" width="9" style="98"/>
    <col min="7176" max="7176" width="9.625" style="98" customWidth="1"/>
    <col min="7177" max="7177" width="6.625" style="98" customWidth="1"/>
    <col min="7178" max="7424" width="9" style="98"/>
    <col min="7425" max="7425" width="8" style="98" customWidth="1"/>
    <col min="7426" max="7426" width="14.875" style="98" customWidth="1"/>
    <col min="7427" max="7427" width="12.75" style="98" customWidth="1"/>
    <col min="7428" max="7431" width="9" style="98"/>
    <col min="7432" max="7432" width="9.625" style="98" customWidth="1"/>
    <col min="7433" max="7433" width="6.625" style="98" customWidth="1"/>
    <col min="7434" max="7680" width="9" style="98"/>
    <col min="7681" max="7681" width="8" style="98" customWidth="1"/>
    <col min="7682" max="7682" width="14.875" style="98" customWidth="1"/>
    <col min="7683" max="7683" width="12.75" style="98" customWidth="1"/>
    <col min="7684" max="7687" width="9" style="98"/>
    <col min="7688" max="7688" width="9.625" style="98" customWidth="1"/>
    <col min="7689" max="7689" width="6.625" style="98" customWidth="1"/>
    <col min="7690" max="7936" width="9" style="98"/>
    <col min="7937" max="7937" width="8" style="98" customWidth="1"/>
    <col min="7938" max="7938" width="14.875" style="98" customWidth="1"/>
    <col min="7939" max="7939" width="12.75" style="98" customWidth="1"/>
    <col min="7940" max="7943" width="9" style="98"/>
    <col min="7944" max="7944" width="9.625" style="98" customWidth="1"/>
    <col min="7945" max="7945" width="6.625" style="98" customWidth="1"/>
    <col min="7946" max="8192" width="9" style="98"/>
    <col min="8193" max="8193" width="8" style="98" customWidth="1"/>
    <col min="8194" max="8194" width="14.875" style="98" customWidth="1"/>
    <col min="8195" max="8195" width="12.75" style="98" customWidth="1"/>
    <col min="8196" max="8199" width="9" style="98"/>
    <col min="8200" max="8200" width="9.625" style="98" customWidth="1"/>
    <col min="8201" max="8201" width="6.625" style="98" customWidth="1"/>
    <col min="8202" max="8448" width="9" style="98"/>
    <col min="8449" max="8449" width="8" style="98" customWidth="1"/>
    <col min="8450" max="8450" width="14.875" style="98" customWidth="1"/>
    <col min="8451" max="8451" width="12.75" style="98" customWidth="1"/>
    <col min="8452" max="8455" width="9" style="98"/>
    <col min="8456" max="8456" width="9.625" style="98" customWidth="1"/>
    <col min="8457" max="8457" width="6.625" style="98" customWidth="1"/>
    <col min="8458" max="8704" width="9" style="98"/>
    <col min="8705" max="8705" width="8" style="98" customWidth="1"/>
    <col min="8706" max="8706" width="14.875" style="98" customWidth="1"/>
    <col min="8707" max="8707" width="12.75" style="98" customWidth="1"/>
    <col min="8708" max="8711" width="9" style="98"/>
    <col min="8712" max="8712" width="9.625" style="98" customWidth="1"/>
    <col min="8713" max="8713" width="6.625" style="98" customWidth="1"/>
    <col min="8714" max="8960" width="9" style="98"/>
    <col min="8961" max="8961" width="8" style="98" customWidth="1"/>
    <col min="8962" max="8962" width="14.875" style="98" customWidth="1"/>
    <col min="8963" max="8963" width="12.75" style="98" customWidth="1"/>
    <col min="8964" max="8967" width="9" style="98"/>
    <col min="8968" max="8968" width="9.625" style="98" customWidth="1"/>
    <col min="8969" max="8969" width="6.625" style="98" customWidth="1"/>
    <col min="8970" max="9216" width="9" style="98"/>
    <col min="9217" max="9217" width="8" style="98" customWidth="1"/>
    <col min="9218" max="9218" width="14.875" style="98" customWidth="1"/>
    <col min="9219" max="9219" width="12.75" style="98" customWidth="1"/>
    <col min="9220" max="9223" width="9" style="98"/>
    <col min="9224" max="9224" width="9.625" style="98" customWidth="1"/>
    <col min="9225" max="9225" width="6.625" style="98" customWidth="1"/>
    <col min="9226" max="9472" width="9" style="98"/>
    <col min="9473" max="9473" width="8" style="98" customWidth="1"/>
    <col min="9474" max="9474" width="14.875" style="98" customWidth="1"/>
    <col min="9475" max="9475" width="12.75" style="98" customWidth="1"/>
    <col min="9476" max="9479" width="9" style="98"/>
    <col min="9480" max="9480" width="9.625" style="98" customWidth="1"/>
    <col min="9481" max="9481" width="6.625" style="98" customWidth="1"/>
    <col min="9482" max="9728" width="9" style="98"/>
    <col min="9729" max="9729" width="8" style="98" customWidth="1"/>
    <col min="9730" max="9730" width="14.875" style="98" customWidth="1"/>
    <col min="9731" max="9731" width="12.75" style="98" customWidth="1"/>
    <col min="9732" max="9735" width="9" style="98"/>
    <col min="9736" max="9736" width="9.625" style="98" customWidth="1"/>
    <col min="9737" max="9737" width="6.625" style="98" customWidth="1"/>
    <col min="9738" max="9984" width="9" style="98"/>
    <col min="9985" max="9985" width="8" style="98" customWidth="1"/>
    <col min="9986" max="9986" width="14.875" style="98" customWidth="1"/>
    <col min="9987" max="9987" width="12.75" style="98" customWidth="1"/>
    <col min="9988" max="9991" width="9" style="98"/>
    <col min="9992" max="9992" width="9.625" style="98" customWidth="1"/>
    <col min="9993" max="9993" width="6.625" style="98" customWidth="1"/>
    <col min="9994" max="10240" width="9" style="98"/>
    <col min="10241" max="10241" width="8" style="98" customWidth="1"/>
    <col min="10242" max="10242" width="14.875" style="98" customWidth="1"/>
    <col min="10243" max="10243" width="12.75" style="98" customWidth="1"/>
    <col min="10244" max="10247" width="9" style="98"/>
    <col min="10248" max="10248" width="9.625" style="98" customWidth="1"/>
    <col min="10249" max="10249" width="6.625" style="98" customWidth="1"/>
    <col min="10250" max="10496" width="9" style="98"/>
    <col min="10497" max="10497" width="8" style="98" customWidth="1"/>
    <col min="10498" max="10498" width="14.875" style="98" customWidth="1"/>
    <col min="10499" max="10499" width="12.75" style="98" customWidth="1"/>
    <col min="10500" max="10503" width="9" style="98"/>
    <col min="10504" max="10504" width="9.625" style="98" customWidth="1"/>
    <col min="10505" max="10505" width="6.625" style="98" customWidth="1"/>
    <col min="10506" max="10752" width="9" style="98"/>
    <col min="10753" max="10753" width="8" style="98" customWidth="1"/>
    <col min="10754" max="10754" width="14.875" style="98" customWidth="1"/>
    <col min="10755" max="10755" width="12.75" style="98" customWidth="1"/>
    <col min="10756" max="10759" width="9" style="98"/>
    <col min="10760" max="10760" width="9.625" style="98" customWidth="1"/>
    <col min="10761" max="10761" width="6.625" style="98" customWidth="1"/>
    <col min="10762" max="11008" width="9" style="98"/>
    <col min="11009" max="11009" width="8" style="98" customWidth="1"/>
    <col min="11010" max="11010" width="14.875" style="98" customWidth="1"/>
    <col min="11011" max="11011" width="12.75" style="98" customWidth="1"/>
    <col min="11012" max="11015" width="9" style="98"/>
    <col min="11016" max="11016" width="9.625" style="98" customWidth="1"/>
    <col min="11017" max="11017" width="6.625" style="98" customWidth="1"/>
    <col min="11018" max="11264" width="9" style="98"/>
    <col min="11265" max="11265" width="8" style="98" customWidth="1"/>
    <col min="11266" max="11266" width="14.875" style="98" customWidth="1"/>
    <col min="11267" max="11267" width="12.75" style="98" customWidth="1"/>
    <col min="11268" max="11271" width="9" style="98"/>
    <col min="11272" max="11272" width="9.625" style="98" customWidth="1"/>
    <col min="11273" max="11273" width="6.625" style="98" customWidth="1"/>
    <col min="11274" max="11520" width="9" style="98"/>
    <col min="11521" max="11521" width="8" style="98" customWidth="1"/>
    <col min="11522" max="11522" width="14.875" style="98" customWidth="1"/>
    <col min="11523" max="11523" width="12.75" style="98" customWidth="1"/>
    <col min="11524" max="11527" width="9" style="98"/>
    <col min="11528" max="11528" width="9.625" style="98" customWidth="1"/>
    <col min="11529" max="11529" width="6.625" style="98" customWidth="1"/>
    <col min="11530" max="11776" width="9" style="98"/>
    <col min="11777" max="11777" width="8" style="98" customWidth="1"/>
    <col min="11778" max="11778" width="14.875" style="98" customWidth="1"/>
    <col min="11779" max="11779" width="12.75" style="98" customWidth="1"/>
    <col min="11780" max="11783" width="9" style="98"/>
    <col min="11784" max="11784" width="9.625" style="98" customWidth="1"/>
    <col min="11785" max="11785" width="6.625" style="98" customWidth="1"/>
    <col min="11786" max="12032" width="9" style="98"/>
    <col min="12033" max="12033" width="8" style="98" customWidth="1"/>
    <col min="12034" max="12034" width="14.875" style="98" customWidth="1"/>
    <col min="12035" max="12035" width="12.75" style="98" customWidth="1"/>
    <col min="12036" max="12039" width="9" style="98"/>
    <col min="12040" max="12040" width="9.625" style="98" customWidth="1"/>
    <col min="12041" max="12041" width="6.625" style="98" customWidth="1"/>
    <col min="12042" max="12288" width="9" style="98"/>
    <col min="12289" max="12289" width="8" style="98" customWidth="1"/>
    <col min="12290" max="12290" width="14.875" style="98" customWidth="1"/>
    <col min="12291" max="12291" width="12.75" style="98" customWidth="1"/>
    <col min="12292" max="12295" width="9" style="98"/>
    <col min="12296" max="12296" width="9.625" style="98" customWidth="1"/>
    <col min="12297" max="12297" width="6.625" style="98" customWidth="1"/>
    <col min="12298" max="12544" width="9" style="98"/>
    <col min="12545" max="12545" width="8" style="98" customWidth="1"/>
    <col min="12546" max="12546" width="14.875" style="98" customWidth="1"/>
    <col min="12547" max="12547" width="12.75" style="98" customWidth="1"/>
    <col min="12548" max="12551" width="9" style="98"/>
    <col min="12552" max="12552" width="9.625" style="98" customWidth="1"/>
    <col min="12553" max="12553" width="6.625" style="98" customWidth="1"/>
    <col min="12554" max="12800" width="9" style="98"/>
    <col min="12801" max="12801" width="8" style="98" customWidth="1"/>
    <col min="12802" max="12802" width="14.875" style="98" customWidth="1"/>
    <col min="12803" max="12803" width="12.75" style="98" customWidth="1"/>
    <col min="12804" max="12807" width="9" style="98"/>
    <col min="12808" max="12808" width="9.625" style="98" customWidth="1"/>
    <col min="12809" max="12809" width="6.625" style="98" customWidth="1"/>
    <col min="12810" max="13056" width="9" style="98"/>
    <col min="13057" max="13057" width="8" style="98" customWidth="1"/>
    <col min="13058" max="13058" width="14.875" style="98" customWidth="1"/>
    <col min="13059" max="13059" width="12.75" style="98" customWidth="1"/>
    <col min="13060" max="13063" width="9" style="98"/>
    <col min="13064" max="13064" width="9.625" style="98" customWidth="1"/>
    <col min="13065" max="13065" width="6.625" style="98" customWidth="1"/>
    <col min="13066" max="13312" width="9" style="98"/>
    <col min="13313" max="13313" width="8" style="98" customWidth="1"/>
    <col min="13314" max="13314" width="14.875" style="98" customWidth="1"/>
    <col min="13315" max="13315" width="12.75" style="98" customWidth="1"/>
    <col min="13316" max="13319" width="9" style="98"/>
    <col min="13320" max="13320" width="9.625" style="98" customWidth="1"/>
    <col min="13321" max="13321" width="6.625" style="98" customWidth="1"/>
    <col min="13322" max="13568" width="9" style="98"/>
    <col min="13569" max="13569" width="8" style="98" customWidth="1"/>
    <col min="13570" max="13570" width="14.875" style="98" customWidth="1"/>
    <col min="13571" max="13571" width="12.75" style="98" customWidth="1"/>
    <col min="13572" max="13575" width="9" style="98"/>
    <col min="13576" max="13576" width="9.625" style="98" customWidth="1"/>
    <col min="13577" max="13577" width="6.625" style="98" customWidth="1"/>
    <col min="13578" max="13824" width="9" style="98"/>
    <col min="13825" max="13825" width="8" style="98" customWidth="1"/>
    <col min="13826" max="13826" width="14.875" style="98" customWidth="1"/>
    <col min="13827" max="13827" width="12.75" style="98" customWidth="1"/>
    <col min="13828" max="13831" width="9" style="98"/>
    <col min="13832" max="13832" width="9.625" style="98" customWidth="1"/>
    <col min="13833" max="13833" width="6.625" style="98" customWidth="1"/>
    <col min="13834" max="14080" width="9" style="98"/>
    <col min="14081" max="14081" width="8" style="98" customWidth="1"/>
    <col min="14082" max="14082" width="14.875" style="98" customWidth="1"/>
    <col min="14083" max="14083" width="12.75" style="98" customWidth="1"/>
    <col min="14084" max="14087" width="9" style="98"/>
    <col min="14088" max="14088" width="9.625" style="98" customWidth="1"/>
    <col min="14089" max="14089" width="6.625" style="98" customWidth="1"/>
    <col min="14090" max="14336" width="9" style="98"/>
    <col min="14337" max="14337" width="8" style="98" customWidth="1"/>
    <col min="14338" max="14338" width="14.875" style="98" customWidth="1"/>
    <col min="14339" max="14339" width="12.75" style="98" customWidth="1"/>
    <col min="14340" max="14343" width="9" style="98"/>
    <col min="14344" max="14344" width="9.625" style="98" customWidth="1"/>
    <col min="14345" max="14345" width="6.625" style="98" customWidth="1"/>
    <col min="14346" max="14592" width="9" style="98"/>
    <col min="14593" max="14593" width="8" style="98" customWidth="1"/>
    <col min="14594" max="14594" width="14.875" style="98" customWidth="1"/>
    <col min="14595" max="14595" width="12.75" style="98" customWidth="1"/>
    <col min="14596" max="14599" width="9" style="98"/>
    <col min="14600" max="14600" width="9.625" style="98" customWidth="1"/>
    <col min="14601" max="14601" width="6.625" style="98" customWidth="1"/>
    <col min="14602" max="14848" width="9" style="98"/>
    <col min="14849" max="14849" width="8" style="98" customWidth="1"/>
    <col min="14850" max="14850" width="14.875" style="98" customWidth="1"/>
    <col min="14851" max="14851" width="12.75" style="98" customWidth="1"/>
    <col min="14852" max="14855" width="9" style="98"/>
    <col min="14856" max="14856" width="9.625" style="98" customWidth="1"/>
    <col min="14857" max="14857" width="6.625" style="98" customWidth="1"/>
    <col min="14858" max="15104" width="9" style="98"/>
    <col min="15105" max="15105" width="8" style="98" customWidth="1"/>
    <col min="15106" max="15106" width="14.875" style="98" customWidth="1"/>
    <col min="15107" max="15107" width="12.75" style="98" customWidth="1"/>
    <col min="15108" max="15111" width="9" style="98"/>
    <col min="15112" max="15112" width="9.625" style="98" customWidth="1"/>
    <col min="15113" max="15113" width="6.625" style="98" customWidth="1"/>
    <col min="15114" max="15360" width="9" style="98"/>
    <col min="15361" max="15361" width="8" style="98" customWidth="1"/>
    <col min="15362" max="15362" width="14.875" style="98" customWidth="1"/>
    <col min="15363" max="15363" width="12.75" style="98" customWidth="1"/>
    <col min="15364" max="15367" width="9" style="98"/>
    <col min="15368" max="15368" width="9.625" style="98" customWidth="1"/>
    <col min="15369" max="15369" width="6.625" style="98" customWidth="1"/>
    <col min="15370" max="15616" width="9" style="98"/>
    <col min="15617" max="15617" width="8" style="98" customWidth="1"/>
    <col min="15618" max="15618" width="14.875" style="98" customWidth="1"/>
    <col min="15619" max="15619" width="12.75" style="98" customWidth="1"/>
    <col min="15620" max="15623" width="9" style="98"/>
    <col min="15624" max="15624" width="9.625" style="98" customWidth="1"/>
    <col min="15625" max="15625" width="6.625" style="98" customWidth="1"/>
    <col min="15626" max="15872" width="9" style="98"/>
    <col min="15873" max="15873" width="8" style="98" customWidth="1"/>
    <col min="15874" max="15874" width="14.875" style="98" customWidth="1"/>
    <col min="15875" max="15875" width="12.75" style="98" customWidth="1"/>
    <col min="15876" max="15879" width="9" style="98"/>
    <col min="15880" max="15880" width="9.625" style="98" customWidth="1"/>
    <col min="15881" max="15881" width="6.625" style="98" customWidth="1"/>
    <col min="15882" max="16128" width="9" style="98"/>
    <col min="16129" max="16129" width="8" style="98" customWidth="1"/>
    <col min="16130" max="16130" width="14.875" style="98" customWidth="1"/>
    <col min="16131" max="16131" width="12.75" style="98" customWidth="1"/>
    <col min="16132" max="16135" width="9" style="98"/>
    <col min="16136" max="16136" width="9.625" style="98" customWidth="1"/>
    <col min="16137" max="16137" width="6.625" style="98" customWidth="1"/>
    <col min="16138" max="16384" width="9" style="98"/>
  </cols>
  <sheetData>
    <row r="1" spans="1:12" ht="52.5" customHeight="1">
      <c r="A1" s="2807" t="s">
        <v>114</v>
      </c>
      <c r="B1" s="2807"/>
      <c r="C1" s="2807"/>
      <c r="D1" s="2807"/>
      <c r="E1" s="2807"/>
      <c r="F1" s="2807"/>
      <c r="G1" s="2807"/>
      <c r="H1" s="2807"/>
      <c r="I1" s="2807"/>
      <c r="J1" s="2807"/>
      <c r="K1" s="2807"/>
      <c r="L1" s="2807"/>
    </row>
    <row r="2" spans="1:12" ht="32.25" customHeight="1">
      <c r="A2" s="97"/>
      <c r="B2" s="97"/>
      <c r="C2" s="99"/>
      <c r="D2" s="2808" t="s">
        <v>115</v>
      </c>
      <c r="E2" s="2808"/>
      <c r="F2" s="2808"/>
      <c r="G2" s="2808"/>
      <c r="H2" s="2808"/>
      <c r="I2" s="100">
        <v>1</v>
      </c>
      <c r="J2" s="99"/>
    </row>
    <row r="3" spans="1:12" ht="18.75" customHeight="1">
      <c r="A3" s="97"/>
      <c r="B3" s="97"/>
      <c r="C3" s="99"/>
      <c r="D3" s="101"/>
      <c r="E3" s="101"/>
      <c r="F3" s="101"/>
      <c r="G3" s="101"/>
      <c r="H3" s="101"/>
      <c r="I3" s="100"/>
      <c r="J3" s="99"/>
    </row>
    <row r="4" spans="1:12" ht="32.25" customHeight="1">
      <c r="A4" s="97"/>
      <c r="B4" s="97"/>
      <c r="C4" s="99"/>
      <c r="D4" s="2808" t="s">
        <v>116</v>
      </c>
      <c r="E4" s="2808"/>
      <c r="F4" s="2808"/>
      <c r="G4" s="2808"/>
      <c r="H4" s="2808"/>
      <c r="I4" s="100">
        <v>3</v>
      </c>
      <c r="J4" s="99"/>
    </row>
    <row r="5" spans="1:12" ht="18.75" customHeight="1">
      <c r="A5" s="97"/>
      <c r="B5" s="97"/>
      <c r="C5" s="99"/>
      <c r="D5" s="101"/>
      <c r="E5" s="101"/>
      <c r="F5" s="101"/>
      <c r="G5" s="101"/>
      <c r="H5" s="101"/>
      <c r="I5" s="100"/>
      <c r="J5" s="99"/>
    </row>
    <row r="6" spans="1:12" ht="36.75" customHeight="1">
      <c r="A6" s="97"/>
      <c r="B6" s="97"/>
      <c r="C6" s="99"/>
      <c r="D6" s="2808" t="s">
        <v>1529</v>
      </c>
      <c r="E6" s="2808"/>
      <c r="F6" s="2808"/>
      <c r="G6" s="2808"/>
      <c r="H6" s="2808"/>
      <c r="I6" s="100">
        <v>6</v>
      </c>
      <c r="J6" s="99"/>
    </row>
    <row r="7" spans="1:12" ht="36.75" customHeight="1">
      <c r="A7" s="97"/>
      <c r="B7" s="97"/>
      <c r="C7" s="99"/>
      <c r="D7" s="101" t="s">
        <v>117</v>
      </c>
      <c r="E7" s="99"/>
      <c r="F7" s="99"/>
      <c r="G7" s="99"/>
      <c r="H7" s="99"/>
      <c r="I7" s="100">
        <v>8</v>
      </c>
      <c r="J7" s="99"/>
    </row>
    <row r="8" spans="1:12" ht="36.75" customHeight="1">
      <c r="A8" s="97"/>
      <c r="B8" s="97"/>
      <c r="C8" s="99"/>
      <c r="D8" s="2808" t="s">
        <v>118</v>
      </c>
      <c r="E8" s="2808"/>
      <c r="F8" s="2808"/>
      <c r="G8" s="2808"/>
      <c r="H8" s="2808"/>
      <c r="I8" s="100">
        <v>9</v>
      </c>
      <c r="J8" s="99"/>
    </row>
    <row r="9" spans="1:12" ht="36.75" customHeight="1">
      <c r="A9" s="97"/>
      <c r="B9" s="97"/>
      <c r="C9" s="99"/>
      <c r="D9" s="2809" t="s">
        <v>553</v>
      </c>
      <c r="E9" s="2809"/>
      <c r="F9" s="2809"/>
      <c r="G9" s="2809"/>
      <c r="H9" s="2809"/>
      <c r="I9" s="100">
        <v>10</v>
      </c>
      <c r="J9" s="99"/>
    </row>
    <row r="10" spans="1:12" ht="36.75" customHeight="1">
      <c r="A10" s="97"/>
      <c r="B10" s="97"/>
      <c r="C10" s="99"/>
      <c r="D10" s="2809" t="s">
        <v>554</v>
      </c>
      <c r="E10" s="2809"/>
      <c r="F10" s="2809"/>
      <c r="G10" s="2809"/>
      <c r="H10" s="2809"/>
      <c r="I10" s="100">
        <v>12</v>
      </c>
      <c r="J10" s="99"/>
    </row>
    <row r="11" spans="1:12" ht="36.75" customHeight="1">
      <c r="A11" s="97"/>
      <c r="B11" s="97"/>
      <c r="C11" s="99"/>
      <c r="D11" s="2809" t="s">
        <v>555</v>
      </c>
      <c r="E11" s="2809"/>
      <c r="F11" s="2809"/>
      <c r="G11" s="2809"/>
      <c r="H11" s="2809"/>
      <c r="I11" s="100">
        <v>26</v>
      </c>
      <c r="J11" s="99"/>
    </row>
    <row r="12" spans="1:12" ht="18.75" customHeight="1">
      <c r="A12" s="97"/>
      <c r="B12" s="97"/>
      <c r="C12" s="99"/>
      <c r="D12" s="102"/>
      <c r="E12" s="2810"/>
      <c r="F12" s="2810"/>
      <c r="G12" s="2810"/>
      <c r="H12" s="2810"/>
      <c r="I12" s="100"/>
      <c r="J12" s="99"/>
    </row>
    <row r="13" spans="1:12" ht="36.75" customHeight="1">
      <c r="A13" s="97"/>
      <c r="B13" s="97"/>
      <c r="C13" s="99"/>
      <c r="D13" s="2808" t="s">
        <v>119</v>
      </c>
      <c r="E13" s="2808"/>
      <c r="F13" s="2808"/>
      <c r="G13" s="2808"/>
      <c r="H13" s="2808"/>
      <c r="I13" s="100">
        <v>73</v>
      </c>
      <c r="J13" s="99"/>
    </row>
    <row r="14" spans="1:12" ht="36.75" customHeight="1">
      <c r="A14" s="103"/>
      <c r="B14" s="97"/>
      <c r="C14" s="99"/>
      <c r="D14" s="2809" t="s">
        <v>120</v>
      </c>
      <c r="E14" s="2809"/>
      <c r="F14" s="2809"/>
      <c r="G14" s="2809"/>
      <c r="H14" s="2809"/>
      <c r="I14" s="100">
        <v>74</v>
      </c>
      <c r="J14" s="99"/>
    </row>
    <row r="15" spans="1:12" ht="36.75" customHeight="1">
      <c r="A15" s="97"/>
      <c r="B15" s="97"/>
      <c r="C15" s="99"/>
      <c r="D15" s="2809" t="s">
        <v>121</v>
      </c>
      <c r="E15" s="2809"/>
      <c r="F15" s="2809"/>
      <c r="G15" s="2809"/>
      <c r="H15" s="2809"/>
      <c r="I15" s="100">
        <v>75</v>
      </c>
      <c r="J15" s="99"/>
    </row>
    <row r="16" spans="1:12" ht="22.5" customHeight="1">
      <c r="A16" s="97"/>
      <c r="B16" s="97"/>
      <c r="C16" s="99"/>
      <c r="D16" s="102"/>
      <c r="E16" s="104"/>
      <c r="F16" s="104"/>
      <c r="G16" s="104"/>
      <c r="H16" s="104"/>
      <c r="I16" s="100"/>
      <c r="J16" s="99"/>
    </row>
  </sheetData>
  <mergeCells count="12">
    <mergeCell ref="D15:H15"/>
    <mergeCell ref="D9:H9"/>
    <mergeCell ref="D10:H10"/>
    <mergeCell ref="E12:H12"/>
    <mergeCell ref="D13:H13"/>
    <mergeCell ref="D14:H14"/>
    <mergeCell ref="D11:H11"/>
    <mergeCell ref="A1:L1"/>
    <mergeCell ref="D2:H2"/>
    <mergeCell ref="D4:H4"/>
    <mergeCell ref="D6:H6"/>
    <mergeCell ref="D8:H8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89" orientation="landscape" useFirstPageNumber="1" r:id="rId1"/>
  <headerFooter alignWithMargins="0">
    <oddHeader xml:space="preserve">&amp;L&amp;"돋움,굵게"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6" tint="-0.249977111117893"/>
  </sheetPr>
  <dimension ref="A1:I41"/>
  <sheetViews>
    <sheetView zoomScaleNormal="100" workbookViewId="0">
      <selection activeCell="D9" sqref="D9"/>
    </sheetView>
  </sheetViews>
  <sheetFormatPr defaultRowHeight="13.5"/>
  <cols>
    <col min="1" max="1" width="5.875" style="614" customWidth="1"/>
    <col min="2" max="2" width="15.5" style="614" bestFit="1" customWidth="1"/>
    <col min="3" max="3" width="37" style="614" bestFit="1" customWidth="1"/>
    <col min="4" max="4" width="25.625" style="633" customWidth="1"/>
    <col min="5" max="5" width="25.625" style="634" customWidth="1"/>
    <col min="6" max="6" width="25.625" style="635" customWidth="1"/>
    <col min="7" max="7" width="25.625" style="634" customWidth="1"/>
    <col min="8" max="8" width="50.25" style="634" customWidth="1"/>
    <col min="9" max="9" width="10.875" style="614" customWidth="1"/>
    <col min="10" max="256" width="9" style="614"/>
    <col min="257" max="257" width="5.875" style="614" customWidth="1"/>
    <col min="258" max="258" width="6.25" style="614" customWidth="1"/>
    <col min="259" max="259" width="21.875" style="614" customWidth="1"/>
    <col min="260" max="262" width="24.375" style="614" customWidth="1"/>
    <col min="263" max="263" width="19.875" style="614" customWidth="1"/>
    <col min="264" max="264" width="50.25" style="614" customWidth="1"/>
    <col min="265" max="265" width="10.875" style="614" customWidth="1"/>
    <col min="266" max="512" width="9" style="614"/>
    <col min="513" max="513" width="5.875" style="614" customWidth="1"/>
    <col min="514" max="514" width="6.25" style="614" customWidth="1"/>
    <col min="515" max="515" width="21.875" style="614" customWidth="1"/>
    <col min="516" max="518" width="24.375" style="614" customWidth="1"/>
    <col min="519" max="519" width="19.875" style="614" customWidth="1"/>
    <col min="520" max="520" width="50.25" style="614" customWidth="1"/>
    <col min="521" max="521" width="10.875" style="614" customWidth="1"/>
    <col min="522" max="768" width="9" style="614"/>
    <col min="769" max="769" width="5.875" style="614" customWidth="1"/>
    <col min="770" max="770" width="6.25" style="614" customWidth="1"/>
    <col min="771" max="771" width="21.875" style="614" customWidth="1"/>
    <col min="772" max="774" width="24.375" style="614" customWidth="1"/>
    <col min="775" max="775" width="19.875" style="614" customWidth="1"/>
    <col min="776" max="776" width="50.25" style="614" customWidth="1"/>
    <col min="777" max="777" width="10.875" style="614" customWidth="1"/>
    <col min="778" max="1024" width="9" style="614"/>
    <col min="1025" max="1025" width="5.875" style="614" customWidth="1"/>
    <col min="1026" max="1026" width="6.25" style="614" customWidth="1"/>
    <col min="1027" max="1027" width="21.875" style="614" customWidth="1"/>
    <col min="1028" max="1030" width="24.375" style="614" customWidth="1"/>
    <col min="1031" max="1031" width="19.875" style="614" customWidth="1"/>
    <col min="1032" max="1032" width="50.25" style="614" customWidth="1"/>
    <col min="1033" max="1033" width="10.875" style="614" customWidth="1"/>
    <col min="1034" max="1280" width="9" style="614"/>
    <col min="1281" max="1281" width="5.875" style="614" customWidth="1"/>
    <col min="1282" max="1282" width="6.25" style="614" customWidth="1"/>
    <col min="1283" max="1283" width="21.875" style="614" customWidth="1"/>
    <col min="1284" max="1286" width="24.375" style="614" customWidth="1"/>
    <col min="1287" max="1287" width="19.875" style="614" customWidth="1"/>
    <col min="1288" max="1288" width="50.25" style="614" customWidth="1"/>
    <col min="1289" max="1289" width="10.875" style="614" customWidth="1"/>
    <col min="1290" max="1536" width="9" style="614"/>
    <col min="1537" max="1537" width="5.875" style="614" customWidth="1"/>
    <col min="1538" max="1538" width="6.25" style="614" customWidth="1"/>
    <col min="1539" max="1539" width="21.875" style="614" customWidth="1"/>
    <col min="1540" max="1542" width="24.375" style="614" customWidth="1"/>
    <col min="1543" max="1543" width="19.875" style="614" customWidth="1"/>
    <col min="1544" max="1544" width="50.25" style="614" customWidth="1"/>
    <col min="1545" max="1545" width="10.875" style="614" customWidth="1"/>
    <col min="1546" max="1792" width="9" style="614"/>
    <col min="1793" max="1793" width="5.875" style="614" customWidth="1"/>
    <col min="1794" max="1794" width="6.25" style="614" customWidth="1"/>
    <col min="1795" max="1795" width="21.875" style="614" customWidth="1"/>
    <col min="1796" max="1798" width="24.375" style="614" customWidth="1"/>
    <col min="1799" max="1799" width="19.875" style="614" customWidth="1"/>
    <col min="1800" max="1800" width="50.25" style="614" customWidth="1"/>
    <col min="1801" max="1801" width="10.875" style="614" customWidth="1"/>
    <col min="1802" max="2048" width="9" style="614"/>
    <col min="2049" max="2049" width="5.875" style="614" customWidth="1"/>
    <col min="2050" max="2050" width="6.25" style="614" customWidth="1"/>
    <col min="2051" max="2051" width="21.875" style="614" customWidth="1"/>
    <col min="2052" max="2054" width="24.375" style="614" customWidth="1"/>
    <col min="2055" max="2055" width="19.875" style="614" customWidth="1"/>
    <col min="2056" max="2056" width="50.25" style="614" customWidth="1"/>
    <col min="2057" max="2057" width="10.875" style="614" customWidth="1"/>
    <col min="2058" max="2304" width="9" style="614"/>
    <col min="2305" max="2305" width="5.875" style="614" customWidth="1"/>
    <col min="2306" max="2306" width="6.25" style="614" customWidth="1"/>
    <col min="2307" max="2307" width="21.875" style="614" customWidth="1"/>
    <col min="2308" max="2310" width="24.375" style="614" customWidth="1"/>
    <col min="2311" max="2311" width="19.875" style="614" customWidth="1"/>
    <col min="2312" max="2312" width="50.25" style="614" customWidth="1"/>
    <col min="2313" max="2313" width="10.875" style="614" customWidth="1"/>
    <col min="2314" max="2560" width="9" style="614"/>
    <col min="2561" max="2561" width="5.875" style="614" customWidth="1"/>
    <col min="2562" max="2562" width="6.25" style="614" customWidth="1"/>
    <col min="2563" max="2563" width="21.875" style="614" customWidth="1"/>
    <col min="2564" max="2566" width="24.375" style="614" customWidth="1"/>
    <col min="2567" max="2567" width="19.875" style="614" customWidth="1"/>
    <col min="2568" max="2568" width="50.25" style="614" customWidth="1"/>
    <col min="2569" max="2569" width="10.875" style="614" customWidth="1"/>
    <col min="2570" max="2816" width="9" style="614"/>
    <col min="2817" max="2817" width="5.875" style="614" customWidth="1"/>
    <col min="2818" max="2818" width="6.25" style="614" customWidth="1"/>
    <col min="2819" max="2819" width="21.875" style="614" customWidth="1"/>
    <col min="2820" max="2822" width="24.375" style="614" customWidth="1"/>
    <col min="2823" max="2823" width="19.875" style="614" customWidth="1"/>
    <col min="2824" max="2824" width="50.25" style="614" customWidth="1"/>
    <col min="2825" max="2825" width="10.875" style="614" customWidth="1"/>
    <col min="2826" max="3072" width="9" style="614"/>
    <col min="3073" max="3073" width="5.875" style="614" customWidth="1"/>
    <col min="3074" max="3074" width="6.25" style="614" customWidth="1"/>
    <col min="3075" max="3075" width="21.875" style="614" customWidth="1"/>
    <col min="3076" max="3078" width="24.375" style="614" customWidth="1"/>
    <col min="3079" max="3079" width="19.875" style="614" customWidth="1"/>
    <col min="3080" max="3080" width="50.25" style="614" customWidth="1"/>
    <col min="3081" max="3081" width="10.875" style="614" customWidth="1"/>
    <col min="3082" max="3328" width="9" style="614"/>
    <col min="3329" max="3329" width="5.875" style="614" customWidth="1"/>
    <col min="3330" max="3330" width="6.25" style="614" customWidth="1"/>
    <col min="3331" max="3331" width="21.875" style="614" customWidth="1"/>
    <col min="3332" max="3334" width="24.375" style="614" customWidth="1"/>
    <col min="3335" max="3335" width="19.875" style="614" customWidth="1"/>
    <col min="3336" max="3336" width="50.25" style="614" customWidth="1"/>
    <col min="3337" max="3337" width="10.875" style="614" customWidth="1"/>
    <col min="3338" max="3584" width="9" style="614"/>
    <col min="3585" max="3585" width="5.875" style="614" customWidth="1"/>
    <col min="3586" max="3586" width="6.25" style="614" customWidth="1"/>
    <col min="3587" max="3587" width="21.875" style="614" customWidth="1"/>
    <col min="3588" max="3590" width="24.375" style="614" customWidth="1"/>
    <col min="3591" max="3591" width="19.875" style="614" customWidth="1"/>
    <col min="3592" max="3592" width="50.25" style="614" customWidth="1"/>
    <col min="3593" max="3593" width="10.875" style="614" customWidth="1"/>
    <col min="3594" max="3840" width="9" style="614"/>
    <col min="3841" max="3841" width="5.875" style="614" customWidth="1"/>
    <col min="3842" max="3842" width="6.25" style="614" customWidth="1"/>
    <col min="3843" max="3843" width="21.875" style="614" customWidth="1"/>
    <col min="3844" max="3846" width="24.375" style="614" customWidth="1"/>
    <col min="3847" max="3847" width="19.875" style="614" customWidth="1"/>
    <col min="3848" max="3848" width="50.25" style="614" customWidth="1"/>
    <col min="3849" max="3849" width="10.875" style="614" customWidth="1"/>
    <col min="3850" max="4096" width="9" style="614"/>
    <col min="4097" max="4097" width="5.875" style="614" customWidth="1"/>
    <col min="4098" max="4098" width="6.25" style="614" customWidth="1"/>
    <col min="4099" max="4099" width="21.875" style="614" customWidth="1"/>
    <col min="4100" max="4102" width="24.375" style="614" customWidth="1"/>
    <col min="4103" max="4103" width="19.875" style="614" customWidth="1"/>
    <col min="4104" max="4104" width="50.25" style="614" customWidth="1"/>
    <col min="4105" max="4105" width="10.875" style="614" customWidth="1"/>
    <col min="4106" max="4352" width="9" style="614"/>
    <col min="4353" max="4353" width="5.875" style="614" customWidth="1"/>
    <col min="4354" max="4354" width="6.25" style="614" customWidth="1"/>
    <col min="4355" max="4355" width="21.875" style="614" customWidth="1"/>
    <col min="4356" max="4358" width="24.375" style="614" customWidth="1"/>
    <col min="4359" max="4359" width="19.875" style="614" customWidth="1"/>
    <col min="4360" max="4360" width="50.25" style="614" customWidth="1"/>
    <col min="4361" max="4361" width="10.875" style="614" customWidth="1"/>
    <col min="4362" max="4608" width="9" style="614"/>
    <col min="4609" max="4609" width="5.875" style="614" customWidth="1"/>
    <col min="4610" max="4610" width="6.25" style="614" customWidth="1"/>
    <col min="4611" max="4611" width="21.875" style="614" customWidth="1"/>
    <col min="4612" max="4614" width="24.375" style="614" customWidth="1"/>
    <col min="4615" max="4615" width="19.875" style="614" customWidth="1"/>
    <col min="4616" max="4616" width="50.25" style="614" customWidth="1"/>
    <col min="4617" max="4617" width="10.875" style="614" customWidth="1"/>
    <col min="4618" max="4864" width="9" style="614"/>
    <col min="4865" max="4865" width="5.875" style="614" customWidth="1"/>
    <col min="4866" max="4866" width="6.25" style="614" customWidth="1"/>
    <col min="4867" max="4867" width="21.875" style="614" customWidth="1"/>
    <col min="4868" max="4870" width="24.375" style="614" customWidth="1"/>
    <col min="4871" max="4871" width="19.875" style="614" customWidth="1"/>
    <col min="4872" max="4872" width="50.25" style="614" customWidth="1"/>
    <col min="4873" max="4873" width="10.875" style="614" customWidth="1"/>
    <col min="4874" max="5120" width="9" style="614"/>
    <col min="5121" max="5121" width="5.875" style="614" customWidth="1"/>
    <col min="5122" max="5122" width="6.25" style="614" customWidth="1"/>
    <col min="5123" max="5123" width="21.875" style="614" customWidth="1"/>
    <col min="5124" max="5126" width="24.375" style="614" customWidth="1"/>
    <col min="5127" max="5127" width="19.875" style="614" customWidth="1"/>
    <col min="5128" max="5128" width="50.25" style="614" customWidth="1"/>
    <col min="5129" max="5129" width="10.875" style="614" customWidth="1"/>
    <col min="5130" max="5376" width="9" style="614"/>
    <col min="5377" max="5377" width="5.875" style="614" customWidth="1"/>
    <col min="5378" max="5378" width="6.25" style="614" customWidth="1"/>
    <col min="5379" max="5379" width="21.875" style="614" customWidth="1"/>
    <col min="5380" max="5382" width="24.375" style="614" customWidth="1"/>
    <col min="5383" max="5383" width="19.875" style="614" customWidth="1"/>
    <col min="5384" max="5384" width="50.25" style="614" customWidth="1"/>
    <col min="5385" max="5385" width="10.875" style="614" customWidth="1"/>
    <col min="5386" max="5632" width="9" style="614"/>
    <col min="5633" max="5633" width="5.875" style="614" customWidth="1"/>
    <col min="5634" max="5634" width="6.25" style="614" customWidth="1"/>
    <col min="5635" max="5635" width="21.875" style="614" customWidth="1"/>
    <col min="5636" max="5638" width="24.375" style="614" customWidth="1"/>
    <col min="5639" max="5639" width="19.875" style="614" customWidth="1"/>
    <col min="5640" max="5640" width="50.25" style="614" customWidth="1"/>
    <col min="5641" max="5641" width="10.875" style="614" customWidth="1"/>
    <col min="5642" max="5888" width="9" style="614"/>
    <col min="5889" max="5889" width="5.875" style="614" customWidth="1"/>
    <col min="5890" max="5890" width="6.25" style="614" customWidth="1"/>
    <col min="5891" max="5891" width="21.875" style="614" customWidth="1"/>
    <col min="5892" max="5894" width="24.375" style="614" customWidth="1"/>
    <col min="5895" max="5895" width="19.875" style="614" customWidth="1"/>
    <col min="5896" max="5896" width="50.25" style="614" customWidth="1"/>
    <col min="5897" max="5897" width="10.875" style="614" customWidth="1"/>
    <col min="5898" max="6144" width="9" style="614"/>
    <col min="6145" max="6145" width="5.875" style="614" customWidth="1"/>
    <col min="6146" max="6146" width="6.25" style="614" customWidth="1"/>
    <col min="6147" max="6147" width="21.875" style="614" customWidth="1"/>
    <col min="6148" max="6150" width="24.375" style="614" customWidth="1"/>
    <col min="6151" max="6151" width="19.875" style="614" customWidth="1"/>
    <col min="6152" max="6152" width="50.25" style="614" customWidth="1"/>
    <col min="6153" max="6153" width="10.875" style="614" customWidth="1"/>
    <col min="6154" max="6400" width="9" style="614"/>
    <col min="6401" max="6401" width="5.875" style="614" customWidth="1"/>
    <col min="6402" max="6402" width="6.25" style="614" customWidth="1"/>
    <col min="6403" max="6403" width="21.875" style="614" customWidth="1"/>
    <col min="6404" max="6406" width="24.375" style="614" customWidth="1"/>
    <col min="6407" max="6407" width="19.875" style="614" customWidth="1"/>
    <col min="6408" max="6408" width="50.25" style="614" customWidth="1"/>
    <col min="6409" max="6409" width="10.875" style="614" customWidth="1"/>
    <col min="6410" max="6656" width="9" style="614"/>
    <col min="6657" max="6657" width="5.875" style="614" customWidth="1"/>
    <col min="6658" max="6658" width="6.25" style="614" customWidth="1"/>
    <col min="6659" max="6659" width="21.875" style="614" customWidth="1"/>
    <col min="6660" max="6662" width="24.375" style="614" customWidth="1"/>
    <col min="6663" max="6663" width="19.875" style="614" customWidth="1"/>
    <col min="6664" max="6664" width="50.25" style="614" customWidth="1"/>
    <col min="6665" max="6665" width="10.875" style="614" customWidth="1"/>
    <col min="6666" max="6912" width="9" style="614"/>
    <col min="6913" max="6913" width="5.875" style="614" customWidth="1"/>
    <col min="6914" max="6914" width="6.25" style="614" customWidth="1"/>
    <col min="6915" max="6915" width="21.875" style="614" customWidth="1"/>
    <col min="6916" max="6918" width="24.375" style="614" customWidth="1"/>
    <col min="6919" max="6919" width="19.875" style="614" customWidth="1"/>
    <col min="6920" max="6920" width="50.25" style="614" customWidth="1"/>
    <col min="6921" max="6921" width="10.875" style="614" customWidth="1"/>
    <col min="6922" max="7168" width="9" style="614"/>
    <col min="7169" max="7169" width="5.875" style="614" customWidth="1"/>
    <col min="7170" max="7170" width="6.25" style="614" customWidth="1"/>
    <col min="7171" max="7171" width="21.875" style="614" customWidth="1"/>
    <col min="7172" max="7174" width="24.375" style="614" customWidth="1"/>
    <col min="7175" max="7175" width="19.875" style="614" customWidth="1"/>
    <col min="7176" max="7176" width="50.25" style="614" customWidth="1"/>
    <col min="7177" max="7177" width="10.875" style="614" customWidth="1"/>
    <col min="7178" max="7424" width="9" style="614"/>
    <col min="7425" max="7425" width="5.875" style="614" customWidth="1"/>
    <col min="7426" max="7426" width="6.25" style="614" customWidth="1"/>
    <col min="7427" max="7427" width="21.875" style="614" customWidth="1"/>
    <col min="7428" max="7430" width="24.375" style="614" customWidth="1"/>
    <col min="7431" max="7431" width="19.875" style="614" customWidth="1"/>
    <col min="7432" max="7432" width="50.25" style="614" customWidth="1"/>
    <col min="7433" max="7433" width="10.875" style="614" customWidth="1"/>
    <col min="7434" max="7680" width="9" style="614"/>
    <col min="7681" max="7681" width="5.875" style="614" customWidth="1"/>
    <col min="7682" max="7682" width="6.25" style="614" customWidth="1"/>
    <col min="7683" max="7683" width="21.875" style="614" customWidth="1"/>
    <col min="7684" max="7686" width="24.375" style="614" customWidth="1"/>
    <col min="7687" max="7687" width="19.875" style="614" customWidth="1"/>
    <col min="7688" max="7688" width="50.25" style="614" customWidth="1"/>
    <col min="7689" max="7689" width="10.875" style="614" customWidth="1"/>
    <col min="7690" max="7936" width="9" style="614"/>
    <col min="7937" max="7937" width="5.875" style="614" customWidth="1"/>
    <col min="7938" max="7938" width="6.25" style="614" customWidth="1"/>
    <col min="7939" max="7939" width="21.875" style="614" customWidth="1"/>
    <col min="7940" max="7942" width="24.375" style="614" customWidth="1"/>
    <col min="7943" max="7943" width="19.875" style="614" customWidth="1"/>
    <col min="7944" max="7944" width="50.25" style="614" customWidth="1"/>
    <col min="7945" max="7945" width="10.875" style="614" customWidth="1"/>
    <col min="7946" max="8192" width="9" style="614"/>
    <col min="8193" max="8193" width="5.875" style="614" customWidth="1"/>
    <col min="8194" max="8194" width="6.25" style="614" customWidth="1"/>
    <col min="8195" max="8195" width="21.875" style="614" customWidth="1"/>
    <col min="8196" max="8198" width="24.375" style="614" customWidth="1"/>
    <col min="8199" max="8199" width="19.875" style="614" customWidth="1"/>
    <col min="8200" max="8200" width="50.25" style="614" customWidth="1"/>
    <col min="8201" max="8201" width="10.875" style="614" customWidth="1"/>
    <col min="8202" max="8448" width="9" style="614"/>
    <col min="8449" max="8449" width="5.875" style="614" customWidth="1"/>
    <col min="8450" max="8450" width="6.25" style="614" customWidth="1"/>
    <col min="8451" max="8451" width="21.875" style="614" customWidth="1"/>
    <col min="8452" max="8454" width="24.375" style="614" customWidth="1"/>
    <col min="8455" max="8455" width="19.875" style="614" customWidth="1"/>
    <col min="8456" max="8456" width="50.25" style="614" customWidth="1"/>
    <col min="8457" max="8457" width="10.875" style="614" customWidth="1"/>
    <col min="8458" max="8704" width="9" style="614"/>
    <col min="8705" max="8705" width="5.875" style="614" customWidth="1"/>
    <col min="8706" max="8706" width="6.25" style="614" customWidth="1"/>
    <col min="8707" max="8707" width="21.875" style="614" customWidth="1"/>
    <col min="8708" max="8710" width="24.375" style="614" customWidth="1"/>
    <col min="8711" max="8711" width="19.875" style="614" customWidth="1"/>
    <col min="8712" max="8712" width="50.25" style="614" customWidth="1"/>
    <col min="8713" max="8713" width="10.875" style="614" customWidth="1"/>
    <col min="8714" max="8960" width="9" style="614"/>
    <col min="8961" max="8961" width="5.875" style="614" customWidth="1"/>
    <col min="8962" max="8962" width="6.25" style="614" customWidth="1"/>
    <col min="8963" max="8963" width="21.875" style="614" customWidth="1"/>
    <col min="8964" max="8966" width="24.375" style="614" customWidth="1"/>
    <col min="8967" max="8967" width="19.875" style="614" customWidth="1"/>
    <col min="8968" max="8968" width="50.25" style="614" customWidth="1"/>
    <col min="8969" max="8969" width="10.875" style="614" customWidth="1"/>
    <col min="8970" max="9216" width="9" style="614"/>
    <col min="9217" max="9217" width="5.875" style="614" customWidth="1"/>
    <col min="9218" max="9218" width="6.25" style="614" customWidth="1"/>
    <col min="9219" max="9219" width="21.875" style="614" customWidth="1"/>
    <col min="9220" max="9222" width="24.375" style="614" customWidth="1"/>
    <col min="9223" max="9223" width="19.875" style="614" customWidth="1"/>
    <col min="9224" max="9224" width="50.25" style="614" customWidth="1"/>
    <col min="9225" max="9225" width="10.875" style="614" customWidth="1"/>
    <col min="9226" max="9472" width="9" style="614"/>
    <col min="9473" max="9473" width="5.875" style="614" customWidth="1"/>
    <col min="9474" max="9474" width="6.25" style="614" customWidth="1"/>
    <col min="9475" max="9475" width="21.875" style="614" customWidth="1"/>
    <col min="9476" max="9478" width="24.375" style="614" customWidth="1"/>
    <col min="9479" max="9479" width="19.875" style="614" customWidth="1"/>
    <col min="9480" max="9480" width="50.25" style="614" customWidth="1"/>
    <col min="9481" max="9481" width="10.875" style="614" customWidth="1"/>
    <col min="9482" max="9728" width="9" style="614"/>
    <col min="9729" max="9729" width="5.875" style="614" customWidth="1"/>
    <col min="9730" max="9730" width="6.25" style="614" customWidth="1"/>
    <col min="9731" max="9731" width="21.875" style="614" customWidth="1"/>
    <col min="9732" max="9734" width="24.375" style="614" customWidth="1"/>
    <col min="9735" max="9735" width="19.875" style="614" customWidth="1"/>
    <col min="9736" max="9736" width="50.25" style="614" customWidth="1"/>
    <col min="9737" max="9737" width="10.875" style="614" customWidth="1"/>
    <col min="9738" max="9984" width="9" style="614"/>
    <col min="9985" max="9985" width="5.875" style="614" customWidth="1"/>
    <col min="9986" max="9986" width="6.25" style="614" customWidth="1"/>
    <col min="9987" max="9987" width="21.875" style="614" customWidth="1"/>
    <col min="9988" max="9990" width="24.375" style="614" customWidth="1"/>
    <col min="9991" max="9991" width="19.875" style="614" customWidth="1"/>
    <col min="9992" max="9992" width="50.25" style="614" customWidth="1"/>
    <col min="9993" max="9993" width="10.875" style="614" customWidth="1"/>
    <col min="9994" max="10240" width="9" style="614"/>
    <col min="10241" max="10241" width="5.875" style="614" customWidth="1"/>
    <col min="10242" max="10242" width="6.25" style="614" customWidth="1"/>
    <col min="10243" max="10243" width="21.875" style="614" customWidth="1"/>
    <col min="10244" max="10246" width="24.375" style="614" customWidth="1"/>
    <col min="10247" max="10247" width="19.875" style="614" customWidth="1"/>
    <col min="10248" max="10248" width="50.25" style="614" customWidth="1"/>
    <col min="10249" max="10249" width="10.875" style="614" customWidth="1"/>
    <col min="10250" max="10496" width="9" style="614"/>
    <col min="10497" max="10497" width="5.875" style="614" customWidth="1"/>
    <col min="10498" max="10498" width="6.25" style="614" customWidth="1"/>
    <col min="10499" max="10499" width="21.875" style="614" customWidth="1"/>
    <col min="10500" max="10502" width="24.375" style="614" customWidth="1"/>
    <col min="10503" max="10503" width="19.875" style="614" customWidth="1"/>
    <col min="10504" max="10504" width="50.25" style="614" customWidth="1"/>
    <col min="10505" max="10505" width="10.875" style="614" customWidth="1"/>
    <col min="10506" max="10752" width="9" style="614"/>
    <col min="10753" max="10753" width="5.875" style="614" customWidth="1"/>
    <col min="10754" max="10754" width="6.25" style="614" customWidth="1"/>
    <col min="10755" max="10755" width="21.875" style="614" customWidth="1"/>
    <col min="10756" max="10758" width="24.375" style="614" customWidth="1"/>
    <col min="10759" max="10759" width="19.875" style="614" customWidth="1"/>
    <col min="10760" max="10760" width="50.25" style="614" customWidth="1"/>
    <col min="10761" max="10761" width="10.875" style="614" customWidth="1"/>
    <col min="10762" max="11008" width="9" style="614"/>
    <col min="11009" max="11009" width="5.875" style="614" customWidth="1"/>
    <col min="11010" max="11010" width="6.25" style="614" customWidth="1"/>
    <col min="11011" max="11011" width="21.875" style="614" customWidth="1"/>
    <col min="11012" max="11014" width="24.375" style="614" customWidth="1"/>
    <col min="11015" max="11015" width="19.875" style="614" customWidth="1"/>
    <col min="11016" max="11016" width="50.25" style="614" customWidth="1"/>
    <col min="11017" max="11017" width="10.875" style="614" customWidth="1"/>
    <col min="11018" max="11264" width="9" style="614"/>
    <col min="11265" max="11265" width="5.875" style="614" customWidth="1"/>
    <col min="11266" max="11266" width="6.25" style="614" customWidth="1"/>
    <col min="11267" max="11267" width="21.875" style="614" customWidth="1"/>
    <col min="11268" max="11270" width="24.375" style="614" customWidth="1"/>
    <col min="11271" max="11271" width="19.875" style="614" customWidth="1"/>
    <col min="11272" max="11272" width="50.25" style="614" customWidth="1"/>
    <col min="11273" max="11273" width="10.875" style="614" customWidth="1"/>
    <col min="11274" max="11520" width="9" style="614"/>
    <col min="11521" max="11521" width="5.875" style="614" customWidth="1"/>
    <col min="11522" max="11522" width="6.25" style="614" customWidth="1"/>
    <col min="11523" max="11523" width="21.875" style="614" customWidth="1"/>
    <col min="11524" max="11526" width="24.375" style="614" customWidth="1"/>
    <col min="11527" max="11527" width="19.875" style="614" customWidth="1"/>
    <col min="11528" max="11528" width="50.25" style="614" customWidth="1"/>
    <col min="11529" max="11529" width="10.875" style="614" customWidth="1"/>
    <col min="11530" max="11776" width="9" style="614"/>
    <col min="11777" max="11777" width="5.875" style="614" customWidth="1"/>
    <col min="11778" max="11778" width="6.25" style="614" customWidth="1"/>
    <col min="11779" max="11779" width="21.875" style="614" customWidth="1"/>
    <col min="11780" max="11782" width="24.375" style="614" customWidth="1"/>
    <col min="11783" max="11783" width="19.875" style="614" customWidth="1"/>
    <col min="11784" max="11784" width="50.25" style="614" customWidth="1"/>
    <col min="11785" max="11785" width="10.875" style="614" customWidth="1"/>
    <col min="11786" max="12032" width="9" style="614"/>
    <col min="12033" max="12033" width="5.875" style="614" customWidth="1"/>
    <col min="12034" max="12034" width="6.25" style="614" customWidth="1"/>
    <col min="12035" max="12035" width="21.875" style="614" customWidth="1"/>
    <col min="12036" max="12038" width="24.375" style="614" customWidth="1"/>
    <col min="12039" max="12039" width="19.875" style="614" customWidth="1"/>
    <col min="12040" max="12040" width="50.25" style="614" customWidth="1"/>
    <col min="12041" max="12041" width="10.875" style="614" customWidth="1"/>
    <col min="12042" max="12288" width="9" style="614"/>
    <col min="12289" max="12289" width="5.875" style="614" customWidth="1"/>
    <col min="12290" max="12290" width="6.25" style="614" customWidth="1"/>
    <col min="12291" max="12291" width="21.875" style="614" customWidth="1"/>
    <col min="12292" max="12294" width="24.375" style="614" customWidth="1"/>
    <col min="12295" max="12295" width="19.875" style="614" customWidth="1"/>
    <col min="12296" max="12296" width="50.25" style="614" customWidth="1"/>
    <col min="12297" max="12297" width="10.875" style="614" customWidth="1"/>
    <col min="12298" max="12544" width="9" style="614"/>
    <col min="12545" max="12545" width="5.875" style="614" customWidth="1"/>
    <col min="12546" max="12546" width="6.25" style="614" customWidth="1"/>
    <col min="12547" max="12547" width="21.875" style="614" customWidth="1"/>
    <col min="12548" max="12550" width="24.375" style="614" customWidth="1"/>
    <col min="12551" max="12551" width="19.875" style="614" customWidth="1"/>
    <col min="12552" max="12552" width="50.25" style="614" customWidth="1"/>
    <col min="12553" max="12553" width="10.875" style="614" customWidth="1"/>
    <col min="12554" max="12800" width="9" style="614"/>
    <col min="12801" max="12801" width="5.875" style="614" customWidth="1"/>
    <col min="12802" max="12802" width="6.25" style="614" customWidth="1"/>
    <col min="12803" max="12803" width="21.875" style="614" customWidth="1"/>
    <col min="12804" max="12806" width="24.375" style="614" customWidth="1"/>
    <col min="12807" max="12807" width="19.875" style="614" customWidth="1"/>
    <col min="12808" max="12808" width="50.25" style="614" customWidth="1"/>
    <col min="12809" max="12809" width="10.875" style="614" customWidth="1"/>
    <col min="12810" max="13056" width="9" style="614"/>
    <col min="13057" max="13057" width="5.875" style="614" customWidth="1"/>
    <col min="13058" max="13058" width="6.25" style="614" customWidth="1"/>
    <col min="13059" max="13059" width="21.875" style="614" customWidth="1"/>
    <col min="13060" max="13062" width="24.375" style="614" customWidth="1"/>
    <col min="13063" max="13063" width="19.875" style="614" customWidth="1"/>
    <col min="13064" max="13064" width="50.25" style="614" customWidth="1"/>
    <col min="13065" max="13065" width="10.875" style="614" customWidth="1"/>
    <col min="13066" max="13312" width="9" style="614"/>
    <col min="13313" max="13313" width="5.875" style="614" customWidth="1"/>
    <col min="13314" max="13314" width="6.25" style="614" customWidth="1"/>
    <col min="13315" max="13315" width="21.875" style="614" customWidth="1"/>
    <col min="13316" max="13318" width="24.375" style="614" customWidth="1"/>
    <col min="13319" max="13319" width="19.875" style="614" customWidth="1"/>
    <col min="13320" max="13320" width="50.25" style="614" customWidth="1"/>
    <col min="13321" max="13321" width="10.875" style="614" customWidth="1"/>
    <col min="13322" max="13568" width="9" style="614"/>
    <col min="13569" max="13569" width="5.875" style="614" customWidth="1"/>
    <col min="13570" max="13570" width="6.25" style="614" customWidth="1"/>
    <col min="13571" max="13571" width="21.875" style="614" customWidth="1"/>
    <col min="13572" max="13574" width="24.375" style="614" customWidth="1"/>
    <col min="13575" max="13575" width="19.875" style="614" customWidth="1"/>
    <col min="13576" max="13576" width="50.25" style="614" customWidth="1"/>
    <col min="13577" max="13577" width="10.875" style="614" customWidth="1"/>
    <col min="13578" max="13824" width="9" style="614"/>
    <col min="13825" max="13825" width="5.875" style="614" customWidth="1"/>
    <col min="13826" max="13826" width="6.25" style="614" customWidth="1"/>
    <col min="13827" max="13827" width="21.875" style="614" customWidth="1"/>
    <col min="13828" max="13830" width="24.375" style="614" customWidth="1"/>
    <col min="13831" max="13831" width="19.875" style="614" customWidth="1"/>
    <col min="13832" max="13832" width="50.25" style="614" customWidth="1"/>
    <col min="13833" max="13833" width="10.875" style="614" customWidth="1"/>
    <col min="13834" max="14080" width="9" style="614"/>
    <col min="14081" max="14081" width="5.875" style="614" customWidth="1"/>
    <col min="14082" max="14082" width="6.25" style="614" customWidth="1"/>
    <col min="14083" max="14083" width="21.875" style="614" customWidth="1"/>
    <col min="14084" max="14086" width="24.375" style="614" customWidth="1"/>
    <col min="14087" max="14087" width="19.875" style="614" customWidth="1"/>
    <col min="14088" max="14088" width="50.25" style="614" customWidth="1"/>
    <col min="14089" max="14089" width="10.875" style="614" customWidth="1"/>
    <col min="14090" max="14336" width="9" style="614"/>
    <col min="14337" max="14337" width="5.875" style="614" customWidth="1"/>
    <col min="14338" max="14338" width="6.25" style="614" customWidth="1"/>
    <col min="14339" max="14339" width="21.875" style="614" customWidth="1"/>
    <col min="14340" max="14342" width="24.375" style="614" customWidth="1"/>
    <col min="14343" max="14343" width="19.875" style="614" customWidth="1"/>
    <col min="14344" max="14344" width="50.25" style="614" customWidth="1"/>
    <col min="14345" max="14345" width="10.875" style="614" customWidth="1"/>
    <col min="14346" max="14592" width="9" style="614"/>
    <col min="14593" max="14593" width="5.875" style="614" customWidth="1"/>
    <col min="14594" max="14594" width="6.25" style="614" customWidth="1"/>
    <col min="14595" max="14595" width="21.875" style="614" customWidth="1"/>
    <col min="14596" max="14598" width="24.375" style="614" customWidth="1"/>
    <col min="14599" max="14599" width="19.875" style="614" customWidth="1"/>
    <col min="14600" max="14600" width="50.25" style="614" customWidth="1"/>
    <col min="14601" max="14601" width="10.875" style="614" customWidth="1"/>
    <col min="14602" max="14848" width="9" style="614"/>
    <col min="14849" max="14849" width="5.875" style="614" customWidth="1"/>
    <col min="14850" max="14850" width="6.25" style="614" customWidth="1"/>
    <col min="14851" max="14851" width="21.875" style="614" customWidth="1"/>
    <col min="14852" max="14854" width="24.375" style="614" customWidth="1"/>
    <col min="14855" max="14855" width="19.875" style="614" customWidth="1"/>
    <col min="14856" max="14856" width="50.25" style="614" customWidth="1"/>
    <col min="14857" max="14857" width="10.875" style="614" customWidth="1"/>
    <col min="14858" max="15104" width="9" style="614"/>
    <col min="15105" max="15105" width="5.875" style="614" customWidth="1"/>
    <col min="15106" max="15106" width="6.25" style="614" customWidth="1"/>
    <col min="15107" max="15107" width="21.875" style="614" customWidth="1"/>
    <col min="15108" max="15110" width="24.375" style="614" customWidth="1"/>
    <col min="15111" max="15111" width="19.875" style="614" customWidth="1"/>
    <col min="15112" max="15112" width="50.25" style="614" customWidth="1"/>
    <col min="15113" max="15113" width="10.875" style="614" customWidth="1"/>
    <col min="15114" max="15360" width="9" style="614"/>
    <col min="15361" max="15361" width="5.875" style="614" customWidth="1"/>
    <col min="15362" max="15362" width="6.25" style="614" customWidth="1"/>
    <col min="15363" max="15363" width="21.875" style="614" customWidth="1"/>
    <col min="15364" max="15366" width="24.375" style="614" customWidth="1"/>
    <col min="15367" max="15367" width="19.875" style="614" customWidth="1"/>
    <col min="15368" max="15368" width="50.25" style="614" customWidth="1"/>
    <col min="15369" max="15369" width="10.875" style="614" customWidth="1"/>
    <col min="15370" max="15616" width="9" style="614"/>
    <col min="15617" max="15617" width="5.875" style="614" customWidth="1"/>
    <col min="15618" max="15618" width="6.25" style="614" customWidth="1"/>
    <col min="15619" max="15619" width="21.875" style="614" customWidth="1"/>
    <col min="15620" max="15622" width="24.375" style="614" customWidth="1"/>
    <col min="15623" max="15623" width="19.875" style="614" customWidth="1"/>
    <col min="15624" max="15624" width="50.25" style="614" customWidth="1"/>
    <col min="15625" max="15625" width="10.875" style="614" customWidth="1"/>
    <col min="15626" max="15872" width="9" style="614"/>
    <col min="15873" max="15873" width="5.875" style="614" customWidth="1"/>
    <col min="15874" max="15874" width="6.25" style="614" customWidth="1"/>
    <col min="15875" max="15875" width="21.875" style="614" customWidth="1"/>
    <col min="15876" max="15878" width="24.375" style="614" customWidth="1"/>
    <col min="15879" max="15879" width="19.875" style="614" customWidth="1"/>
    <col min="15880" max="15880" width="50.25" style="614" customWidth="1"/>
    <col min="15881" max="15881" width="10.875" style="614" customWidth="1"/>
    <col min="15882" max="16128" width="9" style="614"/>
    <col min="16129" max="16129" width="5.875" style="614" customWidth="1"/>
    <col min="16130" max="16130" width="6.25" style="614" customWidth="1"/>
    <col min="16131" max="16131" width="21.875" style="614" customWidth="1"/>
    <col min="16132" max="16134" width="24.375" style="614" customWidth="1"/>
    <col min="16135" max="16135" width="19.875" style="614" customWidth="1"/>
    <col min="16136" max="16136" width="50.25" style="614" customWidth="1"/>
    <col min="16137" max="16137" width="10.875" style="614" customWidth="1"/>
    <col min="16138" max="16384" width="9" style="614"/>
  </cols>
  <sheetData>
    <row r="1" spans="1:9" s="620" customFormat="1" ht="25.5" customHeight="1" thickBot="1">
      <c r="A1" s="3058" t="s">
        <v>532</v>
      </c>
      <c r="B1" s="3058"/>
      <c r="C1" s="3058"/>
      <c r="D1" s="615"/>
      <c r="E1" s="616"/>
      <c r="F1" s="617"/>
      <c r="G1" s="618" t="s">
        <v>533</v>
      </c>
      <c r="H1" s="619"/>
      <c r="I1" s="619"/>
    </row>
    <row r="2" spans="1:9" s="358" customFormat="1" ht="30" customHeight="1" thickBot="1">
      <c r="A2" s="3054" t="s">
        <v>534</v>
      </c>
      <c r="B2" s="3059"/>
      <c r="C2" s="3055"/>
      <c r="D2" s="558" t="s">
        <v>535</v>
      </c>
      <c r="E2" s="558" t="s">
        <v>536</v>
      </c>
      <c r="F2" s="558" t="s">
        <v>537</v>
      </c>
      <c r="G2" s="559" t="s">
        <v>538</v>
      </c>
      <c r="H2" s="560"/>
      <c r="I2" s="560"/>
    </row>
    <row r="3" spans="1:9" s="495" customFormat="1" ht="21.75" customHeight="1" thickBot="1">
      <c r="A3" s="3060" t="s">
        <v>539</v>
      </c>
      <c r="B3" s="3061"/>
      <c r="C3" s="3062"/>
      <c r="D3" s="768">
        <f>D4+D21+D22+D24+D26+D29+D33+D35</f>
        <v>47211348</v>
      </c>
      <c r="E3" s="768">
        <f>E4+E21+E22+E24+E26+E29+E33+E35</f>
        <v>49686585</v>
      </c>
      <c r="F3" s="621">
        <f t="shared" ref="F3:F23" si="0">D3-E3</f>
        <v>-2475237</v>
      </c>
      <c r="G3" s="622"/>
      <c r="H3" s="567"/>
      <c r="I3" s="567"/>
    </row>
    <row r="4" spans="1:9" s="495" customFormat="1" ht="18" customHeight="1">
      <c r="A4" s="1718"/>
      <c r="B4" s="3064" t="s">
        <v>621</v>
      </c>
      <c r="C4" s="3064"/>
      <c r="D4" s="775">
        <f>D5+D10+D14+D18</f>
        <v>46711348</v>
      </c>
      <c r="E4" s="775">
        <f>E5+E10+E14+E18</f>
        <v>49186585</v>
      </c>
      <c r="F4" s="775">
        <f>D4-E4</f>
        <v>-2475237</v>
      </c>
      <c r="G4" s="623"/>
      <c r="H4" s="567"/>
      <c r="I4" s="567"/>
    </row>
    <row r="5" spans="1:9" s="495" customFormat="1" ht="18" customHeight="1">
      <c r="A5" s="1719"/>
      <c r="B5" s="773" t="s">
        <v>1023</v>
      </c>
      <c r="C5" s="1715" t="s">
        <v>1024</v>
      </c>
      <c r="D5" s="627">
        <f>D6+D7+D8+D9</f>
        <v>2395168</v>
      </c>
      <c r="E5" s="627">
        <f>E6+E7+E8+E9</f>
        <v>2113893</v>
      </c>
      <c r="F5" s="627">
        <f>D5-E5</f>
        <v>281275</v>
      </c>
      <c r="G5" s="566"/>
      <c r="H5" s="567"/>
      <c r="I5" s="567"/>
    </row>
    <row r="6" spans="1:9" s="495" customFormat="1" ht="18" customHeight="1">
      <c r="A6" s="1720"/>
      <c r="B6" s="1716"/>
      <c r="C6" s="1714" t="s">
        <v>910</v>
      </c>
      <c r="D6" s="769">
        <f>'나. 지출예산 총괄표'!H9+'나. 지출예산 총괄표'!H261</f>
        <v>1727711</v>
      </c>
      <c r="E6" s="769">
        <f>'나. 지출예산 총괄표'!I9+'나. 지출예산 총괄표'!I261</f>
        <v>1584381</v>
      </c>
      <c r="F6" s="1722">
        <f t="shared" ref="F6:F20" si="1">D6-E6</f>
        <v>143330</v>
      </c>
      <c r="G6" s="566"/>
      <c r="H6" s="567"/>
      <c r="I6" s="567"/>
    </row>
    <row r="7" spans="1:9" s="495" customFormat="1" ht="18" customHeight="1">
      <c r="A7" s="1720"/>
      <c r="B7" s="773"/>
      <c r="C7" s="1714" t="s">
        <v>911</v>
      </c>
      <c r="D7" s="769">
        <f>'나. 지출예산 총괄표'!H31</f>
        <v>168033</v>
      </c>
      <c r="E7" s="769">
        <f>'나. 지출예산 총괄표'!I31</f>
        <v>230088</v>
      </c>
      <c r="F7" s="1722">
        <f t="shared" si="1"/>
        <v>-62055</v>
      </c>
      <c r="G7" s="566"/>
      <c r="H7" s="567"/>
      <c r="I7" s="567"/>
    </row>
    <row r="8" spans="1:9" s="495" customFormat="1" ht="18" customHeight="1">
      <c r="A8" s="1720"/>
      <c r="B8" s="773"/>
      <c r="C8" s="1714" t="s">
        <v>912</v>
      </c>
      <c r="D8" s="769">
        <f>'나. 지출예산 총괄표'!H265+'나. 지출예산 총괄표'!H47</f>
        <v>299424</v>
      </c>
      <c r="E8" s="769">
        <f>'나. 지출예산 총괄표'!I265+'나. 지출예산 총괄표'!I47</f>
        <v>299424</v>
      </c>
      <c r="F8" s="1722">
        <f t="shared" si="1"/>
        <v>0</v>
      </c>
      <c r="G8" s="566"/>
      <c r="H8" s="567"/>
      <c r="I8" s="567"/>
    </row>
    <row r="9" spans="1:9" s="495" customFormat="1" ht="18" customHeight="1">
      <c r="A9" s="1720"/>
      <c r="B9" s="773"/>
      <c r="C9" s="1714" t="s">
        <v>2272</v>
      </c>
      <c r="D9" s="769">
        <f>'나. 지출예산 총괄표'!H66+'나. 지출예산 총괄표'!H269</f>
        <v>200000</v>
      </c>
      <c r="E9" s="769">
        <f>'나. 지출예산 총괄표'!I66+'나. 지출예산 총괄표'!I269</f>
        <v>0</v>
      </c>
      <c r="F9" s="1722">
        <f t="shared" si="1"/>
        <v>200000</v>
      </c>
      <c r="G9" s="566"/>
      <c r="H9" s="567"/>
      <c r="I9" s="567"/>
    </row>
    <row r="10" spans="1:9" s="495" customFormat="1" ht="18" customHeight="1">
      <c r="A10" s="1720"/>
      <c r="B10" s="773" t="s">
        <v>619</v>
      </c>
      <c r="C10" s="1715" t="s">
        <v>1024</v>
      </c>
      <c r="D10" s="627">
        <f>D11+D12+D13</f>
        <v>1998382</v>
      </c>
      <c r="E10" s="627">
        <f>E11+E12+E13</f>
        <v>2024994</v>
      </c>
      <c r="F10" s="627">
        <f t="shared" si="1"/>
        <v>-26612</v>
      </c>
      <c r="G10" s="566"/>
      <c r="H10" s="567"/>
      <c r="I10" s="567"/>
    </row>
    <row r="11" spans="1:9" s="495" customFormat="1" ht="18" customHeight="1">
      <c r="A11" s="1720"/>
      <c r="B11" s="1716"/>
      <c r="C11" s="1714" t="s">
        <v>907</v>
      </c>
      <c r="D11" s="770">
        <f>'나. 지출예산 총괄표'!H88+'나. 지출예산 총괄표'!H274</f>
        <v>1024056</v>
      </c>
      <c r="E11" s="770">
        <f>'나. 지출예산 총괄표'!I88+'나. 지출예산 총괄표'!I274</f>
        <v>1032834</v>
      </c>
      <c r="F11" s="1722">
        <f t="shared" si="1"/>
        <v>-8778</v>
      </c>
      <c r="G11" s="566"/>
      <c r="H11" s="567"/>
      <c r="I11" s="567"/>
    </row>
    <row r="12" spans="1:9" s="495" customFormat="1" ht="18" customHeight="1">
      <c r="A12" s="1720"/>
      <c r="B12" s="773"/>
      <c r="C12" s="1714" t="s">
        <v>908</v>
      </c>
      <c r="D12" s="770">
        <f>'나. 지출예산 총괄표'!H108+'나. 지출예산 총괄표'!H278</f>
        <v>749287</v>
      </c>
      <c r="E12" s="770">
        <f>'나. 지출예산 총괄표'!I108+'나. 지출예산 총괄표'!I278</f>
        <v>767169</v>
      </c>
      <c r="F12" s="1722">
        <f t="shared" si="1"/>
        <v>-17882</v>
      </c>
      <c r="G12" s="566"/>
      <c r="H12" s="567"/>
      <c r="I12" s="567"/>
    </row>
    <row r="13" spans="1:9" s="495" customFormat="1" ht="18" customHeight="1">
      <c r="A13" s="1720"/>
      <c r="B13" s="773"/>
      <c r="C13" s="1714" t="s">
        <v>909</v>
      </c>
      <c r="D13" s="770">
        <f>'나. 지출예산 총괄표'!H124+'나. 지출예산 총괄표'!H282</f>
        <v>225039</v>
      </c>
      <c r="E13" s="770">
        <f>'나. 지출예산 총괄표'!I124+'나. 지출예산 총괄표'!I282</f>
        <v>224991</v>
      </c>
      <c r="F13" s="1722">
        <f t="shared" si="1"/>
        <v>48</v>
      </c>
      <c r="G13" s="566"/>
      <c r="H13" s="567"/>
      <c r="I13" s="567"/>
    </row>
    <row r="14" spans="1:9" s="495" customFormat="1" ht="18" customHeight="1">
      <c r="A14" s="1720"/>
      <c r="B14" s="773" t="s">
        <v>590</v>
      </c>
      <c r="C14" s="1715" t="s">
        <v>1024</v>
      </c>
      <c r="D14" s="627">
        <f>D15+D16+D17</f>
        <v>26155748</v>
      </c>
      <c r="E14" s="627">
        <f>E15+E16+E17</f>
        <v>29125117</v>
      </c>
      <c r="F14" s="627">
        <f t="shared" si="1"/>
        <v>-2969369</v>
      </c>
      <c r="G14" s="566"/>
      <c r="H14" s="567"/>
      <c r="I14" s="567"/>
    </row>
    <row r="15" spans="1:9" s="495" customFormat="1" ht="18" customHeight="1">
      <c r="A15" s="1720"/>
      <c r="B15" s="773"/>
      <c r="C15" s="1714" t="s">
        <v>1025</v>
      </c>
      <c r="D15" s="771">
        <f>'나. 지출예산 총괄표'!H139+'나. 지출예산 총괄표'!H287</f>
        <v>22246757</v>
      </c>
      <c r="E15" s="771">
        <f>'나. 지출예산 총괄표'!I139+'나. 지출예산 총괄표'!I287</f>
        <v>22493349</v>
      </c>
      <c r="F15" s="1722">
        <f t="shared" si="1"/>
        <v>-246592</v>
      </c>
      <c r="G15" s="566"/>
      <c r="H15" s="567"/>
      <c r="I15" s="567"/>
    </row>
    <row r="16" spans="1:9" s="495" customFormat="1" ht="18" customHeight="1">
      <c r="A16" s="1720"/>
      <c r="B16" s="773"/>
      <c r="C16" s="1714" t="s">
        <v>916</v>
      </c>
      <c r="D16" s="771">
        <f>'나. 지출예산 총괄표'!H163+'나. 지출예산 총괄표'!H294</f>
        <v>100803</v>
      </c>
      <c r="E16" s="771">
        <f>'나. 지출예산 총괄표'!I163+'나. 지출예산 총괄표'!I294</f>
        <v>101745</v>
      </c>
      <c r="F16" s="1722">
        <f t="shared" si="1"/>
        <v>-942</v>
      </c>
      <c r="G16" s="566"/>
      <c r="H16" s="567"/>
      <c r="I16" s="567"/>
    </row>
    <row r="17" spans="1:9" s="495" customFormat="1" ht="18" customHeight="1">
      <c r="A17" s="1720"/>
      <c r="B17" s="773"/>
      <c r="C17" s="1714" t="s">
        <v>915</v>
      </c>
      <c r="D17" s="771">
        <f>'나. 지출예산 총괄표'!H178+'나. 지출예산 총괄표'!H298</f>
        <v>3808188</v>
      </c>
      <c r="E17" s="771">
        <f>'나. 지출예산 총괄표'!I178+'나. 지출예산 총괄표'!I298</f>
        <v>6530023</v>
      </c>
      <c r="F17" s="1722">
        <f t="shared" si="1"/>
        <v>-2721835</v>
      </c>
      <c r="G17" s="566"/>
      <c r="H17" s="567"/>
      <c r="I17" s="567"/>
    </row>
    <row r="18" spans="1:9" s="495" customFormat="1" ht="18" customHeight="1">
      <c r="A18" s="1720"/>
      <c r="B18" s="773" t="s">
        <v>594</v>
      </c>
      <c r="C18" s="1715" t="s">
        <v>1024</v>
      </c>
      <c r="D18" s="1721">
        <f>D19+D20</f>
        <v>16162050</v>
      </c>
      <c r="E18" s="1721">
        <f>E19+E20</f>
        <v>15922581</v>
      </c>
      <c r="F18" s="627">
        <f t="shared" si="1"/>
        <v>239469</v>
      </c>
      <c r="G18" s="566"/>
      <c r="H18" s="567"/>
      <c r="I18" s="567"/>
    </row>
    <row r="19" spans="1:9" s="495" customFormat="1" ht="18" customHeight="1">
      <c r="A19" s="1720"/>
      <c r="B19" s="773"/>
      <c r="C19" s="1714" t="s">
        <v>918</v>
      </c>
      <c r="D19" s="771">
        <f>'나. 지출예산 총괄표'!H203+'나. 지출예산 총괄표'!H309</f>
        <v>5227217</v>
      </c>
      <c r="E19" s="771">
        <f>'나. 지출예산 총괄표'!I203+'나. 지출예산 총괄표'!I309</f>
        <v>5330734</v>
      </c>
      <c r="F19" s="1722">
        <f t="shared" si="1"/>
        <v>-103517</v>
      </c>
      <c r="G19" s="566"/>
      <c r="H19" s="567"/>
      <c r="I19" s="567"/>
    </row>
    <row r="20" spans="1:9" s="495" customFormat="1" ht="18" customHeight="1">
      <c r="A20" s="1720"/>
      <c r="B20" s="773"/>
      <c r="C20" s="1714" t="s">
        <v>842</v>
      </c>
      <c r="D20" s="772">
        <f>'나. 지출예산 총괄표'!H247</f>
        <v>10934833</v>
      </c>
      <c r="E20" s="772">
        <f>'나. 지출예산 총괄표'!I247</f>
        <v>10591847</v>
      </c>
      <c r="F20" s="1722">
        <f t="shared" si="1"/>
        <v>342986</v>
      </c>
      <c r="G20" s="566"/>
      <c r="H20" s="567"/>
      <c r="I20" s="567"/>
    </row>
    <row r="21" spans="1:9" s="780" customFormat="1" ht="15.95" customHeight="1">
      <c r="A21" s="776"/>
      <c r="B21" s="3063" t="s">
        <v>620</v>
      </c>
      <c r="C21" s="3063"/>
      <c r="D21" s="777">
        <v>0</v>
      </c>
      <c r="E21" s="777">
        <v>0</v>
      </c>
      <c r="F21" s="778">
        <f t="shared" si="0"/>
        <v>0</v>
      </c>
      <c r="G21" s="628"/>
      <c r="H21" s="779"/>
      <c r="I21" s="779"/>
    </row>
    <row r="22" spans="1:9" s="780" customFormat="1" ht="15.95" customHeight="1">
      <c r="A22" s="776"/>
      <c r="B22" s="3063" t="s">
        <v>540</v>
      </c>
      <c r="C22" s="3063"/>
      <c r="D22" s="629">
        <f>D23</f>
        <v>0</v>
      </c>
      <c r="E22" s="629">
        <f>E23</f>
        <v>0</v>
      </c>
      <c r="F22" s="627">
        <f t="shared" si="0"/>
        <v>0</v>
      </c>
      <c r="G22" s="628"/>
      <c r="H22" s="779"/>
      <c r="I22" s="779"/>
    </row>
    <row r="23" spans="1:9" s="495" customFormat="1" ht="15.95" customHeight="1">
      <c r="A23" s="295"/>
      <c r="B23" s="773"/>
      <c r="C23" s="773" t="s">
        <v>540</v>
      </c>
      <c r="D23" s="624">
        <v>0</v>
      </c>
      <c r="E23" s="624">
        <v>0</v>
      </c>
      <c r="F23" s="627">
        <f t="shared" si="0"/>
        <v>0</v>
      </c>
      <c r="G23" s="572"/>
      <c r="H23" s="567"/>
      <c r="I23" s="567"/>
    </row>
    <row r="24" spans="1:9" s="780" customFormat="1" ht="15.95" customHeight="1">
      <c r="A24" s="776"/>
      <c r="B24" s="3063" t="s">
        <v>541</v>
      </c>
      <c r="C24" s="3063"/>
      <c r="D24" s="629">
        <f>D25</f>
        <v>0</v>
      </c>
      <c r="E24" s="629">
        <f>E25</f>
        <v>0</v>
      </c>
      <c r="F24" s="627">
        <f>D24-E24</f>
        <v>0</v>
      </c>
      <c r="G24" s="628"/>
      <c r="H24" s="779"/>
      <c r="I24" s="779"/>
    </row>
    <row r="25" spans="1:9" s="495" customFormat="1" ht="15.95" customHeight="1">
      <c r="A25" s="295"/>
      <c r="B25" s="773"/>
      <c r="C25" s="773" t="s">
        <v>542</v>
      </c>
      <c r="D25" s="624">
        <v>0</v>
      </c>
      <c r="E25" s="624">
        <v>0</v>
      </c>
      <c r="F25" s="627">
        <f>D25-E25</f>
        <v>0</v>
      </c>
      <c r="G25" s="628"/>
      <c r="H25" s="567"/>
      <c r="I25" s="567"/>
    </row>
    <row r="26" spans="1:9" s="780" customFormat="1" ht="15.95" customHeight="1">
      <c r="A26" s="776"/>
      <c r="B26" s="3063" t="s">
        <v>543</v>
      </c>
      <c r="C26" s="3063"/>
      <c r="D26" s="627">
        <f>SUM(D27:D28)</f>
        <v>0</v>
      </c>
      <c r="E26" s="627">
        <f>SUM(E27:E28)</f>
        <v>0</v>
      </c>
      <c r="F26" s="627">
        <f t="shared" ref="F26:F32" si="2">E26-D26</f>
        <v>0</v>
      </c>
      <c r="G26" s="781"/>
      <c r="H26" s="779"/>
      <c r="I26" s="779"/>
    </row>
    <row r="27" spans="1:9" s="495" customFormat="1" ht="15.95" customHeight="1">
      <c r="A27" s="295"/>
      <c r="B27" s="773"/>
      <c r="C27" s="773" t="s">
        <v>544</v>
      </c>
      <c r="D27" s="625">
        <v>0</v>
      </c>
      <c r="E27" s="625">
        <v>0</v>
      </c>
      <c r="F27" s="627">
        <f t="shared" si="2"/>
        <v>0</v>
      </c>
      <c r="G27" s="576"/>
      <c r="H27" s="567"/>
      <c r="I27" s="567"/>
    </row>
    <row r="28" spans="1:9" s="495" customFormat="1" ht="15.95" customHeight="1">
      <c r="A28" s="295"/>
      <c r="B28" s="773"/>
      <c r="C28" s="773" t="s">
        <v>545</v>
      </c>
      <c r="D28" s="626">
        <v>0</v>
      </c>
      <c r="E28" s="626">
        <v>0</v>
      </c>
      <c r="F28" s="627">
        <f t="shared" si="2"/>
        <v>0</v>
      </c>
      <c r="G28" s="584"/>
      <c r="H28" s="567"/>
      <c r="I28" s="567"/>
    </row>
    <row r="29" spans="1:9" s="780" customFormat="1" ht="15.95" customHeight="1">
      <c r="A29" s="776"/>
      <c r="B29" s="3063" t="s">
        <v>546</v>
      </c>
      <c r="C29" s="3063"/>
      <c r="D29" s="629">
        <f>D30</f>
        <v>0</v>
      </c>
      <c r="E29" s="629">
        <v>0</v>
      </c>
      <c r="F29" s="627">
        <f>D29-E29</f>
        <v>0</v>
      </c>
      <c r="G29" s="628"/>
      <c r="H29" s="779"/>
      <c r="I29" s="779"/>
    </row>
    <row r="30" spans="1:9" s="495" customFormat="1" ht="15.95" customHeight="1">
      <c r="A30" s="295"/>
      <c r="B30" s="773"/>
      <c r="C30" s="773" t="s">
        <v>546</v>
      </c>
      <c r="D30" s="624">
        <v>0</v>
      </c>
      <c r="E30" s="624">
        <v>0</v>
      </c>
      <c r="F30" s="627">
        <f>D30-E30</f>
        <v>0</v>
      </c>
      <c r="G30" s="628"/>
      <c r="H30" s="567"/>
      <c r="I30" s="567"/>
    </row>
    <row r="31" spans="1:9" s="495" customFormat="1" ht="15.95" customHeight="1">
      <c r="A31" s="295"/>
      <c r="B31" s="3063" t="s">
        <v>547</v>
      </c>
      <c r="C31" s="3063"/>
      <c r="D31" s="624">
        <f>D32</f>
        <v>0</v>
      </c>
      <c r="E31" s="624">
        <f>SUM(E32)</f>
        <v>0</v>
      </c>
      <c r="F31" s="627">
        <f t="shared" si="2"/>
        <v>0</v>
      </c>
      <c r="G31" s="572"/>
      <c r="H31" s="567"/>
      <c r="I31" s="567"/>
    </row>
    <row r="32" spans="1:9" s="495" customFormat="1" ht="15.95" customHeight="1">
      <c r="A32" s="295"/>
      <c r="B32" s="773"/>
      <c r="C32" s="773" t="s">
        <v>212</v>
      </c>
      <c r="D32" s="624"/>
      <c r="E32" s="624">
        <v>0</v>
      </c>
      <c r="F32" s="627">
        <f t="shared" si="2"/>
        <v>0</v>
      </c>
      <c r="G32" s="572"/>
      <c r="H32" s="567"/>
      <c r="I32" s="567"/>
    </row>
    <row r="33" spans="1:9" s="780" customFormat="1" ht="18" customHeight="1">
      <c r="A33" s="776"/>
      <c r="B33" s="3063" t="s">
        <v>548</v>
      </c>
      <c r="C33" s="3063"/>
      <c r="D33" s="629">
        <f>D34</f>
        <v>500000</v>
      </c>
      <c r="E33" s="629">
        <f>E34</f>
        <v>500000</v>
      </c>
      <c r="F33" s="629">
        <f>D33-E33</f>
        <v>0</v>
      </c>
      <c r="G33" s="628"/>
      <c r="H33" s="779"/>
      <c r="I33" s="779"/>
    </row>
    <row r="34" spans="1:9" s="495" customFormat="1" ht="18" customHeight="1">
      <c r="A34" s="295"/>
      <c r="B34" s="773"/>
      <c r="C34" s="773" t="s">
        <v>549</v>
      </c>
      <c r="D34" s="624">
        <v>500000</v>
      </c>
      <c r="E34" s="624">
        <v>500000</v>
      </c>
      <c r="F34" s="629">
        <f>D34-E34</f>
        <v>0</v>
      </c>
      <c r="G34" s="572"/>
      <c r="H34" s="567"/>
      <c r="I34" s="567"/>
    </row>
    <row r="35" spans="1:9" s="780" customFormat="1" ht="18" customHeight="1">
      <c r="A35" s="776"/>
      <c r="B35" s="3063" t="s">
        <v>550</v>
      </c>
      <c r="C35" s="3063"/>
      <c r="D35" s="629">
        <f>D36</f>
        <v>0</v>
      </c>
      <c r="E35" s="629">
        <f>E36</f>
        <v>0</v>
      </c>
      <c r="F35" s="629">
        <f>D35-E35</f>
        <v>0</v>
      </c>
      <c r="G35" s="628"/>
      <c r="H35" s="779"/>
      <c r="I35" s="779"/>
    </row>
    <row r="36" spans="1:9" s="495" customFormat="1" ht="18" customHeight="1" thickBot="1">
      <c r="A36" s="630"/>
      <c r="B36" s="774"/>
      <c r="C36" s="774" t="s">
        <v>551</v>
      </c>
      <c r="D36" s="631">
        <v>0</v>
      </c>
      <c r="E36" s="631">
        <v>0</v>
      </c>
      <c r="F36" s="1717">
        <f>D36-E36</f>
        <v>0</v>
      </c>
      <c r="G36" s="632"/>
      <c r="H36" s="567"/>
      <c r="I36" s="567"/>
    </row>
    <row r="37" spans="1:9">
      <c r="I37" s="634"/>
    </row>
    <row r="38" spans="1:9">
      <c r="I38" s="634"/>
    </row>
    <row r="39" spans="1:9">
      <c r="I39" s="634"/>
    </row>
    <row r="40" spans="1:9">
      <c r="I40" s="634"/>
    </row>
    <row r="41" spans="1:9">
      <c r="I41" s="634"/>
    </row>
  </sheetData>
  <mergeCells count="12">
    <mergeCell ref="A1:C1"/>
    <mergeCell ref="A2:C2"/>
    <mergeCell ref="A3:C3"/>
    <mergeCell ref="B35:C35"/>
    <mergeCell ref="B22:C22"/>
    <mergeCell ref="B24:C24"/>
    <mergeCell ref="B26:C26"/>
    <mergeCell ref="B21:C21"/>
    <mergeCell ref="B4:C4"/>
    <mergeCell ref="B29:C29"/>
    <mergeCell ref="B31:C31"/>
    <mergeCell ref="B33:C33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72" orientation="landscape" useFirstPageNumber="1" r:id="rId1"/>
  <headerFooter alignWithMargins="0">
    <oddHeader xml:space="preserve">&amp;L&amp;"돋움,굵게"
</oddHead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160E-8B6E-4565-B7AD-F7756ED5A76D}">
  <dimension ref="A1:L19"/>
  <sheetViews>
    <sheetView view="pageBreakPreview" zoomScale="85" zoomScaleNormal="60" zoomScaleSheetLayoutView="85" workbookViewId="0">
      <pane ySplit="4" topLeftCell="A8" activePane="bottomLeft" state="frozen"/>
      <selection activeCell="E10" sqref="E10"/>
      <selection pane="bottomLeft" activeCell="E15" sqref="E15"/>
    </sheetView>
  </sheetViews>
  <sheetFormatPr defaultRowHeight="14.25"/>
  <cols>
    <col min="1" max="1" width="4.625" style="1736" customWidth="1"/>
    <col min="2" max="2" width="4.375" style="1736" customWidth="1"/>
    <col min="3" max="3" width="5.25" style="1736" customWidth="1"/>
    <col min="4" max="4" width="17.5" style="1736" customWidth="1"/>
    <col min="5" max="5" width="36.25" style="1758" customWidth="1"/>
    <col min="6" max="6" width="15.875" style="1736" customWidth="1"/>
    <col min="7" max="7" width="15.25" style="1736" customWidth="1"/>
    <col min="8" max="8" width="14.625" style="1736" customWidth="1"/>
    <col min="9" max="11" width="14.875" style="1736" bestFit="1" customWidth="1"/>
    <col min="12" max="12" width="54.125" style="1758" customWidth="1"/>
    <col min="13" max="13" width="5.375" style="1736" customWidth="1"/>
    <col min="14" max="256" width="9" style="1736"/>
    <col min="257" max="257" width="4.625" style="1736" customWidth="1"/>
    <col min="258" max="258" width="4.375" style="1736" customWidth="1"/>
    <col min="259" max="259" width="5.25" style="1736" customWidth="1"/>
    <col min="260" max="260" width="17.5" style="1736" customWidth="1"/>
    <col min="261" max="261" width="36.25" style="1736" customWidth="1"/>
    <col min="262" max="262" width="15.875" style="1736" customWidth="1"/>
    <col min="263" max="263" width="15.25" style="1736" customWidth="1"/>
    <col min="264" max="264" width="14.625" style="1736" customWidth="1"/>
    <col min="265" max="267" width="14.875" style="1736" bestFit="1" customWidth="1"/>
    <col min="268" max="268" width="54.125" style="1736" customWidth="1"/>
    <col min="269" max="269" width="5.375" style="1736" customWidth="1"/>
    <col min="270" max="512" width="9" style="1736"/>
    <col min="513" max="513" width="4.625" style="1736" customWidth="1"/>
    <col min="514" max="514" width="4.375" style="1736" customWidth="1"/>
    <col min="515" max="515" width="5.25" style="1736" customWidth="1"/>
    <col min="516" max="516" width="17.5" style="1736" customWidth="1"/>
    <col min="517" max="517" width="36.25" style="1736" customWidth="1"/>
    <col min="518" max="518" width="15.875" style="1736" customWidth="1"/>
    <col min="519" max="519" width="15.25" style="1736" customWidth="1"/>
    <col min="520" max="520" width="14.625" style="1736" customWidth="1"/>
    <col min="521" max="523" width="14.875" style="1736" bestFit="1" customWidth="1"/>
    <col min="524" max="524" width="54.125" style="1736" customWidth="1"/>
    <col min="525" max="525" width="5.375" style="1736" customWidth="1"/>
    <col min="526" max="768" width="9" style="1736"/>
    <col min="769" max="769" width="4.625" style="1736" customWidth="1"/>
    <col min="770" max="770" width="4.375" style="1736" customWidth="1"/>
    <col min="771" max="771" width="5.25" style="1736" customWidth="1"/>
    <col min="772" max="772" width="17.5" style="1736" customWidth="1"/>
    <col min="773" max="773" width="36.25" style="1736" customWidth="1"/>
    <col min="774" max="774" width="15.875" style="1736" customWidth="1"/>
    <col min="775" max="775" width="15.25" style="1736" customWidth="1"/>
    <col min="776" max="776" width="14.625" style="1736" customWidth="1"/>
    <col min="777" max="779" width="14.875" style="1736" bestFit="1" customWidth="1"/>
    <col min="780" max="780" width="54.125" style="1736" customWidth="1"/>
    <col min="781" max="781" width="5.375" style="1736" customWidth="1"/>
    <col min="782" max="1024" width="9" style="1736"/>
    <col min="1025" max="1025" width="4.625" style="1736" customWidth="1"/>
    <col min="1026" max="1026" width="4.375" style="1736" customWidth="1"/>
    <col min="1027" max="1027" width="5.25" style="1736" customWidth="1"/>
    <col min="1028" max="1028" width="17.5" style="1736" customWidth="1"/>
    <col min="1029" max="1029" width="36.25" style="1736" customWidth="1"/>
    <col min="1030" max="1030" width="15.875" style="1736" customWidth="1"/>
    <col min="1031" max="1031" width="15.25" style="1736" customWidth="1"/>
    <col min="1032" max="1032" width="14.625" style="1736" customWidth="1"/>
    <col min="1033" max="1035" width="14.875" style="1736" bestFit="1" customWidth="1"/>
    <col min="1036" max="1036" width="54.125" style="1736" customWidth="1"/>
    <col min="1037" max="1037" width="5.375" style="1736" customWidth="1"/>
    <col min="1038" max="1280" width="9" style="1736"/>
    <col min="1281" max="1281" width="4.625" style="1736" customWidth="1"/>
    <col min="1282" max="1282" width="4.375" style="1736" customWidth="1"/>
    <col min="1283" max="1283" width="5.25" style="1736" customWidth="1"/>
    <col min="1284" max="1284" width="17.5" style="1736" customWidth="1"/>
    <col min="1285" max="1285" width="36.25" style="1736" customWidth="1"/>
    <col min="1286" max="1286" width="15.875" style="1736" customWidth="1"/>
    <col min="1287" max="1287" width="15.25" style="1736" customWidth="1"/>
    <col min="1288" max="1288" width="14.625" style="1736" customWidth="1"/>
    <col min="1289" max="1291" width="14.875" style="1736" bestFit="1" customWidth="1"/>
    <col min="1292" max="1292" width="54.125" style="1736" customWidth="1"/>
    <col min="1293" max="1293" width="5.375" style="1736" customWidth="1"/>
    <col min="1294" max="1536" width="9" style="1736"/>
    <col min="1537" max="1537" width="4.625" style="1736" customWidth="1"/>
    <col min="1538" max="1538" width="4.375" style="1736" customWidth="1"/>
    <col min="1539" max="1539" width="5.25" style="1736" customWidth="1"/>
    <col min="1540" max="1540" width="17.5" style="1736" customWidth="1"/>
    <col min="1541" max="1541" width="36.25" style="1736" customWidth="1"/>
    <col min="1542" max="1542" width="15.875" style="1736" customWidth="1"/>
    <col min="1543" max="1543" width="15.25" style="1736" customWidth="1"/>
    <col min="1544" max="1544" width="14.625" style="1736" customWidth="1"/>
    <col min="1545" max="1547" width="14.875" style="1736" bestFit="1" customWidth="1"/>
    <col min="1548" max="1548" width="54.125" style="1736" customWidth="1"/>
    <col min="1549" max="1549" width="5.375" style="1736" customWidth="1"/>
    <col min="1550" max="1792" width="9" style="1736"/>
    <col min="1793" max="1793" width="4.625" style="1736" customWidth="1"/>
    <col min="1794" max="1794" width="4.375" style="1736" customWidth="1"/>
    <col min="1795" max="1795" width="5.25" style="1736" customWidth="1"/>
    <col min="1796" max="1796" width="17.5" style="1736" customWidth="1"/>
    <col min="1797" max="1797" width="36.25" style="1736" customWidth="1"/>
    <col min="1798" max="1798" width="15.875" style="1736" customWidth="1"/>
    <col min="1799" max="1799" width="15.25" style="1736" customWidth="1"/>
    <col min="1800" max="1800" width="14.625" style="1736" customWidth="1"/>
    <col min="1801" max="1803" width="14.875" style="1736" bestFit="1" customWidth="1"/>
    <col min="1804" max="1804" width="54.125" style="1736" customWidth="1"/>
    <col min="1805" max="1805" width="5.375" style="1736" customWidth="1"/>
    <col min="1806" max="2048" width="9" style="1736"/>
    <col min="2049" max="2049" width="4.625" style="1736" customWidth="1"/>
    <col min="2050" max="2050" width="4.375" style="1736" customWidth="1"/>
    <col min="2051" max="2051" width="5.25" style="1736" customWidth="1"/>
    <col min="2052" max="2052" width="17.5" style="1736" customWidth="1"/>
    <col min="2053" max="2053" width="36.25" style="1736" customWidth="1"/>
    <col min="2054" max="2054" width="15.875" style="1736" customWidth="1"/>
    <col min="2055" max="2055" width="15.25" style="1736" customWidth="1"/>
    <col min="2056" max="2056" width="14.625" style="1736" customWidth="1"/>
    <col min="2057" max="2059" width="14.875" style="1736" bestFit="1" customWidth="1"/>
    <col min="2060" max="2060" width="54.125" style="1736" customWidth="1"/>
    <col min="2061" max="2061" width="5.375" style="1736" customWidth="1"/>
    <col min="2062" max="2304" width="9" style="1736"/>
    <col min="2305" max="2305" width="4.625" style="1736" customWidth="1"/>
    <col min="2306" max="2306" width="4.375" style="1736" customWidth="1"/>
    <col min="2307" max="2307" width="5.25" style="1736" customWidth="1"/>
    <col min="2308" max="2308" width="17.5" style="1736" customWidth="1"/>
    <col min="2309" max="2309" width="36.25" style="1736" customWidth="1"/>
    <col min="2310" max="2310" width="15.875" style="1736" customWidth="1"/>
    <col min="2311" max="2311" width="15.25" style="1736" customWidth="1"/>
    <col min="2312" max="2312" width="14.625" style="1736" customWidth="1"/>
    <col min="2313" max="2315" width="14.875" style="1736" bestFit="1" customWidth="1"/>
    <col min="2316" max="2316" width="54.125" style="1736" customWidth="1"/>
    <col min="2317" max="2317" width="5.375" style="1736" customWidth="1"/>
    <col min="2318" max="2560" width="9" style="1736"/>
    <col min="2561" max="2561" width="4.625" style="1736" customWidth="1"/>
    <col min="2562" max="2562" width="4.375" style="1736" customWidth="1"/>
    <col min="2563" max="2563" width="5.25" style="1736" customWidth="1"/>
    <col min="2564" max="2564" width="17.5" style="1736" customWidth="1"/>
    <col min="2565" max="2565" width="36.25" style="1736" customWidth="1"/>
    <col min="2566" max="2566" width="15.875" style="1736" customWidth="1"/>
    <col min="2567" max="2567" width="15.25" style="1736" customWidth="1"/>
    <col min="2568" max="2568" width="14.625" style="1736" customWidth="1"/>
    <col min="2569" max="2571" width="14.875" style="1736" bestFit="1" customWidth="1"/>
    <col min="2572" max="2572" width="54.125" style="1736" customWidth="1"/>
    <col min="2573" max="2573" width="5.375" style="1736" customWidth="1"/>
    <col min="2574" max="2816" width="9" style="1736"/>
    <col min="2817" max="2817" width="4.625" style="1736" customWidth="1"/>
    <col min="2818" max="2818" width="4.375" style="1736" customWidth="1"/>
    <col min="2819" max="2819" width="5.25" style="1736" customWidth="1"/>
    <col min="2820" max="2820" width="17.5" style="1736" customWidth="1"/>
    <col min="2821" max="2821" width="36.25" style="1736" customWidth="1"/>
    <col min="2822" max="2822" width="15.875" style="1736" customWidth="1"/>
    <col min="2823" max="2823" width="15.25" style="1736" customWidth="1"/>
    <col min="2824" max="2824" width="14.625" style="1736" customWidth="1"/>
    <col min="2825" max="2827" width="14.875" style="1736" bestFit="1" customWidth="1"/>
    <col min="2828" max="2828" width="54.125" style="1736" customWidth="1"/>
    <col min="2829" max="2829" width="5.375" style="1736" customWidth="1"/>
    <col min="2830" max="3072" width="9" style="1736"/>
    <col min="3073" max="3073" width="4.625" style="1736" customWidth="1"/>
    <col min="3074" max="3074" width="4.375" style="1736" customWidth="1"/>
    <col min="3075" max="3075" width="5.25" style="1736" customWidth="1"/>
    <col min="3076" max="3076" width="17.5" style="1736" customWidth="1"/>
    <col min="3077" max="3077" width="36.25" style="1736" customWidth="1"/>
    <col min="3078" max="3078" width="15.875" style="1736" customWidth="1"/>
    <col min="3079" max="3079" width="15.25" style="1736" customWidth="1"/>
    <col min="3080" max="3080" width="14.625" style="1736" customWidth="1"/>
    <col min="3081" max="3083" width="14.875" style="1736" bestFit="1" customWidth="1"/>
    <col min="3084" max="3084" width="54.125" style="1736" customWidth="1"/>
    <col min="3085" max="3085" width="5.375" style="1736" customWidth="1"/>
    <col min="3086" max="3328" width="9" style="1736"/>
    <col min="3329" max="3329" width="4.625" style="1736" customWidth="1"/>
    <col min="3330" max="3330" width="4.375" style="1736" customWidth="1"/>
    <col min="3331" max="3331" width="5.25" style="1736" customWidth="1"/>
    <col min="3332" max="3332" width="17.5" style="1736" customWidth="1"/>
    <col min="3333" max="3333" width="36.25" style="1736" customWidth="1"/>
    <col min="3334" max="3334" width="15.875" style="1736" customWidth="1"/>
    <col min="3335" max="3335" width="15.25" style="1736" customWidth="1"/>
    <col min="3336" max="3336" width="14.625" style="1736" customWidth="1"/>
    <col min="3337" max="3339" width="14.875" style="1736" bestFit="1" customWidth="1"/>
    <col min="3340" max="3340" width="54.125" style="1736" customWidth="1"/>
    <col min="3341" max="3341" width="5.375" style="1736" customWidth="1"/>
    <col min="3342" max="3584" width="9" style="1736"/>
    <col min="3585" max="3585" width="4.625" style="1736" customWidth="1"/>
    <col min="3586" max="3586" width="4.375" style="1736" customWidth="1"/>
    <col min="3587" max="3587" width="5.25" style="1736" customWidth="1"/>
    <col min="3588" max="3588" width="17.5" style="1736" customWidth="1"/>
    <col min="3589" max="3589" width="36.25" style="1736" customWidth="1"/>
    <col min="3590" max="3590" width="15.875" style="1736" customWidth="1"/>
    <col min="3591" max="3591" width="15.25" style="1736" customWidth="1"/>
    <col min="3592" max="3592" width="14.625" style="1736" customWidth="1"/>
    <col min="3593" max="3595" width="14.875" style="1736" bestFit="1" customWidth="1"/>
    <col min="3596" max="3596" width="54.125" style="1736" customWidth="1"/>
    <col min="3597" max="3597" width="5.375" style="1736" customWidth="1"/>
    <col min="3598" max="3840" width="9" style="1736"/>
    <col min="3841" max="3841" width="4.625" style="1736" customWidth="1"/>
    <col min="3842" max="3842" width="4.375" style="1736" customWidth="1"/>
    <col min="3843" max="3843" width="5.25" style="1736" customWidth="1"/>
    <col min="3844" max="3844" width="17.5" style="1736" customWidth="1"/>
    <col min="3845" max="3845" width="36.25" style="1736" customWidth="1"/>
    <col min="3846" max="3846" width="15.875" style="1736" customWidth="1"/>
    <col min="3847" max="3847" width="15.25" style="1736" customWidth="1"/>
    <col min="3848" max="3848" width="14.625" style="1736" customWidth="1"/>
    <col min="3849" max="3851" width="14.875" style="1736" bestFit="1" customWidth="1"/>
    <col min="3852" max="3852" width="54.125" style="1736" customWidth="1"/>
    <col min="3853" max="3853" width="5.375" style="1736" customWidth="1"/>
    <col min="3854" max="4096" width="9" style="1736"/>
    <col min="4097" max="4097" width="4.625" style="1736" customWidth="1"/>
    <col min="4098" max="4098" width="4.375" style="1736" customWidth="1"/>
    <col min="4099" max="4099" width="5.25" style="1736" customWidth="1"/>
    <col min="4100" max="4100" width="17.5" style="1736" customWidth="1"/>
    <col min="4101" max="4101" width="36.25" style="1736" customWidth="1"/>
    <col min="4102" max="4102" width="15.875" style="1736" customWidth="1"/>
    <col min="4103" max="4103" width="15.25" style="1736" customWidth="1"/>
    <col min="4104" max="4104" width="14.625" style="1736" customWidth="1"/>
    <col min="4105" max="4107" width="14.875" style="1736" bestFit="1" customWidth="1"/>
    <col min="4108" max="4108" width="54.125" style="1736" customWidth="1"/>
    <col min="4109" max="4109" width="5.375" style="1736" customWidth="1"/>
    <col min="4110" max="4352" width="9" style="1736"/>
    <col min="4353" max="4353" width="4.625" style="1736" customWidth="1"/>
    <col min="4354" max="4354" width="4.375" style="1736" customWidth="1"/>
    <col min="4355" max="4355" width="5.25" style="1736" customWidth="1"/>
    <col min="4356" max="4356" width="17.5" style="1736" customWidth="1"/>
    <col min="4357" max="4357" width="36.25" style="1736" customWidth="1"/>
    <col min="4358" max="4358" width="15.875" style="1736" customWidth="1"/>
    <col min="4359" max="4359" width="15.25" style="1736" customWidth="1"/>
    <col min="4360" max="4360" width="14.625" style="1736" customWidth="1"/>
    <col min="4361" max="4363" width="14.875" style="1736" bestFit="1" customWidth="1"/>
    <col min="4364" max="4364" width="54.125" style="1736" customWidth="1"/>
    <col min="4365" max="4365" width="5.375" style="1736" customWidth="1"/>
    <col min="4366" max="4608" width="9" style="1736"/>
    <col min="4609" max="4609" width="4.625" style="1736" customWidth="1"/>
    <col min="4610" max="4610" width="4.375" style="1736" customWidth="1"/>
    <col min="4611" max="4611" width="5.25" style="1736" customWidth="1"/>
    <col min="4612" max="4612" width="17.5" style="1736" customWidth="1"/>
    <col min="4613" max="4613" width="36.25" style="1736" customWidth="1"/>
    <col min="4614" max="4614" width="15.875" style="1736" customWidth="1"/>
    <col min="4615" max="4615" width="15.25" style="1736" customWidth="1"/>
    <col min="4616" max="4616" width="14.625" style="1736" customWidth="1"/>
    <col min="4617" max="4619" width="14.875" style="1736" bestFit="1" customWidth="1"/>
    <col min="4620" max="4620" width="54.125" style="1736" customWidth="1"/>
    <col min="4621" max="4621" width="5.375" style="1736" customWidth="1"/>
    <col min="4622" max="4864" width="9" style="1736"/>
    <col min="4865" max="4865" width="4.625" style="1736" customWidth="1"/>
    <col min="4866" max="4866" width="4.375" style="1736" customWidth="1"/>
    <col min="4867" max="4867" width="5.25" style="1736" customWidth="1"/>
    <col min="4868" max="4868" width="17.5" style="1736" customWidth="1"/>
    <col min="4869" max="4869" width="36.25" style="1736" customWidth="1"/>
    <col min="4870" max="4870" width="15.875" style="1736" customWidth="1"/>
    <col min="4871" max="4871" width="15.25" style="1736" customWidth="1"/>
    <col min="4872" max="4872" width="14.625" style="1736" customWidth="1"/>
    <col min="4873" max="4875" width="14.875" style="1736" bestFit="1" customWidth="1"/>
    <col min="4876" max="4876" width="54.125" style="1736" customWidth="1"/>
    <col min="4877" max="4877" width="5.375" style="1736" customWidth="1"/>
    <col min="4878" max="5120" width="9" style="1736"/>
    <col min="5121" max="5121" width="4.625" style="1736" customWidth="1"/>
    <col min="5122" max="5122" width="4.375" style="1736" customWidth="1"/>
    <col min="5123" max="5123" width="5.25" style="1736" customWidth="1"/>
    <col min="5124" max="5124" width="17.5" style="1736" customWidth="1"/>
    <col min="5125" max="5125" width="36.25" style="1736" customWidth="1"/>
    <col min="5126" max="5126" width="15.875" style="1736" customWidth="1"/>
    <col min="5127" max="5127" width="15.25" style="1736" customWidth="1"/>
    <col min="5128" max="5128" width="14.625" style="1736" customWidth="1"/>
    <col min="5129" max="5131" width="14.875" style="1736" bestFit="1" customWidth="1"/>
    <col min="5132" max="5132" width="54.125" style="1736" customWidth="1"/>
    <col min="5133" max="5133" width="5.375" style="1736" customWidth="1"/>
    <col min="5134" max="5376" width="9" style="1736"/>
    <col min="5377" max="5377" width="4.625" style="1736" customWidth="1"/>
    <col min="5378" max="5378" width="4.375" style="1736" customWidth="1"/>
    <col min="5379" max="5379" width="5.25" style="1736" customWidth="1"/>
    <col min="5380" max="5380" width="17.5" style="1736" customWidth="1"/>
    <col min="5381" max="5381" width="36.25" style="1736" customWidth="1"/>
    <col min="5382" max="5382" width="15.875" style="1736" customWidth="1"/>
    <col min="5383" max="5383" width="15.25" style="1736" customWidth="1"/>
    <col min="5384" max="5384" width="14.625" style="1736" customWidth="1"/>
    <col min="5385" max="5387" width="14.875" style="1736" bestFit="1" customWidth="1"/>
    <col min="5388" max="5388" width="54.125" style="1736" customWidth="1"/>
    <col min="5389" max="5389" width="5.375" style="1736" customWidth="1"/>
    <col min="5390" max="5632" width="9" style="1736"/>
    <col min="5633" max="5633" width="4.625" style="1736" customWidth="1"/>
    <col min="5634" max="5634" width="4.375" style="1736" customWidth="1"/>
    <col min="5635" max="5635" width="5.25" style="1736" customWidth="1"/>
    <col min="5636" max="5636" width="17.5" style="1736" customWidth="1"/>
    <col min="5637" max="5637" width="36.25" style="1736" customWidth="1"/>
    <col min="5638" max="5638" width="15.875" style="1736" customWidth="1"/>
    <col min="5639" max="5639" width="15.25" style="1736" customWidth="1"/>
    <col min="5640" max="5640" width="14.625" style="1736" customWidth="1"/>
    <col min="5641" max="5643" width="14.875" style="1736" bestFit="1" customWidth="1"/>
    <col min="5644" max="5644" width="54.125" style="1736" customWidth="1"/>
    <col min="5645" max="5645" width="5.375" style="1736" customWidth="1"/>
    <col min="5646" max="5888" width="9" style="1736"/>
    <col min="5889" max="5889" width="4.625" style="1736" customWidth="1"/>
    <col min="5890" max="5890" width="4.375" style="1736" customWidth="1"/>
    <col min="5891" max="5891" width="5.25" style="1736" customWidth="1"/>
    <col min="5892" max="5892" width="17.5" style="1736" customWidth="1"/>
    <col min="5893" max="5893" width="36.25" style="1736" customWidth="1"/>
    <col min="5894" max="5894" width="15.875" style="1736" customWidth="1"/>
    <col min="5895" max="5895" width="15.25" style="1736" customWidth="1"/>
    <col min="5896" max="5896" width="14.625" style="1736" customWidth="1"/>
    <col min="5897" max="5899" width="14.875" style="1736" bestFit="1" customWidth="1"/>
    <col min="5900" max="5900" width="54.125" style="1736" customWidth="1"/>
    <col min="5901" max="5901" width="5.375" style="1736" customWidth="1"/>
    <col min="5902" max="6144" width="9" style="1736"/>
    <col min="6145" max="6145" width="4.625" style="1736" customWidth="1"/>
    <col min="6146" max="6146" width="4.375" style="1736" customWidth="1"/>
    <col min="6147" max="6147" width="5.25" style="1736" customWidth="1"/>
    <col min="6148" max="6148" width="17.5" style="1736" customWidth="1"/>
    <col min="6149" max="6149" width="36.25" style="1736" customWidth="1"/>
    <col min="6150" max="6150" width="15.875" style="1736" customWidth="1"/>
    <col min="6151" max="6151" width="15.25" style="1736" customWidth="1"/>
    <col min="6152" max="6152" width="14.625" style="1736" customWidth="1"/>
    <col min="6153" max="6155" width="14.875" style="1736" bestFit="1" customWidth="1"/>
    <col min="6156" max="6156" width="54.125" style="1736" customWidth="1"/>
    <col min="6157" max="6157" width="5.375" style="1736" customWidth="1"/>
    <col min="6158" max="6400" width="9" style="1736"/>
    <col min="6401" max="6401" width="4.625" style="1736" customWidth="1"/>
    <col min="6402" max="6402" width="4.375" style="1736" customWidth="1"/>
    <col min="6403" max="6403" width="5.25" style="1736" customWidth="1"/>
    <col min="6404" max="6404" width="17.5" style="1736" customWidth="1"/>
    <col min="6405" max="6405" width="36.25" style="1736" customWidth="1"/>
    <col min="6406" max="6406" width="15.875" style="1736" customWidth="1"/>
    <col min="6407" max="6407" width="15.25" style="1736" customWidth="1"/>
    <col min="6408" max="6408" width="14.625" style="1736" customWidth="1"/>
    <col min="6409" max="6411" width="14.875" style="1736" bestFit="1" customWidth="1"/>
    <col min="6412" max="6412" width="54.125" style="1736" customWidth="1"/>
    <col min="6413" max="6413" width="5.375" style="1736" customWidth="1"/>
    <col min="6414" max="6656" width="9" style="1736"/>
    <col min="6657" max="6657" width="4.625" style="1736" customWidth="1"/>
    <col min="6658" max="6658" width="4.375" style="1736" customWidth="1"/>
    <col min="6659" max="6659" width="5.25" style="1736" customWidth="1"/>
    <col min="6660" max="6660" width="17.5" style="1736" customWidth="1"/>
    <col min="6661" max="6661" width="36.25" style="1736" customWidth="1"/>
    <col min="6662" max="6662" width="15.875" style="1736" customWidth="1"/>
    <col min="6663" max="6663" width="15.25" style="1736" customWidth="1"/>
    <col min="6664" max="6664" width="14.625" style="1736" customWidth="1"/>
    <col min="6665" max="6667" width="14.875" style="1736" bestFit="1" customWidth="1"/>
    <col min="6668" max="6668" width="54.125" style="1736" customWidth="1"/>
    <col min="6669" max="6669" width="5.375" style="1736" customWidth="1"/>
    <col min="6670" max="6912" width="9" style="1736"/>
    <col min="6913" max="6913" width="4.625" style="1736" customWidth="1"/>
    <col min="6914" max="6914" width="4.375" style="1736" customWidth="1"/>
    <col min="6915" max="6915" width="5.25" style="1736" customWidth="1"/>
    <col min="6916" max="6916" width="17.5" style="1736" customWidth="1"/>
    <col min="6917" max="6917" width="36.25" style="1736" customWidth="1"/>
    <col min="6918" max="6918" width="15.875" style="1736" customWidth="1"/>
    <col min="6919" max="6919" width="15.25" style="1736" customWidth="1"/>
    <col min="6920" max="6920" width="14.625" style="1736" customWidth="1"/>
    <col min="6921" max="6923" width="14.875" style="1736" bestFit="1" customWidth="1"/>
    <col min="6924" max="6924" width="54.125" style="1736" customWidth="1"/>
    <col min="6925" max="6925" width="5.375" style="1736" customWidth="1"/>
    <col min="6926" max="7168" width="9" style="1736"/>
    <col min="7169" max="7169" width="4.625" style="1736" customWidth="1"/>
    <col min="7170" max="7170" width="4.375" style="1736" customWidth="1"/>
    <col min="7171" max="7171" width="5.25" style="1736" customWidth="1"/>
    <col min="7172" max="7172" width="17.5" style="1736" customWidth="1"/>
    <col min="7173" max="7173" width="36.25" style="1736" customWidth="1"/>
    <col min="7174" max="7174" width="15.875" style="1736" customWidth="1"/>
    <col min="7175" max="7175" width="15.25" style="1736" customWidth="1"/>
    <col min="7176" max="7176" width="14.625" style="1736" customWidth="1"/>
    <col min="7177" max="7179" width="14.875" style="1736" bestFit="1" customWidth="1"/>
    <col min="7180" max="7180" width="54.125" style="1736" customWidth="1"/>
    <col min="7181" max="7181" width="5.375" style="1736" customWidth="1"/>
    <col min="7182" max="7424" width="9" style="1736"/>
    <col min="7425" max="7425" width="4.625" style="1736" customWidth="1"/>
    <col min="7426" max="7426" width="4.375" style="1736" customWidth="1"/>
    <col min="7427" max="7427" width="5.25" style="1736" customWidth="1"/>
    <col min="7428" max="7428" width="17.5" style="1736" customWidth="1"/>
    <col min="7429" max="7429" width="36.25" style="1736" customWidth="1"/>
    <col min="7430" max="7430" width="15.875" style="1736" customWidth="1"/>
    <col min="7431" max="7431" width="15.25" style="1736" customWidth="1"/>
    <col min="7432" max="7432" width="14.625" style="1736" customWidth="1"/>
    <col min="7433" max="7435" width="14.875" style="1736" bestFit="1" customWidth="1"/>
    <col min="7436" max="7436" width="54.125" style="1736" customWidth="1"/>
    <col min="7437" max="7437" width="5.375" style="1736" customWidth="1"/>
    <col min="7438" max="7680" width="9" style="1736"/>
    <col min="7681" max="7681" width="4.625" style="1736" customWidth="1"/>
    <col min="7682" max="7682" width="4.375" style="1736" customWidth="1"/>
    <col min="7683" max="7683" width="5.25" style="1736" customWidth="1"/>
    <col min="7684" max="7684" width="17.5" style="1736" customWidth="1"/>
    <col min="7685" max="7685" width="36.25" style="1736" customWidth="1"/>
    <col min="7686" max="7686" width="15.875" style="1736" customWidth="1"/>
    <col min="7687" max="7687" width="15.25" style="1736" customWidth="1"/>
    <col min="7688" max="7688" width="14.625" style="1736" customWidth="1"/>
    <col min="7689" max="7691" width="14.875" style="1736" bestFit="1" customWidth="1"/>
    <col min="7692" max="7692" width="54.125" style="1736" customWidth="1"/>
    <col min="7693" max="7693" width="5.375" style="1736" customWidth="1"/>
    <col min="7694" max="7936" width="9" style="1736"/>
    <col min="7937" max="7937" width="4.625" style="1736" customWidth="1"/>
    <col min="7938" max="7938" width="4.375" style="1736" customWidth="1"/>
    <col min="7939" max="7939" width="5.25" style="1736" customWidth="1"/>
    <col min="7940" max="7940" width="17.5" style="1736" customWidth="1"/>
    <col min="7941" max="7941" width="36.25" style="1736" customWidth="1"/>
    <col min="7942" max="7942" width="15.875" style="1736" customWidth="1"/>
    <col min="7943" max="7943" width="15.25" style="1736" customWidth="1"/>
    <col min="7944" max="7944" width="14.625" style="1736" customWidth="1"/>
    <col min="7945" max="7947" width="14.875" style="1736" bestFit="1" customWidth="1"/>
    <col min="7948" max="7948" width="54.125" style="1736" customWidth="1"/>
    <col min="7949" max="7949" width="5.375" style="1736" customWidth="1"/>
    <col min="7950" max="8192" width="9" style="1736"/>
    <col min="8193" max="8193" width="4.625" style="1736" customWidth="1"/>
    <col min="8194" max="8194" width="4.375" style="1736" customWidth="1"/>
    <col min="8195" max="8195" width="5.25" style="1736" customWidth="1"/>
    <col min="8196" max="8196" width="17.5" style="1736" customWidth="1"/>
    <col min="8197" max="8197" width="36.25" style="1736" customWidth="1"/>
    <col min="8198" max="8198" width="15.875" style="1736" customWidth="1"/>
    <col min="8199" max="8199" width="15.25" style="1736" customWidth="1"/>
    <col min="8200" max="8200" width="14.625" style="1736" customWidth="1"/>
    <col min="8201" max="8203" width="14.875" style="1736" bestFit="1" customWidth="1"/>
    <col min="8204" max="8204" width="54.125" style="1736" customWidth="1"/>
    <col min="8205" max="8205" width="5.375" style="1736" customWidth="1"/>
    <col min="8206" max="8448" width="9" style="1736"/>
    <col min="8449" max="8449" width="4.625" style="1736" customWidth="1"/>
    <col min="8450" max="8450" width="4.375" style="1736" customWidth="1"/>
    <col min="8451" max="8451" width="5.25" style="1736" customWidth="1"/>
    <col min="8452" max="8452" width="17.5" style="1736" customWidth="1"/>
    <col min="8453" max="8453" width="36.25" style="1736" customWidth="1"/>
    <col min="8454" max="8454" width="15.875" style="1736" customWidth="1"/>
    <col min="8455" max="8455" width="15.25" style="1736" customWidth="1"/>
    <col min="8456" max="8456" width="14.625" style="1736" customWidth="1"/>
    <col min="8457" max="8459" width="14.875" style="1736" bestFit="1" customWidth="1"/>
    <col min="8460" max="8460" width="54.125" style="1736" customWidth="1"/>
    <col min="8461" max="8461" width="5.375" style="1736" customWidth="1"/>
    <col min="8462" max="8704" width="9" style="1736"/>
    <col min="8705" max="8705" width="4.625" style="1736" customWidth="1"/>
    <col min="8706" max="8706" width="4.375" style="1736" customWidth="1"/>
    <col min="8707" max="8707" width="5.25" style="1736" customWidth="1"/>
    <col min="8708" max="8708" width="17.5" style="1736" customWidth="1"/>
    <col min="8709" max="8709" width="36.25" style="1736" customWidth="1"/>
    <col min="8710" max="8710" width="15.875" style="1736" customWidth="1"/>
    <col min="8711" max="8711" width="15.25" style="1736" customWidth="1"/>
    <col min="8712" max="8712" width="14.625" style="1736" customWidth="1"/>
    <col min="8713" max="8715" width="14.875" style="1736" bestFit="1" customWidth="1"/>
    <col min="8716" max="8716" width="54.125" style="1736" customWidth="1"/>
    <col min="8717" max="8717" width="5.375" style="1736" customWidth="1"/>
    <col min="8718" max="8960" width="9" style="1736"/>
    <col min="8961" max="8961" width="4.625" style="1736" customWidth="1"/>
    <col min="8962" max="8962" width="4.375" style="1736" customWidth="1"/>
    <col min="8963" max="8963" width="5.25" style="1736" customWidth="1"/>
    <col min="8964" max="8964" width="17.5" style="1736" customWidth="1"/>
    <col min="8965" max="8965" width="36.25" style="1736" customWidth="1"/>
    <col min="8966" max="8966" width="15.875" style="1736" customWidth="1"/>
    <col min="8967" max="8967" width="15.25" style="1736" customWidth="1"/>
    <col min="8968" max="8968" width="14.625" style="1736" customWidth="1"/>
    <col min="8969" max="8971" width="14.875" style="1736" bestFit="1" customWidth="1"/>
    <col min="8972" max="8972" width="54.125" style="1736" customWidth="1"/>
    <col min="8973" max="8973" width="5.375" style="1736" customWidth="1"/>
    <col min="8974" max="9216" width="9" style="1736"/>
    <col min="9217" max="9217" width="4.625" style="1736" customWidth="1"/>
    <col min="9218" max="9218" width="4.375" style="1736" customWidth="1"/>
    <col min="9219" max="9219" width="5.25" style="1736" customWidth="1"/>
    <col min="9220" max="9220" width="17.5" style="1736" customWidth="1"/>
    <col min="9221" max="9221" width="36.25" style="1736" customWidth="1"/>
    <col min="9222" max="9222" width="15.875" style="1736" customWidth="1"/>
    <col min="9223" max="9223" width="15.25" style="1736" customWidth="1"/>
    <col min="9224" max="9224" width="14.625" style="1736" customWidth="1"/>
    <col min="9225" max="9227" width="14.875" style="1736" bestFit="1" customWidth="1"/>
    <col min="9228" max="9228" width="54.125" style="1736" customWidth="1"/>
    <col min="9229" max="9229" width="5.375" style="1736" customWidth="1"/>
    <col min="9230" max="9472" width="9" style="1736"/>
    <col min="9473" max="9473" width="4.625" style="1736" customWidth="1"/>
    <col min="9474" max="9474" width="4.375" style="1736" customWidth="1"/>
    <col min="9475" max="9475" width="5.25" style="1736" customWidth="1"/>
    <col min="9476" max="9476" width="17.5" style="1736" customWidth="1"/>
    <col min="9477" max="9477" width="36.25" style="1736" customWidth="1"/>
    <col min="9478" max="9478" width="15.875" style="1736" customWidth="1"/>
    <col min="9479" max="9479" width="15.25" style="1736" customWidth="1"/>
    <col min="9480" max="9480" width="14.625" style="1736" customWidth="1"/>
    <col min="9481" max="9483" width="14.875" style="1736" bestFit="1" customWidth="1"/>
    <col min="9484" max="9484" width="54.125" style="1736" customWidth="1"/>
    <col min="9485" max="9485" width="5.375" style="1736" customWidth="1"/>
    <col min="9486" max="9728" width="9" style="1736"/>
    <col min="9729" max="9729" width="4.625" style="1736" customWidth="1"/>
    <col min="9730" max="9730" width="4.375" style="1736" customWidth="1"/>
    <col min="9731" max="9731" width="5.25" style="1736" customWidth="1"/>
    <col min="9732" max="9732" width="17.5" style="1736" customWidth="1"/>
    <col min="9733" max="9733" width="36.25" style="1736" customWidth="1"/>
    <col min="9734" max="9734" width="15.875" style="1736" customWidth="1"/>
    <col min="9735" max="9735" width="15.25" style="1736" customWidth="1"/>
    <col min="9736" max="9736" width="14.625" style="1736" customWidth="1"/>
    <col min="9737" max="9739" width="14.875" style="1736" bestFit="1" customWidth="1"/>
    <col min="9740" max="9740" width="54.125" style="1736" customWidth="1"/>
    <col min="9741" max="9741" width="5.375" style="1736" customWidth="1"/>
    <col min="9742" max="9984" width="9" style="1736"/>
    <col min="9985" max="9985" width="4.625" style="1736" customWidth="1"/>
    <col min="9986" max="9986" width="4.375" style="1736" customWidth="1"/>
    <col min="9987" max="9987" width="5.25" style="1736" customWidth="1"/>
    <col min="9988" max="9988" width="17.5" style="1736" customWidth="1"/>
    <col min="9989" max="9989" width="36.25" style="1736" customWidth="1"/>
    <col min="9990" max="9990" width="15.875" style="1736" customWidth="1"/>
    <col min="9991" max="9991" width="15.25" style="1736" customWidth="1"/>
    <col min="9992" max="9992" width="14.625" style="1736" customWidth="1"/>
    <col min="9993" max="9995" width="14.875" style="1736" bestFit="1" customWidth="1"/>
    <col min="9996" max="9996" width="54.125" style="1736" customWidth="1"/>
    <col min="9997" max="9997" width="5.375" style="1736" customWidth="1"/>
    <col min="9998" max="10240" width="9" style="1736"/>
    <col min="10241" max="10241" width="4.625" style="1736" customWidth="1"/>
    <col min="10242" max="10242" width="4.375" style="1736" customWidth="1"/>
    <col min="10243" max="10243" width="5.25" style="1736" customWidth="1"/>
    <col min="10244" max="10244" width="17.5" style="1736" customWidth="1"/>
    <col min="10245" max="10245" width="36.25" style="1736" customWidth="1"/>
    <col min="10246" max="10246" width="15.875" style="1736" customWidth="1"/>
    <col min="10247" max="10247" width="15.25" style="1736" customWidth="1"/>
    <col min="10248" max="10248" width="14.625" style="1736" customWidth="1"/>
    <col min="10249" max="10251" width="14.875" style="1736" bestFit="1" customWidth="1"/>
    <col min="10252" max="10252" width="54.125" style="1736" customWidth="1"/>
    <col min="10253" max="10253" width="5.375" style="1736" customWidth="1"/>
    <col min="10254" max="10496" width="9" style="1736"/>
    <col min="10497" max="10497" width="4.625" style="1736" customWidth="1"/>
    <col min="10498" max="10498" width="4.375" style="1736" customWidth="1"/>
    <col min="10499" max="10499" width="5.25" style="1736" customWidth="1"/>
    <col min="10500" max="10500" width="17.5" style="1736" customWidth="1"/>
    <col min="10501" max="10501" width="36.25" style="1736" customWidth="1"/>
    <col min="10502" max="10502" width="15.875" style="1736" customWidth="1"/>
    <col min="10503" max="10503" width="15.25" style="1736" customWidth="1"/>
    <col min="10504" max="10504" width="14.625" style="1736" customWidth="1"/>
    <col min="10505" max="10507" width="14.875" style="1736" bestFit="1" customWidth="1"/>
    <col min="10508" max="10508" width="54.125" style="1736" customWidth="1"/>
    <col min="10509" max="10509" width="5.375" style="1736" customWidth="1"/>
    <col min="10510" max="10752" width="9" style="1736"/>
    <col min="10753" max="10753" width="4.625" style="1736" customWidth="1"/>
    <col min="10754" max="10754" width="4.375" style="1736" customWidth="1"/>
    <col min="10755" max="10755" width="5.25" style="1736" customWidth="1"/>
    <col min="10756" max="10756" width="17.5" style="1736" customWidth="1"/>
    <col min="10757" max="10757" width="36.25" style="1736" customWidth="1"/>
    <col min="10758" max="10758" width="15.875" style="1736" customWidth="1"/>
    <col min="10759" max="10759" width="15.25" style="1736" customWidth="1"/>
    <col min="10760" max="10760" width="14.625" style="1736" customWidth="1"/>
    <col min="10761" max="10763" width="14.875" style="1736" bestFit="1" customWidth="1"/>
    <col min="10764" max="10764" width="54.125" style="1736" customWidth="1"/>
    <col min="10765" max="10765" width="5.375" style="1736" customWidth="1"/>
    <col min="10766" max="11008" width="9" style="1736"/>
    <col min="11009" max="11009" width="4.625" style="1736" customWidth="1"/>
    <col min="11010" max="11010" width="4.375" style="1736" customWidth="1"/>
    <col min="11011" max="11011" width="5.25" style="1736" customWidth="1"/>
    <col min="11012" max="11012" width="17.5" style="1736" customWidth="1"/>
    <col min="11013" max="11013" width="36.25" style="1736" customWidth="1"/>
    <col min="11014" max="11014" width="15.875" style="1736" customWidth="1"/>
    <col min="11015" max="11015" width="15.25" style="1736" customWidth="1"/>
    <col min="11016" max="11016" width="14.625" style="1736" customWidth="1"/>
    <col min="11017" max="11019" width="14.875" style="1736" bestFit="1" customWidth="1"/>
    <col min="11020" max="11020" width="54.125" style="1736" customWidth="1"/>
    <col min="11021" max="11021" width="5.375" style="1736" customWidth="1"/>
    <col min="11022" max="11264" width="9" style="1736"/>
    <col min="11265" max="11265" width="4.625" style="1736" customWidth="1"/>
    <col min="11266" max="11266" width="4.375" style="1736" customWidth="1"/>
    <col min="11267" max="11267" width="5.25" style="1736" customWidth="1"/>
    <col min="11268" max="11268" width="17.5" style="1736" customWidth="1"/>
    <col min="11269" max="11269" width="36.25" style="1736" customWidth="1"/>
    <col min="11270" max="11270" width="15.875" style="1736" customWidth="1"/>
    <col min="11271" max="11271" width="15.25" style="1736" customWidth="1"/>
    <col min="11272" max="11272" width="14.625" style="1736" customWidth="1"/>
    <col min="11273" max="11275" width="14.875" style="1736" bestFit="1" customWidth="1"/>
    <col min="11276" max="11276" width="54.125" style="1736" customWidth="1"/>
    <col min="11277" max="11277" width="5.375" style="1736" customWidth="1"/>
    <col min="11278" max="11520" width="9" style="1736"/>
    <col min="11521" max="11521" width="4.625" style="1736" customWidth="1"/>
    <col min="11522" max="11522" width="4.375" style="1736" customWidth="1"/>
    <col min="11523" max="11523" width="5.25" style="1736" customWidth="1"/>
    <col min="11524" max="11524" width="17.5" style="1736" customWidth="1"/>
    <col min="11525" max="11525" width="36.25" style="1736" customWidth="1"/>
    <col min="11526" max="11526" width="15.875" style="1736" customWidth="1"/>
    <col min="11527" max="11527" width="15.25" style="1736" customWidth="1"/>
    <col min="11528" max="11528" width="14.625" style="1736" customWidth="1"/>
    <col min="11529" max="11531" width="14.875" style="1736" bestFit="1" customWidth="1"/>
    <col min="11532" max="11532" width="54.125" style="1736" customWidth="1"/>
    <col min="11533" max="11533" width="5.375" style="1736" customWidth="1"/>
    <col min="11534" max="11776" width="9" style="1736"/>
    <col min="11777" max="11777" width="4.625" style="1736" customWidth="1"/>
    <col min="11778" max="11778" width="4.375" style="1736" customWidth="1"/>
    <col min="11779" max="11779" width="5.25" style="1736" customWidth="1"/>
    <col min="11780" max="11780" width="17.5" style="1736" customWidth="1"/>
    <col min="11781" max="11781" width="36.25" style="1736" customWidth="1"/>
    <col min="11782" max="11782" width="15.875" style="1736" customWidth="1"/>
    <col min="11783" max="11783" width="15.25" style="1736" customWidth="1"/>
    <col min="11784" max="11784" width="14.625" style="1736" customWidth="1"/>
    <col min="11785" max="11787" width="14.875" style="1736" bestFit="1" customWidth="1"/>
    <col min="11788" max="11788" width="54.125" style="1736" customWidth="1"/>
    <col min="11789" max="11789" width="5.375" style="1736" customWidth="1"/>
    <col min="11790" max="12032" width="9" style="1736"/>
    <col min="12033" max="12033" width="4.625" style="1736" customWidth="1"/>
    <col min="12034" max="12034" width="4.375" style="1736" customWidth="1"/>
    <col min="12035" max="12035" width="5.25" style="1736" customWidth="1"/>
    <col min="12036" max="12036" width="17.5" style="1736" customWidth="1"/>
    <col min="12037" max="12037" width="36.25" style="1736" customWidth="1"/>
    <col min="12038" max="12038" width="15.875" style="1736" customWidth="1"/>
    <col min="12039" max="12039" width="15.25" style="1736" customWidth="1"/>
    <col min="12040" max="12040" width="14.625" style="1736" customWidth="1"/>
    <col min="12041" max="12043" width="14.875" style="1736" bestFit="1" customWidth="1"/>
    <col min="12044" max="12044" width="54.125" style="1736" customWidth="1"/>
    <col min="12045" max="12045" width="5.375" style="1736" customWidth="1"/>
    <col min="12046" max="12288" width="9" style="1736"/>
    <col min="12289" max="12289" width="4.625" style="1736" customWidth="1"/>
    <col min="12290" max="12290" width="4.375" style="1736" customWidth="1"/>
    <col min="12291" max="12291" width="5.25" style="1736" customWidth="1"/>
    <col min="12292" max="12292" width="17.5" style="1736" customWidth="1"/>
    <col min="12293" max="12293" width="36.25" style="1736" customWidth="1"/>
    <col min="12294" max="12294" width="15.875" style="1736" customWidth="1"/>
    <col min="12295" max="12295" width="15.25" style="1736" customWidth="1"/>
    <col min="12296" max="12296" width="14.625" style="1736" customWidth="1"/>
    <col min="12297" max="12299" width="14.875" style="1736" bestFit="1" customWidth="1"/>
    <col min="12300" max="12300" width="54.125" style="1736" customWidth="1"/>
    <col min="12301" max="12301" width="5.375" style="1736" customWidth="1"/>
    <col min="12302" max="12544" width="9" style="1736"/>
    <col min="12545" max="12545" width="4.625" style="1736" customWidth="1"/>
    <col min="12546" max="12546" width="4.375" style="1736" customWidth="1"/>
    <col min="12547" max="12547" width="5.25" style="1736" customWidth="1"/>
    <col min="12548" max="12548" width="17.5" style="1736" customWidth="1"/>
    <col min="12549" max="12549" width="36.25" style="1736" customWidth="1"/>
    <col min="12550" max="12550" width="15.875" style="1736" customWidth="1"/>
    <col min="12551" max="12551" width="15.25" style="1736" customWidth="1"/>
    <col min="12552" max="12552" width="14.625" style="1736" customWidth="1"/>
    <col min="12553" max="12555" width="14.875" style="1736" bestFit="1" customWidth="1"/>
    <col min="12556" max="12556" width="54.125" style="1736" customWidth="1"/>
    <col min="12557" max="12557" width="5.375" style="1736" customWidth="1"/>
    <col min="12558" max="12800" width="9" style="1736"/>
    <col min="12801" max="12801" width="4.625" style="1736" customWidth="1"/>
    <col min="12802" max="12802" width="4.375" style="1736" customWidth="1"/>
    <col min="12803" max="12803" width="5.25" style="1736" customWidth="1"/>
    <col min="12804" max="12804" width="17.5" style="1736" customWidth="1"/>
    <col min="12805" max="12805" width="36.25" style="1736" customWidth="1"/>
    <col min="12806" max="12806" width="15.875" style="1736" customWidth="1"/>
    <col min="12807" max="12807" width="15.25" style="1736" customWidth="1"/>
    <col min="12808" max="12808" width="14.625" style="1736" customWidth="1"/>
    <col min="12809" max="12811" width="14.875" style="1736" bestFit="1" customWidth="1"/>
    <col min="12812" max="12812" width="54.125" style="1736" customWidth="1"/>
    <col min="12813" max="12813" width="5.375" style="1736" customWidth="1"/>
    <col min="12814" max="13056" width="9" style="1736"/>
    <col min="13057" max="13057" width="4.625" style="1736" customWidth="1"/>
    <col min="13058" max="13058" width="4.375" style="1736" customWidth="1"/>
    <col min="13059" max="13059" width="5.25" style="1736" customWidth="1"/>
    <col min="13060" max="13060" width="17.5" style="1736" customWidth="1"/>
    <col min="13061" max="13061" width="36.25" style="1736" customWidth="1"/>
    <col min="13062" max="13062" width="15.875" style="1736" customWidth="1"/>
    <col min="13063" max="13063" width="15.25" style="1736" customWidth="1"/>
    <col min="13064" max="13064" width="14.625" style="1736" customWidth="1"/>
    <col min="13065" max="13067" width="14.875" style="1736" bestFit="1" customWidth="1"/>
    <col min="13068" max="13068" width="54.125" style="1736" customWidth="1"/>
    <col min="13069" max="13069" width="5.375" style="1736" customWidth="1"/>
    <col min="13070" max="13312" width="9" style="1736"/>
    <col min="13313" max="13313" width="4.625" style="1736" customWidth="1"/>
    <col min="13314" max="13314" width="4.375" style="1736" customWidth="1"/>
    <col min="13315" max="13315" width="5.25" style="1736" customWidth="1"/>
    <col min="13316" max="13316" width="17.5" style="1736" customWidth="1"/>
    <col min="13317" max="13317" width="36.25" style="1736" customWidth="1"/>
    <col min="13318" max="13318" width="15.875" style="1736" customWidth="1"/>
    <col min="13319" max="13319" width="15.25" style="1736" customWidth="1"/>
    <col min="13320" max="13320" width="14.625" style="1736" customWidth="1"/>
    <col min="13321" max="13323" width="14.875" style="1736" bestFit="1" customWidth="1"/>
    <col min="13324" max="13324" width="54.125" style="1736" customWidth="1"/>
    <col min="13325" max="13325" width="5.375" style="1736" customWidth="1"/>
    <col min="13326" max="13568" width="9" style="1736"/>
    <col min="13569" max="13569" width="4.625" style="1736" customWidth="1"/>
    <col min="13570" max="13570" width="4.375" style="1736" customWidth="1"/>
    <col min="13571" max="13571" width="5.25" style="1736" customWidth="1"/>
    <col min="13572" max="13572" width="17.5" style="1736" customWidth="1"/>
    <col min="13573" max="13573" width="36.25" style="1736" customWidth="1"/>
    <col min="13574" max="13574" width="15.875" style="1736" customWidth="1"/>
    <col min="13575" max="13575" width="15.25" style="1736" customWidth="1"/>
    <col min="13576" max="13576" width="14.625" style="1736" customWidth="1"/>
    <col min="13577" max="13579" width="14.875" style="1736" bestFit="1" customWidth="1"/>
    <col min="13580" max="13580" width="54.125" style="1736" customWidth="1"/>
    <col min="13581" max="13581" width="5.375" style="1736" customWidth="1"/>
    <col min="13582" max="13824" width="9" style="1736"/>
    <col min="13825" max="13825" width="4.625" style="1736" customWidth="1"/>
    <col min="13826" max="13826" width="4.375" style="1736" customWidth="1"/>
    <col min="13827" max="13827" width="5.25" style="1736" customWidth="1"/>
    <col min="13828" max="13828" width="17.5" style="1736" customWidth="1"/>
    <col min="13829" max="13829" width="36.25" style="1736" customWidth="1"/>
    <col min="13830" max="13830" width="15.875" style="1736" customWidth="1"/>
    <col min="13831" max="13831" width="15.25" style="1736" customWidth="1"/>
    <col min="13832" max="13832" width="14.625" style="1736" customWidth="1"/>
    <col min="13833" max="13835" width="14.875" style="1736" bestFit="1" customWidth="1"/>
    <col min="13836" max="13836" width="54.125" style="1736" customWidth="1"/>
    <col min="13837" max="13837" width="5.375" style="1736" customWidth="1"/>
    <col min="13838" max="14080" width="9" style="1736"/>
    <col min="14081" max="14081" width="4.625" style="1736" customWidth="1"/>
    <col min="14082" max="14082" width="4.375" style="1736" customWidth="1"/>
    <col min="14083" max="14083" width="5.25" style="1736" customWidth="1"/>
    <col min="14084" max="14084" width="17.5" style="1736" customWidth="1"/>
    <col min="14085" max="14085" width="36.25" style="1736" customWidth="1"/>
    <col min="14086" max="14086" width="15.875" style="1736" customWidth="1"/>
    <col min="14087" max="14087" width="15.25" style="1736" customWidth="1"/>
    <col min="14088" max="14088" width="14.625" style="1736" customWidth="1"/>
    <col min="14089" max="14091" width="14.875" style="1736" bestFit="1" customWidth="1"/>
    <col min="14092" max="14092" width="54.125" style="1736" customWidth="1"/>
    <col min="14093" max="14093" width="5.375" style="1736" customWidth="1"/>
    <col min="14094" max="14336" width="9" style="1736"/>
    <col min="14337" max="14337" width="4.625" style="1736" customWidth="1"/>
    <col min="14338" max="14338" width="4.375" style="1736" customWidth="1"/>
    <col min="14339" max="14339" width="5.25" style="1736" customWidth="1"/>
    <col min="14340" max="14340" width="17.5" style="1736" customWidth="1"/>
    <col min="14341" max="14341" width="36.25" style="1736" customWidth="1"/>
    <col min="14342" max="14342" width="15.875" style="1736" customWidth="1"/>
    <col min="14343" max="14343" width="15.25" style="1736" customWidth="1"/>
    <col min="14344" max="14344" width="14.625" style="1736" customWidth="1"/>
    <col min="14345" max="14347" width="14.875" style="1736" bestFit="1" customWidth="1"/>
    <col min="14348" max="14348" width="54.125" style="1736" customWidth="1"/>
    <col min="14349" max="14349" width="5.375" style="1736" customWidth="1"/>
    <col min="14350" max="14592" width="9" style="1736"/>
    <col min="14593" max="14593" width="4.625" style="1736" customWidth="1"/>
    <col min="14594" max="14594" width="4.375" style="1736" customWidth="1"/>
    <col min="14595" max="14595" width="5.25" style="1736" customWidth="1"/>
    <col min="14596" max="14596" width="17.5" style="1736" customWidth="1"/>
    <col min="14597" max="14597" width="36.25" style="1736" customWidth="1"/>
    <col min="14598" max="14598" width="15.875" style="1736" customWidth="1"/>
    <col min="14599" max="14599" width="15.25" style="1736" customWidth="1"/>
    <col min="14600" max="14600" width="14.625" style="1736" customWidth="1"/>
    <col min="14601" max="14603" width="14.875" style="1736" bestFit="1" customWidth="1"/>
    <col min="14604" max="14604" width="54.125" style="1736" customWidth="1"/>
    <col min="14605" max="14605" width="5.375" style="1736" customWidth="1"/>
    <col min="14606" max="14848" width="9" style="1736"/>
    <col min="14849" max="14849" width="4.625" style="1736" customWidth="1"/>
    <col min="14850" max="14850" width="4.375" style="1736" customWidth="1"/>
    <col min="14851" max="14851" width="5.25" style="1736" customWidth="1"/>
    <col min="14852" max="14852" width="17.5" style="1736" customWidth="1"/>
    <col min="14853" max="14853" width="36.25" style="1736" customWidth="1"/>
    <col min="14854" max="14854" width="15.875" style="1736" customWidth="1"/>
    <col min="14855" max="14855" width="15.25" style="1736" customWidth="1"/>
    <col min="14856" max="14856" width="14.625" style="1736" customWidth="1"/>
    <col min="14857" max="14859" width="14.875" style="1736" bestFit="1" customWidth="1"/>
    <col min="14860" max="14860" width="54.125" style="1736" customWidth="1"/>
    <col min="14861" max="14861" width="5.375" style="1736" customWidth="1"/>
    <col min="14862" max="15104" width="9" style="1736"/>
    <col min="15105" max="15105" width="4.625" style="1736" customWidth="1"/>
    <col min="15106" max="15106" width="4.375" style="1736" customWidth="1"/>
    <col min="15107" max="15107" width="5.25" style="1736" customWidth="1"/>
    <col min="15108" max="15108" width="17.5" style="1736" customWidth="1"/>
    <col min="15109" max="15109" width="36.25" style="1736" customWidth="1"/>
    <col min="15110" max="15110" width="15.875" style="1736" customWidth="1"/>
    <col min="15111" max="15111" width="15.25" style="1736" customWidth="1"/>
    <col min="15112" max="15112" width="14.625" style="1736" customWidth="1"/>
    <col min="15113" max="15115" width="14.875" style="1736" bestFit="1" customWidth="1"/>
    <col min="15116" max="15116" width="54.125" style="1736" customWidth="1"/>
    <col min="15117" max="15117" width="5.375" style="1736" customWidth="1"/>
    <col min="15118" max="15360" width="9" style="1736"/>
    <col min="15361" max="15361" width="4.625" style="1736" customWidth="1"/>
    <col min="15362" max="15362" width="4.375" style="1736" customWidth="1"/>
    <col min="15363" max="15363" width="5.25" style="1736" customWidth="1"/>
    <col min="15364" max="15364" width="17.5" style="1736" customWidth="1"/>
    <col min="15365" max="15365" width="36.25" style="1736" customWidth="1"/>
    <col min="15366" max="15366" width="15.875" style="1736" customWidth="1"/>
    <col min="15367" max="15367" width="15.25" style="1736" customWidth="1"/>
    <col min="15368" max="15368" width="14.625" style="1736" customWidth="1"/>
    <col min="15369" max="15371" width="14.875" style="1736" bestFit="1" customWidth="1"/>
    <col min="15372" max="15372" width="54.125" style="1736" customWidth="1"/>
    <col min="15373" max="15373" width="5.375" style="1736" customWidth="1"/>
    <col min="15374" max="15616" width="9" style="1736"/>
    <col min="15617" max="15617" width="4.625" style="1736" customWidth="1"/>
    <col min="15618" max="15618" width="4.375" style="1736" customWidth="1"/>
    <col min="15619" max="15619" width="5.25" style="1736" customWidth="1"/>
    <col min="15620" max="15620" width="17.5" style="1736" customWidth="1"/>
    <col min="15621" max="15621" width="36.25" style="1736" customWidth="1"/>
    <col min="15622" max="15622" width="15.875" style="1736" customWidth="1"/>
    <col min="15623" max="15623" width="15.25" style="1736" customWidth="1"/>
    <col min="15624" max="15624" width="14.625" style="1736" customWidth="1"/>
    <col min="15625" max="15627" width="14.875" style="1736" bestFit="1" customWidth="1"/>
    <col min="15628" max="15628" width="54.125" style="1736" customWidth="1"/>
    <col min="15629" max="15629" width="5.375" style="1736" customWidth="1"/>
    <col min="15630" max="15872" width="9" style="1736"/>
    <col min="15873" max="15873" width="4.625" style="1736" customWidth="1"/>
    <col min="15874" max="15874" width="4.375" style="1736" customWidth="1"/>
    <col min="15875" max="15875" width="5.25" style="1736" customWidth="1"/>
    <col min="15876" max="15876" width="17.5" style="1736" customWidth="1"/>
    <col min="15877" max="15877" width="36.25" style="1736" customWidth="1"/>
    <col min="15878" max="15878" width="15.875" style="1736" customWidth="1"/>
    <col min="15879" max="15879" width="15.25" style="1736" customWidth="1"/>
    <col min="15880" max="15880" width="14.625" style="1736" customWidth="1"/>
    <col min="15881" max="15883" width="14.875" style="1736" bestFit="1" customWidth="1"/>
    <col min="15884" max="15884" width="54.125" style="1736" customWidth="1"/>
    <col min="15885" max="15885" width="5.375" style="1736" customWidth="1"/>
    <col min="15886" max="16128" width="9" style="1736"/>
    <col min="16129" max="16129" width="4.625" style="1736" customWidth="1"/>
    <col min="16130" max="16130" width="4.375" style="1736" customWidth="1"/>
    <col min="16131" max="16131" width="5.25" style="1736" customWidth="1"/>
    <col min="16132" max="16132" width="17.5" style="1736" customWidth="1"/>
    <col min="16133" max="16133" width="36.25" style="1736" customWidth="1"/>
    <col min="16134" max="16134" width="15.875" style="1736" customWidth="1"/>
    <col min="16135" max="16135" width="15.25" style="1736" customWidth="1"/>
    <col min="16136" max="16136" width="14.625" style="1736" customWidth="1"/>
    <col min="16137" max="16139" width="14.875" style="1736" bestFit="1" customWidth="1"/>
    <col min="16140" max="16140" width="54.125" style="1736" customWidth="1"/>
    <col min="16141" max="16141" width="5.375" style="1736" customWidth="1"/>
    <col min="16142" max="16384" width="9" style="1736"/>
  </cols>
  <sheetData>
    <row r="1" spans="1:12" ht="75" customHeight="1">
      <c r="A1" s="3076" t="s">
        <v>2517</v>
      </c>
      <c r="B1" s="3076"/>
      <c r="C1" s="3076"/>
      <c r="D1" s="3076"/>
      <c r="E1" s="3076"/>
      <c r="F1" s="3076"/>
      <c r="G1" s="3076"/>
      <c r="H1" s="3076"/>
      <c r="I1" s="3076"/>
      <c r="J1" s="3076"/>
      <c r="K1" s="3076"/>
      <c r="L1" s="3076"/>
    </row>
    <row r="2" spans="1:12" ht="22.5" thickBot="1">
      <c r="A2" s="3077"/>
      <c r="B2" s="3077"/>
      <c r="C2" s="3077"/>
      <c r="D2" s="3077"/>
      <c r="E2" s="3077"/>
      <c r="F2" s="1737"/>
      <c r="G2" s="1737"/>
      <c r="H2" s="1737"/>
      <c r="I2" s="1737"/>
      <c r="J2" s="1737"/>
      <c r="K2" s="1737"/>
      <c r="L2" s="1738" t="s">
        <v>2518</v>
      </c>
    </row>
    <row r="3" spans="1:12" ht="36.950000000000003" customHeight="1">
      <c r="A3" s="3078"/>
      <c r="B3" s="3079"/>
      <c r="C3" s="3079"/>
      <c r="D3" s="3079"/>
      <c r="E3" s="3080" t="s">
        <v>1030</v>
      </c>
      <c r="F3" s="3070" t="s">
        <v>1031</v>
      </c>
      <c r="G3" s="3070" t="s">
        <v>1032</v>
      </c>
      <c r="H3" s="3070" t="s">
        <v>1033</v>
      </c>
      <c r="I3" s="3070" t="s">
        <v>1034</v>
      </c>
      <c r="J3" s="3070" t="s">
        <v>1035</v>
      </c>
      <c r="K3" s="3070" t="s">
        <v>1036</v>
      </c>
      <c r="L3" s="3072" t="s">
        <v>1037</v>
      </c>
    </row>
    <row r="4" spans="1:12" ht="36.950000000000003" customHeight="1" thickBot="1">
      <c r="A4" s="1739" t="s">
        <v>2519</v>
      </c>
      <c r="B4" s="1740" t="s">
        <v>2520</v>
      </c>
      <c r="C4" s="1740" t="s">
        <v>2521</v>
      </c>
      <c r="D4" s="1741" t="s">
        <v>2522</v>
      </c>
      <c r="E4" s="3081"/>
      <c r="F4" s="3071"/>
      <c r="G4" s="3071"/>
      <c r="H4" s="3071"/>
      <c r="I4" s="3071"/>
      <c r="J4" s="3071"/>
      <c r="K4" s="3071"/>
      <c r="L4" s="3073"/>
    </row>
    <row r="5" spans="1:12" ht="35.1" customHeight="1" thickTop="1">
      <c r="A5" s="3074" t="s">
        <v>1038</v>
      </c>
      <c r="B5" s="3075"/>
      <c r="C5" s="3075"/>
      <c r="D5" s="3075"/>
      <c r="E5" s="1742"/>
      <c r="F5" s="1743">
        <f t="shared" ref="F5:K5" si="0">F6+F11</f>
        <v>86900000</v>
      </c>
      <c r="G5" s="1743">
        <f t="shared" si="0"/>
        <v>84923700</v>
      </c>
      <c r="H5" s="1743">
        <f t="shared" si="0"/>
        <v>0</v>
      </c>
      <c r="I5" s="1743">
        <f t="shared" si="0"/>
        <v>86900000</v>
      </c>
      <c r="J5" s="1743">
        <f t="shared" si="0"/>
        <v>84923700</v>
      </c>
      <c r="K5" s="1743">
        <f t="shared" si="0"/>
        <v>1976300</v>
      </c>
      <c r="L5" s="1744"/>
    </row>
    <row r="6" spans="1:12" ht="35.1" customHeight="1">
      <c r="A6" s="3068" t="s">
        <v>2523</v>
      </c>
      <c r="B6" s="3069"/>
      <c r="C6" s="3069"/>
      <c r="D6" s="3069"/>
      <c r="E6" s="1759"/>
      <c r="F6" s="2784">
        <f t="shared" ref="F6:K18" si="1">SUM(F7:F7)</f>
        <v>21900000</v>
      </c>
      <c r="G6" s="2784">
        <f>G7</f>
        <v>20800000</v>
      </c>
      <c r="H6" s="2784">
        <f t="shared" si="1"/>
        <v>0</v>
      </c>
      <c r="I6" s="2784">
        <f t="shared" si="1"/>
        <v>21900000</v>
      </c>
      <c r="J6" s="2784">
        <f t="shared" si="1"/>
        <v>20800000</v>
      </c>
      <c r="K6" s="2784">
        <f t="shared" si="1"/>
        <v>1100000</v>
      </c>
      <c r="L6" s="1762"/>
    </row>
    <row r="7" spans="1:12" ht="35.1" customHeight="1">
      <c r="A7" s="2785"/>
      <c r="B7" s="3066" t="s">
        <v>2524</v>
      </c>
      <c r="C7" s="3067"/>
      <c r="D7" s="3067"/>
      <c r="E7" s="1749"/>
      <c r="F7" s="1745">
        <f t="shared" si="1"/>
        <v>21900000</v>
      </c>
      <c r="G7" s="1745">
        <f>G8</f>
        <v>20800000</v>
      </c>
      <c r="H7" s="1745">
        <f t="shared" si="1"/>
        <v>0</v>
      </c>
      <c r="I7" s="1745">
        <f t="shared" si="1"/>
        <v>21900000</v>
      </c>
      <c r="J7" s="1745">
        <f t="shared" si="1"/>
        <v>20800000</v>
      </c>
      <c r="K7" s="1745">
        <f t="shared" si="1"/>
        <v>1100000</v>
      </c>
      <c r="L7" s="1761"/>
    </row>
    <row r="8" spans="1:12" s="1747" customFormat="1" ht="35.1" customHeight="1">
      <c r="A8" s="2786"/>
      <c r="B8" s="1748"/>
      <c r="C8" s="3065" t="s">
        <v>2525</v>
      </c>
      <c r="D8" s="3065"/>
      <c r="E8" s="1749"/>
      <c r="F8" s="1745">
        <f t="shared" si="1"/>
        <v>21900000</v>
      </c>
      <c r="G8" s="1745">
        <f>G9</f>
        <v>20800000</v>
      </c>
      <c r="H8" s="1745">
        <f t="shared" si="1"/>
        <v>0</v>
      </c>
      <c r="I8" s="1745">
        <f t="shared" si="1"/>
        <v>21900000</v>
      </c>
      <c r="J8" s="1745">
        <f t="shared" si="1"/>
        <v>20800000</v>
      </c>
      <c r="K8" s="1745">
        <f t="shared" si="1"/>
        <v>1100000</v>
      </c>
      <c r="L8" s="1746"/>
    </row>
    <row r="9" spans="1:12" s="1747" customFormat="1" ht="35.1" customHeight="1">
      <c r="A9" s="2786"/>
      <c r="B9" s="1748"/>
      <c r="C9" s="1748"/>
      <c r="D9" s="1748" t="s">
        <v>1039</v>
      </c>
      <c r="E9" s="1749"/>
      <c r="F9" s="1745">
        <f t="shared" si="1"/>
        <v>21900000</v>
      </c>
      <c r="G9" s="1745">
        <f>G10</f>
        <v>20800000</v>
      </c>
      <c r="H9" s="1745">
        <f t="shared" si="1"/>
        <v>0</v>
      </c>
      <c r="I9" s="1745">
        <f t="shared" si="1"/>
        <v>21900000</v>
      </c>
      <c r="J9" s="1745">
        <f t="shared" si="1"/>
        <v>20800000</v>
      </c>
      <c r="K9" s="1745">
        <f t="shared" si="1"/>
        <v>1100000</v>
      </c>
      <c r="L9" s="1754"/>
    </row>
    <row r="10" spans="1:12" s="1747" customFormat="1" ht="36">
      <c r="A10" s="2787"/>
      <c r="B10" s="2788"/>
      <c r="C10" s="2789"/>
      <c r="D10" s="2789" t="s">
        <v>1040</v>
      </c>
      <c r="E10" s="2790" t="s">
        <v>2526</v>
      </c>
      <c r="F10" s="2791">
        <v>21900000</v>
      </c>
      <c r="G10" s="2791">
        <v>20800000</v>
      </c>
      <c r="H10" s="2791">
        <v>0</v>
      </c>
      <c r="I10" s="2791">
        <f>SUM(F10-H10)</f>
        <v>21900000</v>
      </c>
      <c r="J10" s="2791">
        <v>20800000</v>
      </c>
      <c r="K10" s="2791">
        <f>F10-H10-J10</f>
        <v>1100000</v>
      </c>
      <c r="L10" s="2792" t="s">
        <v>2527</v>
      </c>
    </row>
    <row r="11" spans="1:12" ht="35.1" customHeight="1">
      <c r="A11" s="3068" t="s">
        <v>2528</v>
      </c>
      <c r="B11" s="3069"/>
      <c r="C11" s="3069"/>
      <c r="D11" s="3069"/>
      <c r="E11" s="1759"/>
      <c r="F11" s="2784">
        <f t="shared" ref="F11:K11" si="2">F12+F16</f>
        <v>65000000</v>
      </c>
      <c r="G11" s="2784">
        <f t="shared" si="2"/>
        <v>64123700</v>
      </c>
      <c r="H11" s="2784">
        <f t="shared" si="2"/>
        <v>0</v>
      </c>
      <c r="I11" s="2784">
        <f t="shared" si="2"/>
        <v>65000000</v>
      </c>
      <c r="J11" s="2784">
        <f t="shared" si="2"/>
        <v>64123700</v>
      </c>
      <c r="K11" s="2784">
        <f t="shared" si="2"/>
        <v>876300</v>
      </c>
      <c r="L11" s="1762"/>
    </row>
    <row r="12" spans="1:12" ht="35.1" customHeight="1">
      <c r="A12" s="2785"/>
      <c r="B12" s="3067" t="s">
        <v>2529</v>
      </c>
      <c r="C12" s="3067"/>
      <c r="D12" s="3067"/>
      <c r="E12" s="1749"/>
      <c r="F12" s="1745">
        <f t="shared" si="1"/>
        <v>20000000</v>
      </c>
      <c r="G12" s="1745">
        <f>G13</f>
        <v>19423700</v>
      </c>
      <c r="H12" s="1745">
        <f t="shared" si="1"/>
        <v>0</v>
      </c>
      <c r="I12" s="1745">
        <f t="shared" si="1"/>
        <v>20000000</v>
      </c>
      <c r="J12" s="1745">
        <f t="shared" si="1"/>
        <v>19423700</v>
      </c>
      <c r="K12" s="1745">
        <f t="shared" si="1"/>
        <v>576300</v>
      </c>
      <c r="L12" s="1754"/>
    </row>
    <row r="13" spans="1:12" s="1747" customFormat="1" ht="35.1" customHeight="1">
      <c r="A13" s="2786"/>
      <c r="B13" s="1748"/>
      <c r="C13" s="3065" t="s">
        <v>2530</v>
      </c>
      <c r="D13" s="3065"/>
      <c r="E13" s="1749"/>
      <c r="F13" s="1745">
        <f t="shared" si="1"/>
        <v>20000000</v>
      </c>
      <c r="G13" s="1745">
        <f>G14</f>
        <v>19423700</v>
      </c>
      <c r="H13" s="1745">
        <f t="shared" si="1"/>
        <v>0</v>
      </c>
      <c r="I13" s="1745">
        <f t="shared" si="1"/>
        <v>20000000</v>
      </c>
      <c r="J13" s="1745">
        <f t="shared" si="1"/>
        <v>19423700</v>
      </c>
      <c r="K13" s="1745">
        <f t="shared" si="1"/>
        <v>576300</v>
      </c>
      <c r="L13" s="1754"/>
    </row>
    <row r="14" spans="1:12" s="1747" customFormat="1" ht="35.1" customHeight="1">
      <c r="A14" s="2786"/>
      <c r="B14" s="1748"/>
      <c r="C14" s="1748"/>
      <c r="D14" s="1748" t="s">
        <v>2531</v>
      </c>
      <c r="E14" s="1760"/>
      <c r="F14" s="1745">
        <f t="shared" si="1"/>
        <v>20000000</v>
      </c>
      <c r="G14" s="1745">
        <f>G15</f>
        <v>19423700</v>
      </c>
      <c r="H14" s="1745">
        <f t="shared" si="1"/>
        <v>0</v>
      </c>
      <c r="I14" s="1745">
        <f t="shared" si="1"/>
        <v>20000000</v>
      </c>
      <c r="J14" s="1745">
        <f t="shared" si="1"/>
        <v>19423700</v>
      </c>
      <c r="K14" s="1745">
        <f t="shared" si="1"/>
        <v>576300</v>
      </c>
      <c r="L14" s="1763"/>
    </row>
    <row r="15" spans="1:12" s="1747" customFormat="1" ht="28.5">
      <c r="A15" s="2793"/>
      <c r="B15" s="2794"/>
      <c r="C15" s="1750"/>
      <c r="D15" s="1753" t="s">
        <v>2532</v>
      </c>
      <c r="E15" s="2795" t="s">
        <v>2533</v>
      </c>
      <c r="F15" s="1751">
        <v>20000000</v>
      </c>
      <c r="G15" s="1751">
        <v>19423700</v>
      </c>
      <c r="H15" s="1751">
        <v>0</v>
      </c>
      <c r="I15" s="1751">
        <f>SUM(F15-H15)</f>
        <v>20000000</v>
      </c>
      <c r="J15" s="1751">
        <v>19423700</v>
      </c>
      <c r="K15" s="1751">
        <f>F15-H15-J15</f>
        <v>576300</v>
      </c>
      <c r="L15" s="1752" t="s">
        <v>2534</v>
      </c>
    </row>
    <row r="16" spans="1:12" ht="35.1" customHeight="1">
      <c r="A16" s="2785"/>
      <c r="B16" s="3066" t="s">
        <v>2535</v>
      </c>
      <c r="C16" s="3067"/>
      <c r="D16" s="3067"/>
      <c r="E16" s="1749"/>
      <c r="F16" s="1745">
        <f t="shared" si="1"/>
        <v>45000000</v>
      </c>
      <c r="G16" s="1745">
        <f>G17</f>
        <v>44700000</v>
      </c>
      <c r="H16" s="1745">
        <f t="shared" si="1"/>
        <v>0</v>
      </c>
      <c r="I16" s="1745">
        <f t="shared" si="1"/>
        <v>45000000</v>
      </c>
      <c r="J16" s="1745">
        <f t="shared" si="1"/>
        <v>44700000</v>
      </c>
      <c r="K16" s="1745">
        <f t="shared" si="1"/>
        <v>300000</v>
      </c>
      <c r="L16" s="1754"/>
    </row>
    <row r="17" spans="1:12" s="1747" customFormat="1" ht="35.1" customHeight="1">
      <c r="A17" s="2786"/>
      <c r="B17" s="1748"/>
      <c r="C17" s="3065" t="s">
        <v>2536</v>
      </c>
      <c r="D17" s="3065"/>
      <c r="E17" s="1749"/>
      <c r="F17" s="1745">
        <f t="shared" si="1"/>
        <v>45000000</v>
      </c>
      <c r="G17" s="1745">
        <f>G18</f>
        <v>44700000</v>
      </c>
      <c r="H17" s="1745">
        <f t="shared" si="1"/>
        <v>0</v>
      </c>
      <c r="I17" s="1745">
        <f t="shared" si="1"/>
        <v>45000000</v>
      </c>
      <c r="J17" s="1745">
        <f t="shared" si="1"/>
        <v>44700000</v>
      </c>
      <c r="K17" s="1745">
        <f t="shared" si="1"/>
        <v>300000</v>
      </c>
      <c r="L17" s="1754"/>
    </row>
    <row r="18" spans="1:12" s="1747" customFormat="1" ht="35.1" customHeight="1">
      <c r="A18" s="2786"/>
      <c r="B18" s="1748"/>
      <c r="C18" s="1748"/>
      <c r="D18" s="1748" t="s">
        <v>2531</v>
      </c>
      <c r="E18" s="1760"/>
      <c r="F18" s="1745">
        <f t="shared" si="1"/>
        <v>45000000</v>
      </c>
      <c r="G18" s="1745">
        <f>G19</f>
        <v>44700000</v>
      </c>
      <c r="H18" s="1745">
        <f t="shared" si="1"/>
        <v>0</v>
      </c>
      <c r="I18" s="1745">
        <f t="shared" si="1"/>
        <v>45000000</v>
      </c>
      <c r="J18" s="1745">
        <f t="shared" si="1"/>
        <v>44700000</v>
      </c>
      <c r="K18" s="1745">
        <f t="shared" si="1"/>
        <v>300000</v>
      </c>
      <c r="L18" s="1763"/>
    </row>
    <row r="19" spans="1:12" s="1747" customFormat="1" ht="29.25" thickBot="1">
      <c r="A19" s="2796"/>
      <c r="B19" s="2797"/>
      <c r="C19" s="1755"/>
      <c r="D19" s="2798" t="s">
        <v>2532</v>
      </c>
      <c r="E19" s="2799" t="s">
        <v>2537</v>
      </c>
      <c r="F19" s="1756">
        <v>45000000</v>
      </c>
      <c r="G19" s="1756">
        <v>44700000</v>
      </c>
      <c r="H19" s="1756">
        <v>0</v>
      </c>
      <c r="I19" s="1756">
        <f>SUM(F19-H19)</f>
        <v>45000000</v>
      </c>
      <c r="J19" s="1756">
        <v>44700000</v>
      </c>
      <c r="K19" s="1756">
        <f>F19-H19-J19</f>
        <v>300000</v>
      </c>
      <c r="L19" s="1757" t="s">
        <v>2534</v>
      </c>
    </row>
  </sheetData>
  <mergeCells count="21">
    <mergeCell ref="A6:D6"/>
    <mergeCell ref="A1:L1"/>
    <mergeCell ref="A2:C2"/>
    <mergeCell ref="D2:E2"/>
    <mergeCell ref="A3:D3"/>
    <mergeCell ref="E3:E4"/>
    <mergeCell ref="F3:F4"/>
    <mergeCell ref="G3:G4"/>
    <mergeCell ref="H3:H4"/>
    <mergeCell ref="I3:I4"/>
    <mergeCell ref="J3:J4"/>
    <mergeCell ref="K3:K4"/>
    <mergeCell ref="L3:L4"/>
    <mergeCell ref="A5:D5"/>
    <mergeCell ref="C17:D17"/>
    <mergeCell ref="B7:D7"/>
    <mergeCell ref="C8:D8"/>
    <mergeCell ref="A11:D11"/>
    <mergeCell ref="B12:D12"/>
    <mergeCell ref="C13:D13"/>
    <mergeCell ref="B16:D16"/>
  </mergeCells>
  <phoneticPr fontId="15" type="noConversion"/>
  <printOptions horizontalCentered="1"/>
  <pageMargins left="0.39370078740157483" right="0.28000000000000003" top="0.64" bottom="0.3" header="0.43" footer="7.874015748031496E-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M57"/>
  <sheetViews>
    <sheetView zoomScaleNormal="100" workbookViewId="0">
      <selection activeCell="J20" sqref="J20"/>
    </sheetView>
  </sheetViews>
  <sheetFormatPr defaultRowHeight="13.5"/>
  <cols>
    <col min="1" max="1" width="11.75" style="105" customWidth="1"/>
    <col min="2" max="2" width="14.125" style="105" customWidth="1"/>
    <col min="3" max="256" width="9" style="105"/>
    <col min="257" max="257" width="11.75" style="105" customWidth="1"/>
    <col min="258" max="258" width="14.125" style="105" customWidth="1"/>
    <col min="259" max="512" width="9" style="105"/>
    <col min="513" max="513" width="11.75" style="105" customWidth="1"/>
    <col min="514" max="514" width="14.125" style="105" customWidth="1"/>
    <col min="515" max="768" width="9" style="105"/>
    <col min="769" max="769" width="11.75" style="105" customWidth="1"/>
    <col min="770" max="770" width="14.125" style="105" customWidth="1"/>
    <col min="771" max="1024" width="9" style="105"/>
    <col min="1025" max="1025" width="11.75" style="105" customWidth="1"/>
    <col min="1026" max="1026" width="14.125" style="105" customWidth="1"/>
    <col min="1027" max="1280" width="9" style="105"/>
    <col min="1281" max="1281" width="11.75" style="105" customWidth="1"/>
    <col min="1282" max="1282" width="14.125" style="105" customWidth="1"/>
    <col min="1283" max="1536" width="9" style="105"/>
    <col min="1537" max="1537" width="11.75" style="105" customWidth="1"/>
    <col min="1538" max="1538" width="14.125" style="105" customWidth="1"/>
    <col min="1539" max="1792" width="9" style="105"/>
    <col min="1793" max="1793" width="11.75" style="105" customWidth="1"/>
    <col min="1794" max="1794" width="14.125" style="105" customWidth="1"/>
    <col min="1795" max="2048" width="9" style="105"/>
    <col min="2049" max="2049" width="11.75" style="105" customWidth="1"/>
    <col min="2050" max="2050" width="14.125" style="105" customWidth="1"/>
    <col min="2051" max="2304" width="9" style="105"/>
    <col min="2305" max="2305" width="11.75" style="105" customWidth="1"/>
    <col min="2306" max="2306" width="14.125" style="105" customWidth="1"/>
    <col min="2307" max="2560" width="9" style="105"/>
    <col min="2561" max="2561" width="11.75" style="105" customWidth="1"/>
    <col min="2562" max="2562" width="14.125" style="105" customWidth="1"/>
    <col min="2563" max="2816" width="9" style="105"/>
    <col min="2817" max="2817" width="11.75" style="105" customWidth="1"/>
    <col min="2818" max="2818" width="14.125" style="105" customWidth="1"/>
    <col min="2819" max="3072" width="9" style="105"/>
    <col min="3073" max="3073" width="11.75" style="105" customWidth="1"/>
    <col min="3074" max="3074" width="14.125" style="105" customWidth="1"/>
    <col min="3075" max="3328" width="9" style="105"/>
    <col min="3329" max="3329" width="11.75" style="105" customWidth="1"/>
    <col min="3330" max="3330" width="14.125" style="105" customWidth="1"/>
    <col min="3331" max="3584" width="9" style="105"/>
    <col min="3585" max="3585" width="11.75" style="105" customWidth="1"/>
    <col min="3586" max="3586" width="14.125" style="105" customWidth="1"/>
    <col min="3587" max="3840" width="9" style="105"/>
    <col min="3841" max="3841" width="11.75" style="105" customWidth="1"/>
    <col min="3842" max="3842" width="14.125" style="105" customWidth="1"/>
    <col min="3843" max="4096" width="9" style="105"/>
    <col min="4097" max="4097" width="11.75" style="105" customWidth="1"/>
    <col min="4098" max="4098" width="14.125" style="105" customWidth="1"/>
    <col min="4099" max="4352" width="9" style="105"/>
    <col min="4353" max="4353" width="11.75" style="105" customWidth="1"/>
    <col min="4354" max="4354" width="14.125" style="105" customWidth="1"/>
    <col min="4355" max="4608" width="9" style="105"/>
    <col min="4609" max="4609" width="11.75" style="105" customWidth="1"/>
    <col min="4610" max="4610" width="14.125" style="105" customWidth="1"/>
    <col min="4611" max="4864" width="9" style="105"/>
    <col min="4865" max="4865" width="11.75" style="105" customWidth="1"/>
    <col min="4866" max="4866" width="14.125" style="105" customWidth="1"/>
    <col min="4867" max="5120" width="9" style="105"/>
    <col min="5121" max="5121" width="11.75" style="105" customWidth="1"/>
    <col min="5122" max="5122" width="14.125" style="105" customWidth="1"/>
    <col min="5123" max="5376" width="9" style="105"/>
    <col min="5377" max="5377" width="11.75" style="105" customWidth="1"/>
    <col min="5378" max="5378" width="14.125" style="105" customWidth="1"/>
    <col min="5379" max="5632" width="9" style="105"/>
    <col min="5633" max="5633" width="11.75" style="105" customWidth="1"/>
    <col min="5634" max="5634" width="14.125" style="105" customWidth="1"/>
    <col min="5635" max="5888" width="9" style="105"/>
    <col min="5889" max="5889" width="11.75" style="105" customWidth="1"/>
    <col min="5890" max="5890" width="14.125" style="105" customWidth="1"/>
    <col min="5891" max="6144" width="9" style="105"/>
    <col min="6145" max="6145" width="11.75" style="105" customWidth="1"/>
    <col min="6146" max="6146" width="14.125" style="105" customWidth="1"/>
    <col min="6147" max="6400" width="9" style="105"/>
    <col min="6401" max="6401" width="11.75" style="105" customWidth="1"/>
    <col min="6402" max="6402" width="14.125" style="105" customWidth="1"/>
    <col min="6403" max="6656" width="9" style="105"/>
    <col min="6657" max="6657" width="11.75" style="105" customWidth="1"/>
    <col min="6658" max="6658" width="14.125" style="105" customWidth="1"/>
    <col min="6659" max="6912" width="9" style="105"/>
    <col min="6913" max="6913" width="11.75" style="105" customWidth="1"/>
    <col min="6914" max="6914" width="14.125" style="105" customWidth="1"/>
    <col min="6915" max="7168" width="9" style="105"/>
    <col min="7169" max="7169" width="11.75" style="105" customWidth="1"/>
    <col min="7170" max="7170" width="14.125" style="105" customWidth="1"/>
    <col min="7171" max="7424" width="9" style="105"/>
    <col min="7425" max="7425" width="11.75" style="105" customWidth="1"/>
    <col min="7426" max="7426" width="14.125" style="105" customWidth="1"/>
    <col min="7427" max="7680" width="9" style="105"/>
    <col min="7681" max="7681" width="11.75" style="105" customWidth="1"/>
    <col min="7682" max="7682" width="14.125" style="105" customWidth="1"/>
    <col min="7683" max="7936" width="9" style="105"/>
    <col min="7937" max="7937" width="11.75" style="105" customWidth="1"/>
    <col min="7938" max="7938" width="14.125" style="105" customWidth="1"/>
    <col min="7939" max="8192" width="9" style="105"/>
    <col min="8193" max="8193" width="11.75" style="105" customWidth="1"/>
    <col min="8194" max="8194" width="14.125" style="105" customWidth="1"/>
    <col min="8195" max="8448" width="9" style="105"/>
    <col min="8449" max="8449" width="11.75" style="105" customWidth="1"/>
    <col min="8450" max="8450" width="14.125" style="105" customWidth="1"/>
    <col min="8451" max="8704" width="9" style="105"/>
    <col min="8705" max="8705" width="11.75" style="105" customWidth="1"/>
    <col min="8706" max="8706" width="14.125" style="105" customWidth="1"/>
    <col min="8707" max="8960" width="9" style="105"/>
    <col min="8961" max="8961" width="11.75" style="105" customWidth="1"/>
    <col min="8962" max="8962" width="14.125" style="105" customWidth="1"/>
    <col min="8963" max="9216" width="9" style="105"/>
    <col min="9217" max="9217" width="11.75" style="105" customWidth="1"/>
    <col min="9218" max="9218" width="14.125" style="105" customWidth="1"/>
    <col min="9219" max="9472" width="9" style="105"/>
    <col min="9473" max="9473" width="11.75" style="105" customWidth="1"/>
    <col min="9474" max="9474" width="14.125" style="105" customWidth="1"/>
    <col min="9475" max="9728" width="9" style="105"/>
    <col min="9729" max="9729" width="11.75" style="105" customWidth="1"/>
    <col min="9730" max="9730" width="14.125" style="105" customWidth="1"/>
    <col min="9731" max="9984" width="9" style="105"/>
    <col min="9985" max="9985" width="11.75" style="105" customWidth="1"/>
    <col min="9986" max="9986" width="14.125" style="105" customWidth="1"/>
    <col min="9987" max="10240" width="9" style="105"/>
    <col min="10241" max="10241" width="11.75" style="105" customWidth="1"/>
    <col min="10242" max="10242" width="14.125" style="105" customWidth="1"/>
    <col min="10243" max="10496" width="9" style="105"/>
    <col min="10497" max="10497" width="11.75" style="105" customWidth="1"/>
    <col min="10498" max="10498" width="14.125" style="105" customWidth="1"/>
    <col min="10499" max="10752" width="9" style="105"/>
    <col min="10753" max="10753" width="11.75" style="105" customWidth="1"/>
    <col min="10754" max="10754" width="14.125" style="105" customWidth="1"/>
    <col min="10755" max="11008" width="9" style="105"/>
    <col min="11009" max="11009" width="11.75" style="105" customWidth="1"/>
    <col min="11010" max="11010" width="14.125" style="105" customWidth="1"/>
    <col min="11011" max="11264" width="9" style="105"/>
    <col min="11265" max="11265" width="11.75" style="105" customWidth="1"/>
    <col min="11266" max="11266" width="14.125" style="105" customWidth="1"/>
    <col min="11267" max="11520" width="9" style="105"/>
    <col min="11521" max="11521" width="11.75" style="105" customWidth="1"/>
    <col min="11522" max="11522" width="14.125" style="105" customWidth="1"/>
    <col min="11523" max="11776" width="9" style="105"/>
    <col min="11777" max="11777" width="11.75" style="105" customWidth="1"/>
    <col min="11778" max="11778" width="14.125" style="105" customWidth="1"/>
    <col min="11779" max="12032" width="9" style="105"/>
    <col min="12033" max="12033" width="11.75" style="105" customWidth="1"/>
    <col min="12034" max="12034" width="14.125" style="105" customWidth="1"/>
    <col min="12035" max="12288" width="9" style="105"/>
    <col min="12289" max="12289" width="11.75" style="105" customWidth="1"/>
    <col min="12290" max="12290" width="14.125" style="105" customWidth="1"/>
    <col min="12291" max="12544" width="9" style="105"/>
    <col min="12545" max="12545" width="11.75" style="105" customWidth="1"/>
    <col min="12546" max="12546" width="14.125" style="105" customWidth="1"/>
    <col min="12547" max="12800" width="9" style="105"/>
    <col min="12801" max="12801" width="11.75" style="105" customWidth="1"/>
    <col min="12802" max="12802" width="14.125" style="105" customWidth="1"/>
    <col min="12803" max="13056" width="9" style="105"/>
    <col min="13057" max="13057" width="11.75" style="105" customWidth="1"/>
    <col min="13058" max="13058" width="14.125" style="105" customWidth="1"/>
    <col min="13059" max="13312" width="9" style="105"/>
    <col min="13313" max="13313" width="11.75" style="105" customWidth="1"/>
    <col min="13314" max="13314" width="14.125" style="105" customWidth="1"/>
    <col min="13315" max="13568" width="9" style="105"/>
    <col min="13569" max="13569" width="11.75" style="105" customWidth="1"/>
    <col min="13570" max="13570" width="14.125" style="105" customWidth="1"/>
    <col min="13571" max="13824" width="9" style="105"/>
    <col min="13825" max="13825" width="11.75" style="105" customWidth="1"/>
    <col min="13826" max="13826" width="14.125" style="105" customWidth="1"/>
    <col min="13827" max="14080" width="9" style="105"/>
    <col min="14081" max="14081" width="11.75" style="105" customWidth="1"/>
    <col min="14082" max="14082" width="14.125" style="105" customWidth="1"/>
    <col min="14083" max="14336" width="9" style="105"/>
    <col min="14337" max="14337" width="11.75" style="105" customWidth="1"/>
    <col min="14338" max="14338" width="14.125" style="105" customWidth="1"/>
    <col min="14339" max="14592" width="9" style="105"/>
    <col min="14593" max="14593" width="11.75" style="105" customWidth="1"/>
    <col min="14594" max="14594" width="14.125" style="105" customWidth="1"/>
    <col min="14595" max="14848" width="9" style="105"/>
    <col min="14849" max="14849" width="11.75" style="105" customWidth="1"/>
    <col min="14850" max="14850" width="14.125" style="105" customWidth="1"/>
    <col min="14851" max="15104" width="9" style="105"/>
    <col min="15105" max="15105" width="11.75" style="105" customWidth="1"/>
    <col min="15106" max="15106" width="14.125" style="105" customWidth="1"/>
    <col min="15107" max="15360" width="9" style="105"/>
    <col min="15361" max="15361" width="11.75" style="105" customWidth="1"/>
    <col min="15362" max="15362" width="14.125" style="105" customWidth="1"/>
    <col min="15363" max="15616" width="9" style="105"/>
    <col min="15617" max="15617" width="11.75" style="105" customWidth="1"/>
    <col min="15618" max="15618" width="14.125" style="105" customWidth="1"/>
    <col min="15619" max="15872" width="9" style="105"/>
    <col min="15873" max="15873" width="11.75" style="105" customWidth="1"/>
    <col min="15874" max="15874" width="14.125" style="105" customWidth="1"/>
    <col min="15875" max="16128" width="9" style="105"/>
    <col min="16129" max="16129" width="11.75" style="105" customWidth="1"/>
    <col min="16130" max="16130" width="14.125" style="105" customWidth="1"/>
    <col min="16131" max="16384" width="9" style="105"/>
  </cols>
  <sheetData>
    <row r="1" spans="1:13" ht="13.5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3.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13.5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3.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13.5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 ht="13.5" customHeight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3.5" customHeigh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3" ht="13.5" customHeight="1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13" ht="46.5">
      <c r="A10" s="91"/>
      <c r="B10" s="2811" t="s">
        <v>122</v>
      </c>
      <c r="C10" s="2811"/>
      <c r="D10" s="2811"/>
      <c r="E10" s="2811"/>
      <c r="F10" s="2811"/>
      <c r="G10" s="2811"/>
      <c r="H10" s="2811"/>
      <c r="I10" s="2811"/>
      <c r="K10" s="106"/>
      <c r="L10" s="106"/>
      <c r="M10" s="91"/>
    </row>
    <row r="11" spans="1:13" ht="13.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</row>
    <row r="12" spans="1:13" ht="13.5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1:13" ht="13.5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</row>
    <row r="14" spans="1:13" ht="13.5" customHeight="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</row>
    <row r="15" spans="1:13" ht="13.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3" ht="13.5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</row>
    <row r="17" spans="1:13" ht="13.5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</row>
    <row r="18" spans="1:13" ht="13.5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</row>
    <row r="19" spans="1:13" ht="13.5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</row>
    <row r="20" spans="1:13" ht="13.5" customHeight="1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 ht="13.5" customHeight="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</row>
    <row r="22" spans="1:13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</row>
    <row r="23" spans="1:1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</row>
    <row r="24" spans="1:13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</row>
    <row r="25" spans="1:13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</row>
    <row r="26" spans="1:13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</row>
    <row r="27" spans="1:13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  <row r="28" spans="1:13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</row>
    <row r="30" spans="1:13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</row>
    <row r="33" spans="1:1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</row>
    <row r="34" spans="1:13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3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3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</row>
    <row r="38" spans="1:13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</row>
    <row r="40" spans="1:13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  <row r="41" spans="1:13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</row>
    <row r="42" spans="1:13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</row>
    <row r="43" spans="1:1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</row>
    <row r="44" spans="1:13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</row>
    <row r="45" spans="1:13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</row>
    <row r="46" spans="1:13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</row>
    <row r="47" spans="1:13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</row>
    <row r="48" spans="1:13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</row>
    <row r="49" spans="1:13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</row>
    <row r="50" spans="1:13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</row>
    <row r="51" spans="1:13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</row>
    <row r="52" spans="1:13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</row>
    <row r="53" spans="1:1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</row>
    <row r="54" spans="1:13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</row>
    <row r="55" spans="1:13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</row>
    <row r="56" spans="1:13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</row>
    <row r="57" spans="1:13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</sheetData>
  <mergeCells count="1">
    <mergeCell ref="B10:I10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H41"/>
  <sheetViews>
    <sheetView zoomScaleNormal="100" workbookViewId="0">
      <selection activeCell="J20" sqref="J20"/>
    </sheetView>
  </sheetViews>
  <sheetFormatPr defaultRowHeight="13.5"/>
  <cols>
    <col min="1" max="1" width="20.125" style="155" customWidth="1"/>
    <col min="2" max="2" width="31.5" style="155" customWidth="1"/>
    <col min="3" max="3" width="10.125" style="162" customWidth="1"/>
    <col min="4" max="4" width="15.5" style="163" customWidth="1"/>
    <col min="5" max="5" width="15.25" style="155" customWidth="1"/>
    <col min="6" max="6" width="14.875" style="163" customWidth="1"/>
    <col min="7" max="7" width="15.125" style="155" customWidth="1"/>
    <col min="8" max="255" width="9" style="155"/>
    <col min="256" max="256" width="20.125" style="155" customWidth="1"/>
    <col min="257" max="257" width="31.5" style="155" customWidth="1"/>
    <col min="258" max="258" width="15.125" style="155" customWidth="1"/>
    <col min="259" max="259" width="0" style="155" hidden="1" customWidth="1"/>
    <col min="260" max="260" width="15.5" style="155" customWidth="1"/>
    <col min="261" max="261" width="15.25" style="155" customWidth="1"/>
    <col min="262" max="262" width="14.875" style="155" customWidth="1"/>
    <col min="263" max="263" width="15.125" style="155" customWidth="1"/>
    <col min="264" max="511" width="9" style="155"/>
    <col min="512" max="512" width="20.125" style="155" customWidth="1"/>
    <col min="513" max="513" width="31.5" style="155" customWidth="1"/>
    <col min="514" max="514" width="15.125" style="155" customWidth="1"/>
    <col min="515" max="515" width="0" style="155" hidden="1" customWidth="1"/>
    <col min="516" max="516" width="15.5" style="155" customWidth="1"/>
    <col min="517" max="517" width="15.25" style="155" customWidth="1"/>
    <col min="518" max="518" width="14.875" style="155" customWidth="1"/>
    <col min="519" max="519" width="15.125" style="155" customWidth="1"/>
    <col min="520" max="767" width="9" style="155"/>
    <col min="768" max="768" width="20.125" style="155" customWidth="1"/>
    <col min="769" max="769" width="31.5" style="155" customWidth="1"/>
    <col min="770" max="770" width="15.125" style="155" customWidth="1"/>
    <col min="771" max="771" width="0" style="155" hidden="1" customWidth="1"/>
    <col min="772" max="772" width="15.5" style="155" customWidth="1"/>
    <col min="773" max="773" width="15.25" style="155" customWidth="1"/>
    <col min="774" max="774" width="14.875" style="155" customWidth="1"/>
    <col min="775" max="775" width="15.125" style="155" customWidth="1"/>
    <col min="776" max="1023" width="9" style="155"/>
    <col min="1024" max="1024" width="20.125" style="155" customWidth="1"/>
    <col min="1025" max="1025" width="31.5" style="155" customWidth="1"/>
    <col min="1026" max="1026" width="15.125" style="155" customWidth="1"/>
    <col min="1027" max="1027" width="0" style="155" hidden="1" customWidth="1"/>
    <col min="1028" max="1028" width="15.5" style="155" customWidth="1"/>
    <col min="1029" max="1029" width="15.25" style="155" customWidth="1"/>
    <col min="1030" max="1030" width="14.875" style="155" customWidth="1"/>
    <col min="1031" max="1031" width="15.125" style="155" customWidth="1"/>
    <col min="1032" max="1279" width="9" style="155"/>
    <col min="1280" max="1280" width="20.125" style="155" customWidth="1"/>
    <col min="1281" max="1281" width="31.5" style="155" customWidth="1"/>
    <col min="1282" max="1282" width="15.125" style="155" customWidth="1"/>
    <col min="1283" max="1283" width="0" style="155" hidden="1" customWidth="1"/>
    <col min="1284" max="1284" width="15.5" style="155" customWidth="1"/>
    <col min="1285" max="1285" width="15.25" style="155" customWidth="1"/>
    <col min="1286" max="1286" width="14.875" style="155" customWidth="1"/>
    <col min="1287" max="1287" width="15.125" style="155" customWidth="1"/>
    <col min="1288" max="1535" width="9" style="155"/>
    <col min="1536" max="1536" width="20.125" style="155" customWidth="1"/>
    <col min="1537" max="1537" width="31.5" style="155" customWidth="1"/>
    <col min="1538" max="1538" width="15.125" style="155" customWidth="1"/>
    <col min="1539" max="1539" width="0" style="155" hidden="1" customWidth="1"/>
    <col min="1540" max="1540" width="15.5" style="155" customWidth="1"/>
    <col min="1541" max="1541" width="15.25" style="155" customWidth="1"/>
    <col min="1542" max="1542" width="14.875" style="155" customWidth="1"/>
    <col min="1543" max="1543" width="15.125" style="155" customWidth="1"/>
    <col min="1544" max="1791" width="9" style="155"/>
    <col min="1792" max="1792" width="20.125" style="155" customWidth="1"/>
    <col min="1793" max="1793" width="31.5" style="155" customWidth="1"/>
    <col min="1794" max="1794" width="15.125" style="155" customWidth="1"/>
    <col min="1795" max="1795" width="0" style="155" hidden="1" customWidth="1"/>
    <col min="1796" max="1796" width="15.5" style="155" customWidth="1"/>
    <col min="1797" max="1797" width="15.25" style="155" customWidth="1"/>
    <col min="1798" max="1798" width="14.875" style="155" customWidth="1"/>
    <col min="1799" max="1799" width="15.125" style="155" customWidth="1"/>
    <col min="1800" max="2047" width="9" style="155"/>
    <col min="2048" max="2048" width="20.125" style="155" customWidth="1"/>
    <col min="2049" max="2049" width="31.5" style="155" customWidth="1"/>
    <col min="2050" max="2050" width="15.125" style="155" customWidth="1"/>
    <col min="2051" max="2051" width="0" style="155" hidden="1" customWidth="1"/>
    <col min="2052" max="2052" width="15.5" style="155" customWidth="1"/>
    <col min="2053" max="2053" width="15.25" style="155" customWidth="1"/>
    <col min="2054" max="2054" width="14.875" style="155" customWidth="1"/>
    <col min="2055" max="2055" width="15.125" style="155" customWidth="1"/>
    <col min="2056" max="2303" width="9" style="155"/>
    <col min="2304" max="2304" width="20.125" style="155" customWidth="1"/>
    <col min="2305" max="2305" width="31.5" style="155" customWidth="1"/>
    <col min="2306" max="2306" width="15.125" style="155" customWidth="1"/>
    <col min="2307" max="2307" width="0" style="155" hidden="1" customWidth="1"/>
    <col min="2308" max="2308" width="15.5" style="155" customWidth="1"/>
    <col min="2309" max="2309" width="15.25" style="155" customWidth="1"/>
    <col min="2310" max="2310" width="14.875" style="155" customWidth="1"/>
    <col min="2311" max="2311" width="15.125" style="155" customWidth="1"/>
    <col min="2312" max="2559" width="9" style="155"/>
    <col min="2560" max="2560" width="20.125" style="155" customWidth="1"/>
    <col min="2561" max="2561" width="31.5" style="155" customWidth="1"/>
    <col min="2562" max="2562" width="15.125" style="155" customWidth="1"/>
    <col min="2563" max="2563" width="0" style="155" hidden="1" customWidth="1"/>
    <col min="2564" max="2564" width="15.5" style="155" customWidth="1"/>
    <col min="2565" max="2565" width="15.25" style="155" customWidth="1"/>
    <col min="2566" max="2566" width="14.875" style="155" customWidth="1"/>
    <col min="2567" max="2567" width="15.125" style="155" customWidth="1"/>
    <col min="2568" max="2815" width="9" style="155"/>
    <col min="2816" max="2816" width="20.125" style="155" customWidth="1"/>
    <col min="2817" max="2817" width="31.5" style="155" customWidth="1"/>
    <col min="2818" max="2818" width="15.125" style="155" customWidth="1"/>
    <col min="2819" max="2819" width="0" style="155" hidden="1" customWidth="1"/>
    <col min="2820" max="2820" width="15.5" style="155" customWidth="1"/>
    <col min="2821" max="2821" width="15.25" style="155" customWidth="1"/>
    <col min="2822" max="2822" width="14.875" style="155" customWidth="1"/>
    <col min="2823" max="2823" width="15.125" style="155" customWidth="1"/>
    <col min="2824" max="3071" width="9" style="155"/>
    <col min="3072" max="3072" width="20.125" style="155" customWidth="1"/>
    <col min="3073" max="3073" width="31.5" style="155" customWidth="1"/>
    <col min="3074" max="3074" width="15.125" style="155" customWidth="1"/>
    <col min="3075" max="3075" width="0" style="155" hidden="1" customWidth="1"/>
    <col min="3076" max="3076" width="15.5" style="155" customWidth="1"/>
    <col min="3077" max="3077" width="15.25" style="155" customWidth="1"/>
    <col min="3078" max="3078" width="14.875" style="155" customWidth="1"/>
    <col min="3079" max="3079" width="15.125" style="155" customWidth="1"/>
    <col min="3080" max="3327" width="9" style="155"/>
    <col min="3328" max="3328" width="20.125" style="155" customWidth="1"/>
    <col min="3329" max="3329" width="31.5" style="155" customWidth="1"/>
    <col min="3330" max="3330" width="15.125" style="155" customWidth="1"/>
    <col min="3331" max="3331" width="0" style="155" hidden="1" customWidth="1"/>
    <col min="3332" max="3332" width="15.5" style="155" customWidth="1"/>
    <col min="3333" max="3333" width="15.25" style="155" customWidth="1"/>
    <col min="3334" max="3334" width="14.875" style="155" customWidth="1"/>
    <col min="3335" max="3335" width="15.125" style="155" customWidth="1"/>
    <col min="3336" max="3583" width="9" style="155"/>
    <col min="3584" max="3584" width="20.125" style="155" customWidth="1"/>
    <col min="3585" max="3585" width="31.5" style="155" customWidth="1"/>
    <col min="3586" max="3586" width="15.125" style="155" customWidth="1"/>
    <col min="3587" max="3587" width="0" style="155" hidden="1" customWidth="1"/>
    <col min="3588" max="3588" width="15.5" style="155" customWidth="1"/>
    <col min="3589" max="3589" width="15.25" style="155" customWidth="1"/>
    <col min="3590" max="3590" width="14.875" style="155" customWidth="1"/>
    <col min="3591" max="3591" width="15.125" style="155" customWidth="1"/>
    <col min="3592" max="3839" width="9" style="155"/>
    <col min="3840" max="3840" width="20.125" style="155" customWidth="1"/>
    <col min="3841" max="3841" width="31.5" style="155" customWidth="1"/>
    <col min="3842" max="3842" width="15.125" style="155" customWidth="1"/>
    <col min="3843" max="3843" width="0" style="155" hidden="1" customWidth="1"/>
    <col min="3844" max="3844" width="15.5" style="155" customWidth="1"/>
    <col min="3845" max="3845" width="15.25" style="155" customWidth="1"/>
    <col min="3846" max="3846" width="14.875" style="155" customWidth="1"/>
    <col min="3847" max="3847" width="15.125" style="155" customWidth="1"/>
    <col min="3848" max="4095" width="9" style="155"/>
    <col min="4096" max="4096" width="20.125" style="155" customWidth="1"/>
    <col min="4097" max="4097" width="31.5" style="155" customWidth="1"/>
    <col min="4098" max="4098" width="15.125" style="155" customWidth="1"/>
    <col min="4099" max="4099" width="0" style="155" hidden="1" customWidth="1"/>
    <col min="4100" max="4100" width="15.5" style="155" customWidth="1"/>
    <col min="4101" max="4101" width="15.25" style="155" customWidth="1"/>
    <col min="4102" max="4102" width="14.875" style="155" customWidth="1"/>
    <col min="4103" max="4103" width="15.125" style="155" customWidth="1"/>
    <col min="4104" max="4351" width="9" style="155"/>
    <col min="4352" max="4352" width="20.125" style="155" customWidth="1"/>
    <col min="4353" max="4353" width="31.5" style="155" customWidth="1"/>
    <col min="4354" max="4354" width="15.125" style="155" customWidth="1"/>
    <col min="4355" max="4355" width="0" style="155" hidden="1" customWidth="1"/>
    <col min="4356" max="4356" width="15.5" style="155" customWidth="1"/>
    <col min="4357" max="4357" width="15.25" style="155" customWidth="1"/>
    <col min="4358" max="4358" width="14.875" style="155" customWidth="1"/>
    <col min="4359" max="4359" width="15.125" style="155" customWidth="1"/>
    <col min="4360" max="4607" width="9" style="155"/>
    <col min="4608" max="4608" width="20.125" style="155" customWidth="1"/>
    <col min="4609" max="4609" width="31.5" style="155" customWidth="1"/>
    <col min="4610" max="4610" width="15.125" style="155" customWidth="1"/>
    <col min="4611" max="4611" width="0" style="155" hidden="1" customWidth="1"/>
    <col min="4612" max="4612" width="15.5" style="155" customWidth="1"/>
    <col min="4613" max="4613" width="15.25" style="155" customWidth="1"/>
    <col min="4614" max="4614" width="14.875" style="155" customWidth="1"/>
    <col min="4615" max="4615" width="15.125" style="155" customWidth="1"/>
    <col min="4616" max="4863" width="9" style="155"/>
    <col min="4864" max="4864" width="20.125" style="155" customWidth="1"/>
    <col min="4865" max="4865" width="31.5" style="155" customWidth="1"/>
    <col min="4866" max="4866" width="15.125" style="155" customWidth="1"/>
    <col min="4867" max="4867" width="0" style="155" hidden="1" customWidth="1"/>
    <col min="4868" max="4868" width="15.5" style="155" customWidth="1"/>
    <col min="4869" max="4869" width="15.25" style="155" customWidth="1"/>
    <col min="4870" max="4870" width="14.875" style="155" customWidth="1"/>
    <col min="4871" max="4871" width="15.125" style="155" customWidth="1"/>
    <col min="4872" max="5119" width="9" style="155"/>
    <col min="5120" max="5120" width="20.125" style="155" customWidth="1"/>
    <col min="5121" max="5121" width="31.5" style="155" customWidth="1"/>
    <col min="5122" max="5122" width="15.125" style="155" customWidth="1"/>
    <col min="5123" max="5123" width="0" style="155" hidden="1" customWidth="1"/>
    <col min="5124" max="5124" width="15.5" style="155" customWidth="1"/>
    <col min="5125" max="5125" width="15.25" style="155" customWidth="1"/>
    <col min="5126" max="5126" width="14.875" style="155" customWidth="1"/>
    <col min="5127" max="5127" width="15.125" style="155" customWidth="1"/>
    <col min="5128" max="5375" width="9" style="155"/>
    <col min="5376" max="5376" width="20.125" style="155" customWidth="1"/>
    <col min="5377" max="5377" width="31.5" style="155" customWidth="1"/>
    <col min="5378" max="5378" width="15.125" style="155" customWidth="1"/>
    <col min="5379" max="5379" width="0" style="155" hidden="1" customWidth="1"/>
    <col min="5380" max="5380" width="15.5" style="155" customWidth="1"/>
    <col min="5381" max="5381" width="15.25" style="155" customWidth="1"/>
    <col min="5382" max="5382" width="14.875" style="155" customWidth="1"/>
    <col min="5383" max="5383" width="15.125" style="155" customWidth="1"/>
    <col min="5384" max="5631" width="9" style="155"/>
    <col min="5632" max="5632" width="20.125" style="155" customWidth="1"/>
    <col min="5633" max="5633" width="31.5" style="155" customWidth="1"/>
    <col min="5634" max="5634" width="15.125" style="155" customWidth="1"/>
    <col min="5635" max="5635" width="0" style="155" hidden="1" customWidth="1"/>
    <col min="5636" max="5636" width="15.5" style="155" customWidth="1"/>
    <col min="5637" max="5637" width="15.25" style="155" customWidth="1"/>
    <col min="5638" max="5638" width="14.875" style="155" customWidth="1"/>
    <col min="5639" max="5639" width="15.125" style="155" customWidth="1"/>
    <col min="5640" max="5887" width="9" style="155"/>
    <col min="5888" max="5888" width="20.125" style="155" customWidth="1"/>
    <col min="5889" max="5889" width="31.5" style="155" customWidth="1"/>
    <col min="5890" max="5890" width="15.125" style="155" customWidth="1"/>
    <col min="5891" max="5891" width="0" style="155" hidden="1" customWidth="1"/>
    <col min="5892" max="5892" width="15.5" style="155" customWidth="1"/>
    <col min="5893" max="5893" width="15.25" style="155" customWidth="1"/>
    <col min="5894" max="5894" width="14.875" style="155" customWidth="1"/>
    <col min="5895" max="5895" width="15.125" style="155" customWidth="1"/>
    <col min="5896" max="6143" width="9" style="155"/>
    <col min="6144" max="6144" width="20.125" style="155" customWidth="1"/>
    <col min="6145" max="6145" width="31.5" style="155" customWidth="1"/>
    <col min="6146" max="6146" width="15.125" style="155" customWidth="1"/>
    <col min="6147" max="6147" width="0" style="155" hidden="1" customWidth="1"/>
    <col min="6148" max="6148" width="15.5" style="155" customWidth="1"/>
    <col min="6149" max="6149" width="15.25" style="155" customWidth="1"/>
    <col min="6150" max="6150" width="14.875" style="155" customWidth="1"/>
    <col min="6151" max="6151" width="15.125" style="155" customWidth="1"/>
    <col min="6152" max="6399" width="9" style="155"/>
    <col min="6400" max="6400" width="20.125" style="155" customWidth="1"/>
    <col min="6401" max="6401" width="31.5" style="155" customWidth="1"/>
    <col min="6402" max="6402" width="15.125" style="155" customWidth="1"/>
    <col min="6403" max="6403" width="0" style="155" hidden="1" customWidth="1"/>
    <col min="6404" max="6404" width="15.5" style="155" customWidth="1"/>
    <col min="6405" max="6405" width="15.25" style="155" customWidth="1"/>
    <col min="6406" max="6406" width="14.875" style="155" customWidth="1"/>
    <col min="6407" max="6407" width="15.125" style="155" customWidth="1"/>
    <col min="6408" max="6655" width="9" style="155"/>
    <col min="6656" max="6656" width="20.125" style="155" customWidth="1"/>
    <col min="6657" max="6657" width="31.5" style="155" customWidth="1"/>
    <col min="6658" max="6658" width="15.125" style="155" customWidth="1"/>
    <col min="6659" max="6659" width="0" style="155" hidden="1" customWidth="1"/>
    <col min="6660" max="6660" width="15.5" style="155" customWidth="1"/>
    <col min="6661" max="6661" width="15.25" style="155" customWidth="1"/>
    <col min="6662" max="6662" width="14.875" style="155" customWidth="1"/>
    <col min="6663" max="6663" width="15.125" style="155" customWidth="1"/>
    <col min="6664" max="6911" width="9" style="155"/>
    <col min="6912" max="6912" width="20.125" style="155" customWidth="1"/>
    <col min="6913" max="6913" width="31.5" style="155" customWidth="1"/>
    <col min="6914" max="6914" width="15.125" style="155" customWidth="1"/>
    <col min="6915" max="6915" width="0" style="155" hidden="1" customWidth="1"/>
    <col min="6916" max="6916" width="15.5" style="155" customWidth="1"/>
    <col min="6917" max="6917" width="15.25" style="155" customWidth="1"/>
    <col min="6918" max="6918" width="14.875" style="155" customWidth="1"/>
    <col min="6919" max="6919" width="15.125" style="155" customWidth="1"/>
    <col min="6920" max="7167" width="9" style="155"/>
    <col min="7168" max="7168" width="20.125" style="155" customWidth="1"/>
    <col min="7169" max="7169" width="31.5" style="155" customWidth="1"/>
    <col min="7170" max="7170" width="15.125" style="155" customWidth="1"/>
    <col min="7171" max="7171" width="0" style="155" hidden="1" customWidth="1"/>
    <col min="7172" max="7172" width="15.5" style="155" customWidth="1"/>
    <col min="7173" max="7173" width="15.25" style="155" customWidth="1"/>
    <col min="7174" max="7174" width="14.875" style="155" customWidth="1"/>
    <col min="7175" max="7175" width="15.125" style="155" customWidth="1"/>
    <col min="7176" max="7423" width="9" style="155"/>
    <col min="7424" max="7424" width="20.125" style="155" customWidth="1"/>
    <col min="7425" max="7425" width="31.5" style="155" customWidth="1"/>
    <col min="7426" max="7426" width="15.125" style="155" customWidth="1"/>
    <col min="7427" max="7427" width="0" style="155" hidden="1" customWidth="1"/>
    <col min="7428" max="7428" width="15.5" style="155" customWidth="1"/>
    <col min="7429" max="7429" width="15.25" style="155" customWidth="1"/>
    <col min="7430" max="7430" width="14.875" style="155" customWidth="1"/>
    <col min="7431" max="7431" width="15.125" style="155" customWidth="1"/>
    <col min="7432" max="7679" width="9" style="155"/>
    <col min="7680" max="7680" width="20.125" style="155" customWidth="1"/>
    <col min="7681" max="7681" width="31.5" style="155" customWidth="1"/>
    <col min="7682" max="7682" width="15.125" style="155" customWidth="1"/>
    <col min="7683" max="7683" width="0" style="155" hidden="1" customWidth="1"/>
    <col min="7684" max="7684" width="15.5" style="155" customWidth="1"/>
    <col min="7685" max="7685" width="15.25" style="155" customWidth="1"/>
    <col min="7686" max="7686" width="14.875" style="155" customWidth="1"/>
    <col min="7687" max="7687" width="15.125" style="155" customWidth="1"/>
    <col min="7688" max="7935" width="9" style="155"/>
    <col min="7936" max="7936" width="20.125" style="155" customWidth="1"/>
    <col min="7937" max="7937" width="31.5" style="155" customWidth="1"/>
    <col min="7938" max="7938" width="15.125" style="155" customWidth="1"/>
    <col min="7939" max="7939" width="0" style="155" hidden="1" customWidth="1"/>
    <col min="7940" max="7940" width="15.5" style="155" customWidth="1"/>
    <col min="7941" max="7941" width="15.25" style="155" customWidth="1"/>
    <col min="7942" max="7942" width="14.875" style="155" customWidth="1"/>
    <col min="7943" max="7943" width="15.125" style="155" customWidth="1"/>
    <col min="7944" max="8191" width="9" style="155"/>
    <col min="8192" max="8192" width="20.125" style="155" customWidth="1"/>
    <col min="8193" max="8193" width="31.5" style="155" customWidth="1"/>
    <col min="8194" max="8194" width="15.125" style="155" customWidth="1"/>
    <col min="8195" max="8195" width="0" style="155" hidden="1" customWidth="1"/>
    <col min="8196" max="8196" width="15.5" style="155" customWidth="1"/>
    <col min="8197" max="8197" width="15.25" style="155" customWidth="1"/>
    <col min="8198" max="8198" width="14.875" style="155" customWidth="1"/>
    <col min="8199" max="8199" width="15.125" style="155" customWidth="1"/>
    <col min="8200" max="8447" width="9" style="155"/>
    <col min="8448" max="8448" width="20.125" style="155" customWidth="1"/>
    <col min="8449" max="8449" width="31.5" style="155" customWidth="1"/>
    <col min="8450" max="8450" width="15.125" style="155" customWidth="1"/>
    <col min="8451" max="8451" width="0" style="155" hidden="1" customWidth="1"/>
    <col min="8452" max="8452" width="15.5" style="155" customWidth="1"/>
    <col min="8453" max="8453" width="15.25" style="155" customWidth="1"/>
    <col min="8454" max="8454" width="14.875" style="155" customWidth="1"/>
    <col min="8455" max="8455" width="15.125" style="155" customWidth="1"/>
    <col min="8456" max="8703" width="9" style="155"/>
    <col min="8704" max="8704" width="20.125" style="155" customWidth="1"/>
    <col min="8705" max="8705" width="31.5" style="155" customWidth="1"/>
    <col min="8706" max="8706" width="15.125" style="155" customWidth="1"/>
    <col min="8707" max="8707" width="0" style="155" hidden="1" customWidth="1"/>
    <col min="8708" max="8708" width="15.5" style="155" customWidth="1"/>
    <col min="8709" max="8709" width="15.25" style="155" customWidth="1"/>
    <col min="8710" max="8710" width="14.875" style="155" customWidth="1"/>
    <col min="8711" max="8711" width="15.125" style="155" customWidth="1"/>
    <col min="8712" max="8959" width="9" style="155"/>
    <col min="8960" max="8960" width="20.125" style="155" customWidth="1"/>
    <col min="8961" max="8961" width="31.5" style="155" customWidth="1"/>
    <col min="8962" max="8962" width="15.125" style="155" customWidth="1"/>
    <col min="8963" max="8963" width="0" style="155" hidden="1" customWidth="1"/>
    <col min="8964" max="8964" width="15.5" style="155" customWidth="1"/>
    <col min="8965" max="8965" width="15.25" style="155" customWidth="1"/>
    <col min="8966" max="8966" width="14.875" style="155" customWidth="1"/>
    <col min="8967" max="8967" width="15.125" style="155" customWidth="1"/>
    <col min="8968" max="9215" width="9" style="155"/>
    <col min="9216" max="9216" width="20.125" style="155" customWidth="1"/>
    <col min="9217" max="9217" width="31.5" style="155" customWidth="1"/>
    <col min="9218" max="9218" width="15.125" style="155" customWidth="1"/>
    <col min="9219" max="9219" width="0" style="155" hidden="1" customWidth="1"/>
    <col min="9220" max="9220" width="15.5" style="155" customWidth="1"/>
    <col min="9221" max="9221" width="15.25" style="155" customWidth="1"/>
    <col min="9222" max="9222" width="14.875" style="155" customWidth="1"/>
    <col min="9223" max="9223" width="15.125" style="155" customWidth="1"/>
    <col min="9224" max="9471" width="9" style="155"/>
    <col min="9472" max="9472" width="20.125" style="155" customWidth="1"/>
    <col min="9473" max="9473" width="31.5" style="155" customWidth="1"/>
    <col min="9474" max="9474" width="15.125" style="155" customWidth="1"/>
    <col min="9475" max="9475" width="0" style="155" hidden="1" customWidth="1"/>
    <col min="9476" max="9476" width="15.5" style="155" customWidth="1"/>
    <col min="9477" max="9477" width="15.25" style="155" customWidth="1"/>
    <col min="9478" max="9478" width="14.875" style="155" customWidth="1"/>
    <col min="9479" max="9479" width="15.125" style="155" customWidth="1"/>
    <col min="9480" max="9727" width="9" style="155"/>
    <col min="9728" max="9728" width="20.125" style="155" customWidth="1"/>
    <col min="9729" max="9729" width="31.5" style="155" customWidth="1"/>
    <col min="9730" max="9730" width="15.125" style="155" customWidth="1"/>
    <col min="9731" max="9731" width="0" style="155" hidden="1" customWidth="1"/>
    <col min="9732" max="9732" width="15.5" style="155" customWidth="1"/>
    <col min="9733" max="9733" width="15.25" style="155" customWidth="1"/>
    <col min="9734" max="9734" width="14.875" style="155" customWidth="1"/>
    <col min="9735" max="9735" width="15.125" style="155" customWidth="1"/>
    <col min="9736" max="9983" width="9" style="155"/>
    <col min="9984" max="9984" width="20.125" style="155" customWidth="1"/>
    <col min="9985" max="9985" width="31.5" style="155" customWidth="1"/>
    <col min="9986" max="9986" width="15.125" style="155" customWidth="1"/>
    <col min="9987" max="9987" width="0" style="155" hidden="1" customWidth="1"/>
    <col min="9988" max="9988" width="15.5" style="155" customWidth="1"/>
    <col min="9989" max="9989" width="15.25" style="155" customWidth="1"/>
    <col min="9990" max="9990" width="14.875" style="155" customWidth="1"/>
    <col min="9991" max="9991" width="15.125" style="155" customWidth="1"/>
    <col min="9992" max="10239" width="9" style="155"/>
    <col min="10240" max="10240" width="20.125" style="155" customWidth="1"/>
    <col min="10241" max="10241" width="31.5" style="155" customWidth="1"/>
    <col min="10242" max="10242" width="15.125" style="155" customWidth="1"/>
    <col min="10243" max="10243" width="0" style="155" hidden="1" customWidth="1"/>
    <col min="10244" max="10244" width="15.5" style="155" customWidth="1"/>
    <col min="10245" max="10245" width="15.25" style="155" customWidth="1"/>
    <col min="10246" max="10246" width="14.875" style="155" customWidth="1"/>
    <col min="10247" max="10247" width="15.125" style="155" customWidth="1"/>
    <col min="10248" max="10495" width="9" style="155"/>
    <col min="10496" max="10496" width="20.125" style="155" customWidth="1"/>
    <col min="10497" max="10497" width="31.5" style="155" customWidth="1"/>
    <col min="10498" max="10498" width="15.125" style="155" customWidth="1"/>
    <col min="10499" max="10499" width="0" style="155" hidden="1" customWidth="1"/>
    <col min="10500" max="10500" width="15.5" style="155" customWidth="1"/>
    <col min="10501" max="10501" width="15.25" style="155" customWidth="1"/>
    <col min="10502" max="10502" width="14.875" style="155" customWidth="1"/>
    <col min="10503" max="10503" width="15.125" style="155" customWidth="1"/>
    <col min="10504" max="10751" width="9" style="155"/>
    <col min="10752" max="10752" width="20.125" style="155" customWidth="1"/>
    <col min="10753" max="10753" width="31.5" style="155" customWidth="1"/>
    <col min="10754" max="10754" width="15.125" style="155" customWidth="1"/>
    <col min="10755" max="10755" width="0" style="155" hidden="1" customWidth="1"/>
    <col min="10756" max="10756" width="15.5" style="155" customWidth="1"/>
    <col min="10757" max="10757" width="15.25" style="155" customWidth="1"/>
    <col min="10758" max="10758" width="14.875" style="155" customWidth="1"/>
    <col min="10759" max="10759" width="15.125" style="155" customWidth="1"/>
    <col min="10760" max="11007" width="9" style="155"/>
    <col min="11008" max="11008" width="20.125" style="155" customWidth="1"/>
    <col min="11009" max="11009" width="31.5" style="155" customWidth="1"/>
    <col min="11010" max="11010" width="15.125" style="155" customWidth="1"/>
    <col min="11011" max="11011" width="0" style="155" hidden="1" customWidth="1"/>
    <col min="11012" max="11012" width="15.5" style="155" customWidth="1"/>
    <col min="11013" max="11013" width="15.25" style="155" customWidth="1"/>
    <col min="11014" max="11014" width="14.875" style="155" customWidth="1"/>
    <col min="11015" max="11015" width="15.125" style="155" customWidth="1"/>
    <col min="11016" max="11263" width="9" style="155"/>
    <col min="11264" max="11264" width="20.125" style="155" customWidth="1"/>
    <col min="11265" max="11265" width="31.5" style="155" customWidth="1"/>
    <col min="11266" max="11266" width="15.125" style="155" customWidth="1"/>
    <col min="11267" max="11267" width="0" style="155" hidden="1" customWidth="1"/>
    <col min="11268" max="11268" width="15.5" style="155" customWidth="1"/>
    <col min="11269" max="11269" width="15.25" style="155" customWidth="1"/>
    <col min="11270" max="11270" width="14.875" style="155" customWidth="1"/>
    <col min="11271" max="11271" width="15.125" style="155" customWidth="1"/>
    <col min="11272" max="11519" width="9" style="155"/>
    <col min="11520" max="11520" width="20.125" style="155" customWidth="1"/>
    <col min="11521" max="11521" width="31.5" style="155" customWidth="1"/>
    <col min="11522" max="11522" width="15.125" style="155" customWidth="1"/>
    <col min="11523" max="11523" width="0" style="155" hidden="1" customWidth="1"/>
    <col min="11524" max="11524" width="15.5" style="155" customWidth="1"/>
    <col min="11525" max="11525" width="15.25" style="155" customWidth="1"/>
    <col min="11526" max="11526" width="14.875" style="155" customWidth="1"/>
    <col min="11527" max="11527" width="15.125" style="155" customWidth="1"/>
    <col min="11528" max="11775" width="9" style="155"/>
    <col min="11776" max="11776" width="20.125" style="155" customWidth="1"/>
    <col min="11777" max="11777" width="31.5" style="155" customWidth="1"/>
    <col min="11778" max="11778" width="15.125" style="155" customWidth="1"/>
    <col min="11779" max="11779" width="0" style="155" hidden="1" customWidth="1"/>
    <col min="11780" max="11780" width="15.5" style="155" customWidth="1"/>
    <col min="11781" max="11781" width="15.25" style="155" customWidth="1"/>
    <col min="11782" max="11782" width="14.875" style="155" customWidth="1"/>
    <col min="11783" max="11783" width="15.125" style="155" customWidth="1"/>
    <col min="11784" max="12031" width="9" style="155"/>
    <col min="12032" max="12032" width="20.125" style="155" customWidth="1"/>
    <col min="12033" max="12033" width="31.5" style="155" customWidth="1"/>
    <col min="12034" max="12034" width="15.125" style="155" customWidth="1"/>
    <col min="12035" max="12035" width="0" style="155" hidden="1" customWidth="1"/>
    <col min="12036" max="12036" width="15.5" style="155" customWidth="1"/>
    <col min="12037" max="12037" width="15.25" style="155" customWidth="1"/>
    <col min="12038" max="12038" width="14.875" style="155" customWidth="1"/>
    <col min="12039" max="12039" width="15.125" style="155" customWidth="1"/>
    <col min="12040" max="12287" width="9" style="155"/>
    <col min="12288" max="12288" width="20.125" style="155" customWidth="1"/>
    <col min="12289" max="12289" width="31.5" style="155" customWidth="1"/>
    <col min="12290" max="12290" width="15.125" style="155" customWidth="1"/>
    <col min="12291" max="12291" width="0" style="155" hidden="1" customWidth="1"/>
    <col min="12292" max="12292" width="15.5" style="155" customWidth="1"/>
    <col min="12293" max="12293" width="15.25" style="155" customWidth="1"/>
    <col min="12294" max="12294" width="14.875" style="155" customWidth="1"/>
    <col min="12295" max="12295" width="15.125" style="155" customWidth="1"/>
    <col min="12296" max="12543" width="9" style="155"/>
    <col min="12544" max="12544" width="20.125" style="155" customWidth="1"/>
    <col min="12545" max="12545" width="31.5" style="155" customWidth="1"/>
    <col min="12546" max="12546" width="15.125" style="155" customWidth="1"/>
    <col min="12547" max="12547" width="0" style="155" hidden="1" customWidth="1"/>
    <col min="12548" max="12548" width="15.5" style="155" customWidth="1"/>
    <col min="12549" max="12549" width="15.25" style="155" customWidth="1"/>
    <col min="12550" max="12550" width="14.875" style="155" customWidth="1"/>
    <col min="12551" max="12551" width="15.125" style="155" customWidth="1"/>
    <col min="12552" max="12799" width="9" style="155"/>
    <col min="12800" max="12800" width="20.125" style="155" customWidth="1"/>
    <col min="12801" max="12801" width="31.5" style="155" customWidth="1"/>
    <col min="12802" max="12802" width="15.125" style="155" customWidth="1"/>
    <col min="12803" max="12803" width="0" style="155" hidden="1" customWidth="1"/>
    <col min="12804" max="12804" width="15.5" style="155" customWidth="1"/>
    <col min="12805" max="12805" width="15.25" style="155" customWidth="1"/>
    <col min="12806" max="12806" width="14.875" style="155" customWidth="1"/>
    <col min="12807" max="12807" width="15.125" style="155" customWidth="1"/>
    <col min="12808" max="13055" width="9" style="155"/>
    <col min="13056" max="13056" width="20.125" style="155" customWidth="1"/>
    <col min="13057" max="13057" width="31.5" style="155" customWidth="1"/>
    <col min="13058" max="13058" width="15.125" style="155" customWidth="1"/>
    <col min="13059" max="13059" width="0" style="155" hidden="1" customWidth="1"/>
    <col min="13060" max="13060" width="15.5" style="155" customWidth="1"/>
    <col min="13061" max="13061" width="15.25" style="155" customWidth="1"/>
    <col min="13062" max="13062" width="14.875" style="155" customWidth="1"/>
    <col min="13063" max="13063" width="15.125" style="155" customWidth="1"/>
    <col min="13064" max="13311" width="9" style="155"/>
    <col min="13312" max="13312" width="20.125" style="155" customWidth="1"/>
    <col min="13313" max="13313" width="31.5" style="155" customWidth="1"/>
    <col min="13314" max="13314" width="15.125" style="155" customWidth="1"/>
    <col min="13315" max="13315" width="0" style="155" hidden="1" customWidth="1"/>
    <col min="13316" max="13316" width="15.5" style="155" customWidth="1"/>
    <col min="13317" max="13317" width="15.25" style="155" customWidth="1"/>
    <col min="13318" max="13318" width="14.875" style="155" customWidth="1"/>
    <col min="13319" max="13319" width="15.125" style="155" customWidth="1"/>
    <col min="13320" max="13567" width="9" style="155"/>
    <col min="13568" max="13568" width="20.125" style="155" customWidth="1"/>
    <col min="13569" max="13569" width="31.5" style="155" customWidth="1"/>
    <col min="13570" max="13570" width="15.125" style="155" customWidth="1"/>
    <col min="13571" max="13571" width="0" style="155" hidden="1" customWidth="1"/>
    <col min="13572" max="13572" width="15.5" style="155" customWidth="1"/>
    <col min="13573" max="13573" width="15.25" style="155" customWidth="1"/>
    <col min="13574" max="13574" width="14.875" style="155" customWidth="1"/>
    <col min="13575" max="13575" width="15.125" style="155" customWidth="1"/>
    <col min="13576" max="13823" width="9" style="155"/>
    <col min="13824" max="13824" width="20.125" style="155" customWidth="1"/>
    <col min="13825" max="13825" width="31.5" style="155" customWidth="1"/>
    <col min="13826" max="13826" width="15.125" style="155" customWidth="1"/>
    <col min="13827" max="13827" width="0" style="155" hidden="1" customWidth="1"/>
    <col min="13828" max="13828" width="15.5" style="155" customWidth="1"/>
    <col min="13829" max="13829" width="15.25" style="155" customWidth="1"/>
    <col min="13830" max="13830" width="14.875" style="155" customWidth="1"/>
    <col min="13831" max="13831" width="15.125" style="155" customWidth="1"/>
    <col min="13832" max="14079" width="9" style="155"/>
    <col min="14080" max="14080" width="20.125" style="155" customWidth="1"/>
    <col min="14081" max="14081" width="31.5" style="155" customWidth="1"/>
    <col min="14082" max="14082" width="15.125" style="155" customWidth="1"/>
    <col min="14083" max="14083" width="0" style="155" hidden="1" customWidth="1"/>
    <col min="14084" max="14084" width="15.5" style="155" customWidth="1"/>
    <col min="14085" max="14085" width="15.25" style="155" customWidth="1"/>
    <col min="14086" max="14086" width="14.875" style="155" customWidth="1"/>
    <col min="14087" max="14087" width="15.125" style="155" customWidth="1"/>
    <col min="14088" max="14335" width="9" style="155"/>
    <col min="14336" max="14336" width="20.125" style="155" customWidth="1"/>
    <col min="14337" max="14337" width="31.5" style="155" customWidth="1"/>
    <col min="14338" max="14338" width="15.125" style="155" customWidth="1"/>
    <col min="14339" max="14339" width="0" style="155" hidden="1" customWidth="1"/>
    <col min="14340" max="14340" width="15.5" style="155" customWidth="1"/>
    <col min="14341" max="14341" width="15.25" style="155" customWidth="1"/>
    <col min="14342" max="14342" width="14.875" style="155" customWidth="1"/>
    <col min="14343" max="14343" width="15.125" style="155" customWidth="1"/>
    <col min="14344" max="14591" width="9" style="155"/>
    <col min="14592" max="14592" width="20.125" style="155" customWidth="1"/>
    <col min="14593" max="14593" width="31.5" style="155" customWidth="1"/>
    <col min="14594" max="14594" width="15.125" style="155" customWidth="1"/>
    <col min="14595" max="14595" width="0" style="155" hidden="1" customWidth="1"/>
    <col min="14596" max="14596" width="15.5" style="155" customWidth="1"/>
    <col min="14597" max="14597" width="15.25" style="155" customWidth="1"/>
    <col min="14598" max="14598" width="14.875" style="155" customWidth="1"/>
    <col min="14599" max="14599" width="15.125" style="155" customWidth="1"/>
    <col min="14600" max="14847" width="9" style="155"/>
    <col min="14848" max="14848" width="20.125" style="155" customWidth="1"/>
    <col min="14849" max="14849" width="31.5" style="155" customWidth="1"/>
    <col min="14850" max="14850" width="15.125" style="155" customWidth="1"/>
    <col min="14851" max="14851" width="0" style="155" hidden="1" customWidth="1"/>
    <col min="14852" max="14852" width="15.5" style="155" customWidth="1"/>
    <col min="14853" max="14853" width="15.25" style="155" customWidth="1"/>
    <col min="14854" max="14854" width="14.875" style="155" customWidth="1"/>
    <col min="14855" max="14855" width="15.125" style="155" customWidth="1"/>
    <col min="14856" max="15103" width="9" style="155"/>
    <col min="15104" max="15104" width="20.125" style="155" customWidth="1"/>
    <col min="15105" max="15105" width="31.5" style="155" customWidth="1"/>
    <col min="15106" max="15106" width="15.125" style="155" customWidth="1"/>
    <col min="15107" max="15107" width="0" style="155" hidden="1" customWidth="1"/>
    <col min="15108" max="15108" width="15.5" style="155" customWidth="1"/>
    <col min="15109" max="15109" width="15.25" style="155" customWidth="1"/>
    <col min="15110" max="15110" width="14.875" style="155" customWidth="1"/>
    <col min="15111" max="15111" width="15.125" style="155" customWidth="1"/>
    <col min="15112" max="15359" width="9" style="155"/>
    <col min="15360" max="15360" width="20.125" style="155" customWidth="1"/>
    <col min="15361" max="15361" width="31.5" style="155" customWidth="1"/>
    <col min="15362" max="15362" width="15.125" style="155" customWidth="1"/>
    <col min="15363" max="15363" width="0" style="155" hidden="1" customWidth="1"/>
    <col min="15364" max="15364" width="15.5" style="155" customWidth="1"/>
    <col min="15365" max="15365" width="15.25" style="155" customWidth="1"/>
    <col min="15366" max="15366" width="14.875" style="155" customWidth="1"/>
    <col min="15367" max="15367" width="15.125" style="155" customWidth="1"/>
    <col min="15368" max="15615" width="9" style="155"/>
    <col min="15616" max="15616" width="20.125" style="155" customWidth="1"/>
    <col min="15617" max="15617" width="31.5" style="155" customWidth="1"/>
    <col min="15618" max="15618" width="15.125" style="155" customWidth="1"/>
    <col min="15619" max="15619" width="0" style="155" hidden="1" customWidth="1"/>
    <col min="15620" max="15620" width="15.5" style="155" customWidth="1"/>
    <col min="15621" max="15621" width="15.25" style="155" customWidth="1"/>
    <col min="15622" max="15622" width="14.875" style="155" customWidth="1"/>
    <col min="15623" max="15623" width="15.125" style="155" customWidth="1"/>
    <col min="15624" max="15871" width="9" style="155"/>
    <col min="15872" max="15872" width="20.125" style="155" customWidth="1"/>
    <col min="15873" max="15873" width="31.5" style="155" customWidth="1"/>
    <col min="15874" max="15874" width="15.125" style="155" customWidth="1"/>
    <col min="15875" max="15875" width="0" style="155" hidden="1" customWidth="1"/>
    <col min="15876" max="15876" width="15.5" style="155" customWidth="1"/>
    <col min="15877" max="15877" width="15.25" style="155" customWidth="1"/>
    <col min="15878" max="15878" width="14.875" style="155" customWidth="1"/>
    <col min="15879" max="15879" width="15.125" style="155" customWidth="1"/>
    <col min="15880" max="16127" width="9" style="155"/>
    <col min="16128" max="16128" width="20.125" style="155" customWidth="1"/>
    <col min="16129" max="16129" width="31.5" style="155" customWidth="1"/>
    <col min="16130" max="16130" width="15.125" style="155" customWidth="1"/>
    <col min="16131" max="16131" width="0" style="155" hidden="1" customWidth="1"/>
    <col min="16132" max="16132" width="15.5" style="155" customWidth="1"/>
    <col min="16133" max="16133" width="15.25" style="155" customWidth="1"/>
    <col min="16134" max="16134" width="14.875" style="155" customWidth="1"/>
    <col min="16135" max="16135" width="15.125" style="155" customWidth="1"/>
    <col min="16136" max="16384" width="9" style="155"/>
  </cols>
  <sheetData>
    <row r="1" spans="1:7" s="107" customFormat="1" ht="31.5" customHeight="1" thickBot="1">
      <c r="A1" s="2815" t="s">
        <v>123</v>
      </c>
      <c r="B1" s="2815"/>
      <c r="C1" s="2815"/>
      <c r="D1" s="2815"/>
      <c r="E1" s="2815"/>
      <c r="F1" s="2815"/>
      <c r="G1" s="2815"/>
    </row>
    <row r="2" spans="1:7" s="112" customFormat="1" ht="17.25" customHeight="1" thickBot="1">
      <c r="A2" s="2816" t="s">
        <v>124</v>
      </c>
      <c r="B2" s="2817"/>
      <c r="C2" s="108" t="s">
        <v>125</v>
      </c>
      <c r="D2" s="110" t="s">
        <v>126</v>
      </c>
      <c r="E2" s="110" t="s">
        <v>127</v>
      </c>
      <c r="F2" s="109" t="s">
        <v>128</v>
      </c>
      <c r="G2" s="111" t="s">
        <v>129</v>
      </c>
    </row>
    <row r="3" spans="1:7" s="118" customFormat="1">
      <c r="A3" s="2818" t="s">
        <v>130</v>
      </c>
      <c r="B3" s="113" t="s">
        <v>131</v>
      </c>
      <c r="C3" s="114" t="s">
        <v>132</v>
      </c>
      <c r="D3" s="116">
        <v>35</v>
      </c>
      <c r="E3" s="116">
        <v>33</v>
      </c>
      <c r="F3" s="117">
        <f>D3-E3</f>
        <v>2</v>
      </c>
      <c r="G3" s="2753" t="s">
        <v>2491</v>
      </c>
    </row>
    <row r="4" spans="1:7" s="118" customFormat="1" ht="15.75" customHeight="1">
      <c r="A4" s="2819"/>
      <c r="B4" s="119" t="s">
        <v>133</v>
      </c>
      <c r="C4" s="120" t="s">
        <v>132</v>
      </c>
      <c r="D4" s="121">
        <v>1</v>
      </c>
      <c r="E4" s="121">
        <v>1</v>
      </c>
      <c r="F4" s="122">
        <f>D4-E4</f>
        <v>0</v>
      </c>
      <c r="G4" s="123"/>
    </row>
    <row r="5" spans="1:7" s="118" customFormat="1" ht="15.75" customHeight="1">
      <c r="A5" s="2819"/>
      <c r="B5" s="124" t="s">
        <v>2487</v>
      </c>
      <c r="C5" s="120" t="s">
        <v>132</v>
      </c>
      <c r="D5" s="121">
        <v>2</v>
      </c>
      <c r="E5" s="121">
        <v>2</v>
      </c>
      <c r="F5" s="122">
        <f>D5-E5</f>
        <v>0</v>
      </c>
      <c r="G5" s="135" t="s">
        <v>2490</v>
      </c>
    </row>
    <row r="6" spans="1:7" s="118" customFormat="1" ht="15.75" customHeight="1">
      <c r="A6" s="2819"/>
      <c r="B6" s="124" t="s">
        <v>2488</v>
      </c>
      <c r="C6" s="125" t="s">
        <v>132</v>
      </c>
      <c r="D6" s="121">
        <v>1</v>
      </c>
      <c r="E6" s="121">
        <v>1</v>
      </c>
      <c r="F6" s="122">
        <f>D6-E6</f>
        <v>0</v>
      </c>
      <c r="G6" s="123"/>
    </row>
    <row r="7" spans="1:7" s="118" customFormat="1" ht="15.75" customHeight="1" thickBot="1">
      <c r="A7" s="2819"/>
      <c r="B7" s="126" t="s">
        <v>2489</v>
      </c>
      <c r="C7" s="127" t="s">
        <v>132</v>
      </c>
      <c r="D7" s="121">
        <v>3</v>
      </c>
      <c r="E7" s="121">
        <v>2</v>
      </c>
      <c r="F7" s="128">
        <f>D7-E7</f>
        <v>1</v>
      </c>
      <c r="G7" s="135" t="s">
        <v>2486</v>
      </c>
    </row>
    <row r="8" spans="1:7" s="118" customFormat="1" ht="15.75" customHeight="1">
      <c r="A8" s="2818" t="s">
        <v>134</v>
      </c>
      <c r="B8" s="113" t="s">
        <v>135</v>
      </c>
      <c r="C8" s="115" t="s">
        <v>136</v>
      </c>
      <c r="D8" s="116" t="s">
        <v>622</v>
      </c>
      <c r="E8" s="116" t="s">
        <v>2485</v>
      </c>
      <c r="F8" s="129"/>
      <c r="G8" s="130"/>
    </row>
    <row r="9" spans="1:7" s="118" customFormat="1" ht="15.75" customHeight="1">
      <c r="A9" s="2819"/>
      <c r="B9" s="119" t="s">
        <v>137</v>
      </c>
      <c r="C9" s="125" t="s">
        <v>138</v>
      </c>
      <c r="D9" s="131">
        <f>E9*1.1</f>
        <v>2095.5</v>
      </c>
      <c r="E9" s="131">
        <v>1905</v>
      </c>
      <c r="F9" s="132">
        <f t="shared" ref="F9:F14" si="0">D9-E9</f>
        <v>190.5</v>
      </c>
      <c r="G9" s="133"/>
    </row>
    <row r="10" spans="1:7" s="118" customFormat="1" ht="15.75" customHeight="1">
      <c r="A10" s="2819"/>
      <c r="B10" s="119" t="s">
        <v>139</v>
      </c>
      <c r="C10" s="125" t="s">
        <v>138</v>
      </c>
      <c r="D10" s="131">
        <f>E10*1.1</f>
        <v>390.50000000000006</v>
      </c>
      <c r="E10" s="131">
        <v>355</v>
      </c>
      <c r="F10" s="132">
        <f t="shared" si="0"/>
        <v>35.500000000000057</v>
      </c>
      <c r="G10" s="134"/>
    </row>
    <row r="11" spans="1:7" s="118" customFormat="1" ht="15.75" customHeight="1">
      <c r="A11" s="2819"/>
      <c r="B11" s="119" t="s">
        <v>511</v>
      </c>
      <c r="C11" s="125" t="s">
        <v>138</v>
      </c>
      <c r="D11" s="131">
        <f>E11*1.1</f>
        <v>6592.3</v>
      </c>
      <c r="E11" s="131">
        <v>5993</v>
      </c>
      <c r="F11" s="132">
        <f t="shared" si="0"/>
        <v>599.30000000000018</v>
      </c>
      <c r="G11" s="135"/>
    </row>
    <row r="12" spans="1:7" s="118" customFormat="1" ht="15.75" customHeight="1">
      <c r="A12" s="2819"/>
      <c r="B12" s="119" t="s">
        <v>140</v>
      </c>
      <c r="C12" s="125" t="s">
        <v>138</v>
      </c>
      <c r="D12" s="131">
        <f>E12*1.1</f>
        <v>1501.5000000000002</v>
      </c>
      <c r="E12" s="131">
        <v>1365</v>
      </c>
      <c r="F12" s="132">
        <f t="shared" si="0"/>
        <v>136.50000000000023</v>
      </c>
      <c r="G12" s="135"/>
    </row>
    <row r="13" spans="1:7" s="118" customFormat="1" ht="15.75" customHeight="1" thickBot="1">
      <c r="A13" s="2820"/>
      <c r="B13" s="126" t="s">
        <v>510</v>
      </c>
      <c r="C13" s="136" t="s">
        <v>138</v>
      </c>
      <c r="D13" s="131">
        <f>E13*1.1</f>
        <v>15.400000000000002</v>
      </c>
      <c r="E13" s="137">
        <v>14</v>
      </c>
      <c r="F13" s="138">
        <f t="shared" si="0"/>
        <v>1.4000000000000021</v>
      </c>
      <c r="G13" s="139"/>
    </row>
    <row r="14" spans="1:7" s="118" customFormat="1" ht="15.75" customHeight="1">
      <c r="A14" s="2821" t="s">
        <v>141</v>
      </c>
      <c r="B14" s="113" t="s">
        <v>505</v>
      </c>
      <c r="C14" s="114" t="s">
        <v>1043</v>
      </c>
      <c r="D14" s="1695">
        <f>'가. 수입예산 총괄표(사업수익+자본적수입)'!F11+'가. 수입예산 총괄표(사업수익+자본적수입)'!F33</f>
        <v>1727711</v>
      </c>
      <c r="E14" s="1695">
        <v>1584381</v>
      </c>
      <c r="F14" s="548">
        <f t="shared" si="0"/>
        <v>143330</v>
      </c>
      <c r="G14" s="130"/>
    </row>
    <row r="15" spans="1:7" s="118" customFormat="1" ht="15.75" customHeight="1">
      <c r="A15" s="2822"/>
      <c r="B15" s="119" t="s">
        <v>506</v>
      </c>
      <c r="C15" s="125" t="s">
        <v>1043</v>
      </c>
      <c r="D15" s="1696">
        <f>'가. 수입예산 총괄표(사업수익+자본적수입)'!F12+'가. 수입예산 총괄표(사업수익+자본적수입)'!F34</f>
        <v>168033</v>
      </c>
      <c r="E15" s="1696">
        <v>230088</v>
      </c>
      <c r="F15" s="141">
        <f t="shared" ref="F15:F31" si="1">D15-E15</f>
        <v>-62055</v>
      </c>
      <c r="G15" s="142"/>
    </row>
    <row r="16" spans="1:7" s="118" customFormat="1" ht="15.75" customHeight="1">
      <c r="A16" s="2822"/>
      <c r="B16" s="119" t="s">
        <v>507</v>
      </c>
      <c r="C16" s="125" t="s">
        <v>1043</v>
      </c>
      <c r="D16" s="1696">
        <f>'가. 수입예산 총괄표(사업수익+자본적수입)'!F13+'가. 수입예산 총괄표(사업수익+자본적수입)'!F35</f>
        <v>299424</v>
      </c>
      <c r="E16" s="1696">
        <v>299424</v>
      </c>
      <c r="F16" s="141">
        <f t="shared" si="1"/>
        <v>0</v>
      </c>
      <c r="G16" s="142"/>
    </row>
    <row r="17" spans="1:8" s="118" customFormat="1" ht="15.75" customHeight="1">
      <c r="A17" s="2822"/>
      <c r="B17" s="119" t="s">
        <v>2478</v>
      </c>
      <c r="C17" s="125" t="s">
        <v>1043</v>
      </c>
      <c r="D17" s="1696">
        <v>400000</v>
      </c>
      <c r="E17" s="1696">
        <v>0</v>
      </c>
      <c r="F17" s="141">
        <f t="shared" si="1"/>
        <v>400000</v>
      </c>
      <c r="G17" s="142"/>
    </row>
    <row r="18" spans="1:8" s="118" customFormat="1" ht="15.75" customHeight="1">
      <c r="A18" s="2822"/>
      <c r="B18" s="119" t="s">
        <v>2479</v>
      </c>
      <c r="C18" s="125" t="s">
        <v>1043</v>
      </c>
      <c r="D18" s="1696">
        <f>'가. 수입예산 총괄표(사업수익+자본적수입)'!F15+'가. 수입예산 총괄표(사업수익+자본적수입)'!F37</f>
        <v>22246757</v>
      </c>
      <c r="E18" s="1696">
        <v>22493349</v>
      </c>
      <c r="F18" s="141">
        <f t="shared" si="1"/>
        <v>-246592</v>
      </c>
      <c r="G18" s="142"/>
    </row>
    <row r="19" spans="1:8" s="118" customFormat="1" ht="15.75" customHeight="1">
      <c r="A19" s="2822"/>
      <c r="B19" s="119" t="s">
        <v>2480</v>
      </c>
      <c r="C19" s="125" t="s">
        <v>1043</v>
      </c>
      <c r="D19" s="1696">
        <f>'가. 수입예산 총괄표(사업수익+자본적수입)'!F16+'가. 수입예산 총괄표(사업수익+자본적수입)'!F38</f>
        <v>100803</v>
      </c>
      <c r="E19" s="1696">
        <v>101745</v>
      </c>
      <c r="F19" s="141">
        <f t="shared" si="1"/>
        <v>-942</v>
      </c>
      <c r="G19" s="142"/>
    </row>
    <row r="20" spans="1:8" s="118" customFormat="1" ht="15.75" customHeight="1">
      <c r="A20" s="2822"/>
      <c r="B20" s="126" t="s">
        <v>2481</v>
      </c>
      <c r="C20" s="125" t="s">
        <v>1043</v>
      </c>
      <c r="D20" s="1696">
        <f>'가. 수입예산 총괄표(사업수익+자본적수입)'!F17+'가. 수입예산 총괄표(사업수익+자본적수입)'!F39</f>
        <v>1024056</v>
      </c>
      <c r="E20" s="1696">
        <v>1032834</v>
      </c>
      <c r="F20" s="141">
        <f t="shared" si="1"/>
        <v>-8778</v>
      </c>
      <c r="G20" s="143"/>
    </row>
    <row r="21" spans="1:8" s="118" customFormat="1" ht="15.75" customHeight="1">
      <c r="A21" s="2822"/>
      <c r="B21" s="126" t="s">
        <v>2482</v>
      </c>
      <c r="C21" s="125" t="s">
        <v>1043</v>
      </c>
      <c r="D21" s="1696">
        <f>'가. 수입예산 총괄표(사업수익+자본적수입)'!F18+'가. 수입예산 총괄표(사업수익+자본적수입)'!F40</f>
        <v>749287</v>
      </c>
      <c r="E21" s="1696">
        <v>767169</v>
      </c>
      <c r="F21" s="141">
        <f t="shared" si="1"/>
        <v>-17882</v>
      </c>
      <c r="G21" s="143"/>
    </row>
    <row r="22" spans="1:8" s="118" customFormat="1" ht="15.75" customHeight="1">
      <c r="A22" s="2822"/>
      <c r="B22" s="126" t="s">
        <v>2483</v>
      </c>
      <c r="C22" s="125" t="s">
        <v>1043</v>
      </c>
      <c r="D22" s="1696">
        <f>'가. 수입예산 총괄표(사업수익+자본적수입)'!F19+'가. 수입예산 총괄표(사업수익+자본적수입)'!F41</f>
        <v>225039</v>
      </c>
      <c r="E22" s="1696">
        <v>224991</v>
      </c>
      <c r="F22" s="144">
        <f t="shared" si="1"/>
        <v>48</v>
      </c>
      <c r="G22" s="143"/>
    </row>
    <row r="23" spans="1:8" s="118" customFormat="1" ht="15.75" customHeight="1" thickBot="1">
      <c r="A23" s="2823"/>
      <c r="B23" s="145" t="s">
        <v>2484</v>
      </c>
      <c r="C23" s="125" t="s">
        <v>1043</v>
      </c>
      <c r="D23" s="1697">
        <f>'가. 수입예산 총괄표(사업수익+자본적수입)'!F20+'가. 수입예산 총괄표(사업수익+자본적수입)'!F42</f>
        <v>3808188</v>
      </c>
      <c r="E23" s="1697">
        <v>6530022.7000000002</v>
      </c>
      <c r="F23" s="147">
        <f t="shared" si="1"/>
        <v>-2721834.7</v>
      </c>
      <c r="G23" s="148"/>
    </row>
    <row r="24" spans="1:8" s="118" customFormat="1" ht="14.25" customHeight="1">
      <c r="A24" s="2812" t="s">
        <v>142</v>
      </c>
      <c r="B24" s="114" t="s">
        <v>143</v>
      </c>
      <c r="C24" s="115" t="s">
        <v>144</v>
      </c>
      <c r="D24" s="149">
        <f>SUM(D25:D31)</f>
        <v>485</v>
      </c>
      <c r="E24" s="149">
        <f>SUM(E25:E31)</f>
        <v>478</v>
      </c>
      <c r="F24" s="140">
        <f t="shared" si="1"/>
        <v>7</v>
      </c>
      <c r="G24" s="150"/>
    </row>
    <row r="25" spans="1:8" s="118" customFormat="1" ht="14.25" customHeight="1">
      <c r="A25" s="2813"/>
      <c r="B25" s="151" t="s">
        <v>145</v>
      </c>
      <c r="C25" s="125" t="s">
        <v>144</v>
      </c>
      <c r="D25" s="152">
        <v>3</v>
      </c>
      <c r="E25" s="152">
        <v>3</v>
      </c>
      <c r="F25" s="153">
        <f t="shared" si="1"/>
        <v>0</v>
      </c>
      <c r="G25" s="154" t="s">
        <v>146</v>
      </c>
    </row>
    <row r="26" spans="1:8" s="118" customFormat="1" ht="14.25" customHeight="1">
      <c r="A26" s="2813"/>
      <c r="B26" s="151" t="s">
        <v>147</v>
      </c>
      <c r="C26" s="125" t="s">
        <v>144</v>
      </c>
      <c r="D26" s="152">
        <v>48</v>
      </c>
      <c r="E26" s="152">
        <v>48</v>
      </c>
      <c r="F26" s="153">
        <f t="shared" si="1"/>
        <v>0</v>
      </c>
      <c r="G26" s="135"/>
      <c r="H26" s="118" t="s">
        <v>1016</v>
      </c>
    </row>
    <row r="27" spans="1:8" ht="14.25" customHeight="1">
      <c r="A27" s="2813"/>
      <c r="B27" s="151" t="s">
        <v>148</v>
      </c>
      <c r="C27" s="125" t="s">
        <v>144</v>
      </c>
      <c r="D27" s="152">
        <v>30</v>
      </c>
      <c r="E27" s="152">
        <v>30</v>
      </c>
      <c r="F27" s="153">
        <f t="shared" si="1"/>
        <v>0</v>
      </c>
      <c r="G27" s="135"/>
    </row>
    <row r="28" spans="1:8" ht="14.25" customHeight="1">
      <c r="A28" s="2813"/>
      <c r="B28" s="151" t="s">
        <v>149</v>
      </c>
      <c r="C28" s="125" t="s">
        <v>144</v>
      </c>
      <c r="D28" s="152">
        <v>274</v>
      </c>
      <c r="E28" s="152">
        <v>274</v>
      </c>
      <c r="F28" s="153">
        <f t="shared" si="1"/>
        <v>0</v>
      </c>
      <c r="G28" s="135" t="s">
        <v>150</v>
      </c>
    </row>
    <row r="29" spans="1:8" ht="14.25" customHeight="1">
      <c r="A29" s="2813"/>
      <c r="B29" s="151" t="s">
        <v>151</v>
      </c>
      <c r="C29" s="125" t="s">
        <v>144</v>
      </c>
      <c r="D29" s="152">
        <v>98</v>
      </c>
      <c r="E29" s="152">
        <v>98</v>
      </c>
      <c r="F29" s="153">
        <f t="shared" si="1"/>
        <v>0</v>
      </c>
      <c r="G29" s="135" t="s">
        <v>152</v>
      </c>
      <c r="H29" s="155" t="s">
        <v>1017</v>
      </c>
    </row>
    <row r="30" spans="1:8" ht="14.25" customHeight="1">
      <c r="A30" s="2813"/>
      <c r="B30" s="151" t="s">
        <v>153</v>
      </c>
      <c r="C30" s="125" t="s">
        <v>144</v>
      </c>
      <c r="D30" s="152">
        <v>2</v>
      </c>
      <c r="E30" s="152">
        <v>2</v>
      </c>
      <c r="F30" s="153">
        <f t="shared" si="1"/>
        <v>0</v>
      </c>
      <c r="G30" s="135" t="s">
        <v>154</v>
      </c>
    </row>
    <row r="31" spans="1:8" ht="14.25" customHeight="1" thickBot="1">
      <c r="A31" s="2814"/>
      <c r="B31" s="156" t="s">
        <v>155</v>
      </c>
      <c r="C31" s="146" t="s">
        <v>144</v>
      </c>
      <c r="D31" s="1009">
        <v>30</v>
      </c>
      <c r="E31" s="1009">
        <v>23</v>
      </c>
      <c r="F31" s="157">
        <f t="shared" si="1"/>
        <v>7</v>
      </c>
      <c r="G31" s="158" t="s">
        <v>156</v>
      </c>
    </row>
    <row r="32" spans="1:8" ht="21" customHeight="1" thickBot="1">
      <c r="A32" s="296" t="s">
        <v>157</v>
      </c>
      <c r="B32" s="159" t="s">
        <v>158</v>
      </c>
      <c r="C32" s="160" t="s">
        <v>138</v>
      </c>
      <c r="D32" s="1734" t="s">
        <v>558</v>
      </c>
      <c r="E32" s="1734" t="s">
        <v>557</v>
      </c>
      <c r="F32" s="1735">
        <f>D32-E32</f>
        <v>0</v>
      </c>
      <c r="G32" s="161"/>
    </row>
    <row r="33" ht="18" customHeight="1"/>
    <row r="34" ht="18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</sheetData>
  <mergeCells count="6">
    <mergeCell ref="A24:A31"/>
    <mergeCell ref="A1:G1"/>
    <mergeCell ref="A2:B2"/>
    <mergeCell ref="A3:A7"/>
    <mergeCell ref="A8:A13"/>
    <mergeCell ref="A14:A23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92" orientation="landscape" useFirstPageNumber="1" r:id="rId1"/>
  <headerFooter alignWithMargins="0">
    <oddHeader xml:space="preserve">&amp;L&amp;"돋움,굵게"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58"/>
  <sheetViews>
    <sheetView zoomScaleNormal="100" workbookViewId="0">
      <selection activeCell="J20" sqref="J20"/>
    </sheetView>
  </sheetViews>
  <sheetFormatPr defaultRowHeight="13.5"/>
  <cols>
    <col min="1" max="1" width="26.875" style="105" customWidth="1"/>
    <col min="2" max="2" width="8.25" style="105" customWidth="1"/>
    <col min="3" max="256" width="9" style="105"/>
    <col min="257" max="257" width="26.875" style="105" customWidth="1"/>
    <col min="258" max="258" width="8.25" style="105" customWidth="1"/>
    <col min="259" max="512" width="9" style="105"/>
    <col min="513" max="513" width="26.875" style="105" customWidth="1"/>
    <col min="514" max="514" width="8.25" style="105" customWidth="1"/>
    <col min="515" max="768" width="9" style="105"/>
    <col min="769" max="769" width="26.875" style="105" customWidth="1"/>
    <col min="770" max="770" width="8.25" style="105" customWidth="1"/>
    <col min="771" max="1024" width="9" style="105"/>
    <col min="1025" max="1025" width="26.875" style="105" customWidth="1"/>
    <col min="1026" max="1026" width="8.25" style="105" customWidth="1"/>
    <col min="1027" max="1280" width="9" style="105"/>
    <col min="1281" max="1281" width="26.875" style="105" customWidth="1"/>
    <col min="1282" max="1282" width="8.25" style="105" customWidth="1"/>
    <col min="1283" max="1536" width="9" style="105"/>
    <col min="1537" max="1537" width="26.875" style="105" customWidth="1"/>
    <col min="1538" max="1538" width="8.25" style="105" customWidth="1"/>
    <col min="1539" max="1792" width="9" style="105"/>
    <col min="1793" max="1793" width="26.875" style="105" customWidth="1"/>
    <col min="1794" max="1794" width="8.25" style="105" customWidth="1"/>
    <col min="1795" max="2048" width="9" style="105"/>
    <col min="2049" max="2049" width="26.875" style="105" customWidth="1"/>
    <col min="2050" max="2050" width="8.25" style="105" customWidth="1"/>
    <col min="2051" max="2304" width="9" style="105"/>
    <col min="2305" max="2305" width="26.875" style="105" customWidth="1"/>
    <col min="2306" max="2306" width="8.25" style="105" customWidth="1"/>
    <col min="2307" max="2560" width="9" style="105"/>
    <col min="2561" max="2561" width="26.875" style="105" customWidth="1"/>
    <col min="2562" max="2562" width="8.25" style="105" customWidth="1"/>
    <col min="2563" max="2816" width="9" style="105"/>
    <col min="2817" max="2817" width="26.875" style="105" customWidth="1"/>
    <col min="2818" max="2818" width="8.25" style="105" customWidth="1"/>
    <col min="2819" max="3072" width="9" style="105"/>
    <col min="3073" max="3073" width="26.875" style="105" customWidth="1"/>
    <col min="3074" max="3074" width="8.25" style="105" customWidth="1"/>
    <col min="3075" max="3328" width="9" style="105"/>
    <col min="3329" max="3329" width="26.875" style="105" customWidth="1"/>
    <col min="3330" max="3330" width="8.25" style="105" customWidth="1"/>
    <col min="3331" max="3584" width="9" style="105"/>
    <col min="3585" max="3585" width="26.875" style="105" customWidth="1"/>
    <col min="3586" max="3586" width="8.25" style="105" customWidth="1"/>
    <col min="3587" max="3840" width="9" style="105"/>
    <col min="3841" max="3841" width="26.875" style="105" customWidth="1"/>
    <col min="3842" max="3842" width="8.25" style="105" customWidth="1"/>
    <col min="3843" max="4096" width="9" style="105"/>
    <col min="4097" max="4097" width="26.875" style="105" customWidth="1"/>
    <col min="4098" max="4098" width="8.25" style="105" customWidth="1"/>
    <col min="4099" max="4352" width="9" style="105"/>
    <col min="4353" max="4353" width="26.875" style="105" customWidth="1"/>
    <col min="4354" max="4354" width="8.25" style="105" customWidth="1"/>
    <col min="4355" max="4608" width="9" style="105"/>
    <col min="4609" max="4609" width="26.875" style="105" customWidth="1"/>
    <col min="4610" max="4610" width="8.25" style="105" customWidth="1"/>
    <col min="4611" max="4864" width="9" style="105"/>
    <col min="4865" max="4865" width="26.875" style="105" customWidth="1"/>
    <col min="4866" max="4866" width="8.25" style="105" customWidth="1"/>
    <col min="4867" max="5120" width="9" style="105"/>
    <col min="5121" max="5121" width="26.875" style="105" customWidth="1"/>
    <col min="5122" max="5122" width="8.25" style="105" customWidth="1"/>
    <col min="5123" max="5376" width="9" style="105"/>
    <col min="5377" max="5377" width="26.875" style="105" customWidth="1"/>
    <col min="5378" max="5378" width="8.25" style="105" customWidth="1"/>
    <col min="5379" max="5632" width="9" style="105"/>
    <col min="5633" max="5633" width="26.875" style="105" customWidth="1"/>
    <col min="5634" max="5634" width="8.25" style="105" customWidth="1"/>
    <col min="5635" max="5888" width="9" style="105"/>
    <col min="5889" max="5889" width="26.875" style="105" customWidth="1"/>
    <col min="5890" max="5890" width="8.25" style="105" customWidth="1"/>
    <col min="5891" max="6144" width="9" style="105"/>
    <col min="6145" max="6145" width="26.875" style="105" customWidth="1"/>
    <col min="6146" max="6146" width="8.25" style="105" customWidth="1"/>
    <col min="6147" max="6400" width="9" style="105"/>
    <col min="6401" max="6401" width="26.875" style="105" customWidth="1"/>
    <col min="6402" max="6402" width="8.25" style="105" customWidth="1"/>
    <col min="6403" max="6656" width="9" style="105"/>
    <col min="6657" max="6657" width="26.875" style="105" customWidth="1"/>
    <col min="6658" max="6658" width="8.25" style="105" customWidth="1"/>
    <col min="6659" max="6912" width="9" style="105"/>
    <col min="6913" max="6913" width="26.875" style="105" customWidth="1"/>
    <col min="6914" max="6914" width="8.25" style="105" customWidth="1"/>
    <col min="6915" max="7168" width="9" style="105"/>
    <col min="7169" max="7169" width="26.875" style="105" customWidth="1"/>
    <col min="7170" max="7170" width="8.25" style="105" customWidth="1"/>
    <col min="7171" max="7424" width="9" style="105"/>
    <col min="7425" max="7425" width="26.875" style="105" customWidth="1"/>
    <col min="7426" max="7426" width="8.25" style="105" customWidth="1"/>
    <col min="7427" max="7680" width="9" style="105"/>
    <col min="7681" max="7681" width="26.875" style="105" customWidth="1"/>
    <col min="7682" max="7682" width="8.25" style="105" customWidth="1"/>
    <col min="7683" max="7936" width="9" style="105"/>
    <col min="7937" max="7937" width="26.875" style="105" customWidth="1"/>
    <col min="7938" max="7938" width="8.25" style="105" customWidth="1"/>
    <col min="7939" max="8192" width="9" style="105"/>
    <col min="8193" max="8193" width="26.875" style="105" customWidth="1"/>
    <col min="8194" max="8194" width="8.25" style="105" customWidth="1"/>
    <col min="8195" max="8448" width="9" style="105"/>
    <col min="8449" max="8449" width="26.875" style="105" customWidth="1"/>
    <col min="8450" max="8450" width="8.25" style="105" customWidth="1"/>
    <col min="8451" max="8704" width="9" style="105"/>
    <col min="8705" max="8705" width="26.875" style="105" customWidth="1"/>
    <col min="8706" max="8706" width="8.25" style="105" customWidth="1"/>
    <col min="8707" max="8960" width="9" style="105"/>
    <col min="8961" max="8961" width="26.875" style="105" customWidth="1"/>
    <col min="8962" max="8962" width="8.25" style="105" customWidth="1"/>
    <col min="8963" max="9216" width="9" style="105"/>
    <col min="9217" max="9217" width="26.875" style="105" customWidth="1"/>
    <col min="9218" max="9218" width="8.25" style="105" customWidth="1"/>
    <col min="9219" max="9472" width="9" style="105"/>
    <col min="9473" max="9473" width="26.875" style="105" customWidth="1"/>
    <col min="9474" max="9474" width="8.25" style="105" customWidth="1"/>
    <col min="9475" max="9728" width="9" style="105"/>
    <col min="9729" max="9729" width="26.875" style="105" customWidth="1"/>
    <col min="9730" max="9730" width="8.25" style="105" customWidth="1"/>
    <col min="9731" max="9984" width="9" style="105"/>
    <col min="9985" max="9985" width="26.875" style="105" customWidth="1"/>
    <col min="9986" max="9986" width="8.25" style="105" customWidth="1"/>
    <col min="9987" max="10240" width="9" style="105"/>
    <col min="10241" max="10241" width="26.875" style="105" customWidth="1"/>
    <col min="10242" max="10242" width="8.25" style="105" customWidth="1"/>
    <col min="10243" max="10496" width="9" style="105"/>
    <col min="10497" max="10497" width="26.875" style="105" customWidth="1"/>
    <col min="10498" max="10498" width="8.25" style="105" customWidth="1"/>
    <col min="10499" max="10752" width="9" style="105"/>
    <col min="10753" max="10753" width="26.875" style="105" customWidth="1"/>
    <col min="10754" max="10754" width="8.25" style="105" customWidth="1"/>
    <col min="10755" max="11008" width="9" style="105"/>
    <col min="11009" max="11009" width="26.875" style="105" customWidth="1"/>
    <col min="11010" max="11010" width="8.25" style="105" customWidth="1"/>
    <col min="11011" max="11264" width="9" style="105"/>
    <col min="11265" max="11265" width="26.875" style="105" customWidth="1"/>
    <col min="11266" max="11266" width="8.25" style="105" customWidth="1"/>
    <col min="11267" max="11520" width="9" style="105"/>
    <col min="11521" max="11521" width="26.875" style="105" customWidth="1"/>
    <col min="11522" max="11522" width="8.25" style="105" customWidth="1"/>
    <col min="11523" max="11776" width="9" style="105"/>
    <col min="11777" max="11777" width="26.875" style="105" customWidth="1"/>
    <col min="11778" max="11778" width="8.25" style="105" customWidth="1"/>
    <col min="11779" max="12032" width="9" style="105"/>
    <col min="12033" max="12033" width="26.875" style="105" customWidth="1"/>
    <col min="12034" max="12034" width="8.25" style="105" customWidth="1"/>
    <col min="12035" max="12288" width="9" style="105"/>
    <col min="12289" max="12289" width="26.875" style="105" customWidth="1"/>
    <col min="12290" max="12290" width="8.25" style="105" customWidth="1"/>
    <col min="12291" max="12544" width="9" style="105"/>
    <col min="12545" max="12545" width="26.875" style="105" customWidth="1"/>
    <col min="12546" max="12546" width="8.25" style="105" customWidth="1"/>
    <col min="12547" max="12800" width="9" style="105"/>
    <col min="12801" max="12801" width="26.875" style="105" customWidth="1"/>
    <col min="12802" max="12802" width="8.25" style="105" customWidth="1"/>
    <col min="12803" max="13056" width="9" style="105"/>
    <col min="13057" max="13057" width="26.875" style="105" customWidth="1"/>
    <col min="13058" max="13058" width="8.25" style="105" customWidth="1"/>
    <col min="13059" max="13312" width="9" style="105"/>
    <col min="13313" max="13313" width="26.875" style="105" customWidth="1"/>
    <col min="13314" max="13314" width="8.25" style="105" customWidth="1"/>
    <col min="13315" max="13568" width="9" style="105"/>
    <col min="13569" max="13569" width="26.875" style="105" customWidth="1"/>
    <col min="13570" max="13570" width="8.25" style="105" customWidth="1"/>
    <col min="13571" max="13824" width="9" style="105"/>
    <col min="13825" max="13825" width="26.875" style="105" customWidth="1"/>
    <col min="13826" max="13826" width="8.25" style="105" customWidth="1"/>
    <col min="13827" max="14080" width="9" style="105"/>
    <col min="14081" max="14081" width="26.875" style="105" customWidth="1"/>
    <col min="14082" max="14082" width="8.25" style="105" customWidth="1"/>
    <col min="14083" max="14336" width="9" style="105"/>
    <col min="14337" max="14337" width="26.875" style="105" customWidth="1"/>
    <col min="14338" max="14338" width="8.25" style="105" customWidth="1"/>
    <col min="14339" max="14592" width="9" style="105"/>
    <col min="14593" max="14593" width="26.875" style="105" customWidth="1"/>
    <col min="14594" max="14594" width="8.25" style="105" customWidth="1"/>
    <col min="14595" max="14848" width="9" style="105"/>
    <col min="14849" max="14849" width="26.875" style="105" customWidth="1"/>
    <col min="14850" max="14850" width="8.25" style="105" customWidth="1"/>
    <col min="14851" max="15104" width="9" style="105"/>
    <col min="15105" max="15105" width="26.875" style="105" customWidth="1"/>
    <col min="15106" max="15106" width="8.25" style="105" customWidth="1"/>
    <col min="15107" max="15360" width="9" style="105"/>
    <col min="15361" max="15361" width="26.875" style="105" customWidth="1"/>
    <col min="15362" max="15362" width="8.25" style="105" customWidth="1"/>
    <col min="15363" max="15616" width="9" style="105"/>
    <col min="15617" max="15617" width="26.875" style="105" customWidth="1"/>
    <col min="15618" max="15618" width="8.25" style="105" customWidth="1"/>
    <col min="15619" max="15872" width="9" style="105"/>
    <col min="15873" max="15873" width="26.875" style="105" customWidth="1"/>
    <col min="15874" max="15874" width="8.25" style="105" customWidth="1"/>
    <col min="15875" max="16128" width="9" style="105"/>
    <col min="16129" max="16129" width="26.875" style="105" customWidth="1"/>
    <col min="16130" max="16130" width="8.25" style="105" customWidth="1"/>
    <col min="16131" max="16384" width="9" style="105"/>
  </cols>
  <sheetData>
    <row r="1" spans="1:1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4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>
      <c r="A8" s="91"/>
      <c r="B8" s="91"/>
      <c r="I8" s="91"/>
      <c r="J8" s="91"/>
      <c r="K8" s="91"/>
      <c r="L8" s="91"/>
      <c r="M8" s="91"/>
    </row>
    <row r="9" spans="1:13" ht="46.5">
      <c r="A9" s="91"/>
      <c r="B9" s="91"/>
      <c r="C9" s="2811" t="s">
        <v>159</v>
      </c>
      <c r="D9" s="2811"/>
      <c r="E9" s="2811"/>
      <c r="F9" s="2811"/>
      <c r="G9" s="2811"/>
      <c r="H9" s="2811"/>
      <c r="I9" s="164"/>
      <c r="J9" s="91"/>
      <c r="K9" s="91"/>
      <c r="L9" s="91"/>
      <c r="M9" s="91"/>
    </row>
    <row r="10" spans="1:13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1:13">
      <c r="A11" s="165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</row>
    <row r="12" spans="1:13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1:13" ht="46.5">
      <c r="A13" s="91"/>
      <c r="B13" s="91"/>
      <c r="I13" s="164"/>
      <c r="J13" s="164"/>
      <c r="K13" s="164"/>
      <c r="L13" s="91"/>
      <c r="M13" s="91"/>
    </row>
    <row r="14" spans="1:13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</row>
    <row r="15" spans="1:13" ht="29.2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3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</row>
    <row r="17" spans="1:1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</row>
    <row r="18" spans="1:13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</row>
    <row r="19" spans="1:13" ht="30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</row>
    <row r="20" spans="1:13" ht="50.25" customHeight="1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</row>
    <row r="22" spans="1:13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</row>
    <row r="23" spans="1:1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</row>
    <row r="24" spans="1:13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</row>
    <row r="25" spans="1:13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</row>
    <row r="26" spans="1:13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</row>
    <row r="27" spans="1:13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  <row r="28" spans="1:13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</row>
    <row r="30" spans="1:13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</row>
    <row r="33" spans="1:1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</row>
    <row r="34" spans="1:13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3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3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</row>
    <row r="38" spans="1:13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</row>
    <row r="40" spans="1:13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  <row r="41" spans="1:13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</row>
    <row r="42" spans="1:13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</row>
    <row r="43" spans="1:1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</row>
    <row r="44" spans="1:13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</row>
    <row r="45" spans="1:13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</row>
    <row r="46" spans="1:13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</row>
    <row r="47" spans="1:13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</row>
    <row r="48" spans="1:13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</row>
    <row r="49" spans="1:13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</row>
    <row r="50" spans="1:13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</row>
    <row r="51" spans="1:13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</row>
    <row r="52" spans="1:13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</row>
    <row r="53" spans="1:1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</row>
    <row r="54" spans="1:13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</row>
    <row r="55" spans="1:13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</row>
    <row r="56" spans="1:13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</row>
    <row r="57" spans="1:13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13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</row>
  </sheetData>
  <mergeCells count="1">
    <mergeCell ref="C9:H9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52"/>
  <sheetViews>
    <sheetView topLeftCell="A25" zoomScaleNormal="100" workbookViewId="0">
      <selection activeCell="J20" sqref="J20"/>
    </sheetView>
  </sheetViews>
  <sheetFormatPr defaultRowHeight="13.5"/>
  <cols>
    <col min="1" max="1" width="31.75" style="155" customWidth="1"/>
    <col min="2" max="2" width="29.5" style="166" customWidth="1"/>
    <col min="3" max="3" width="32.375" style="155" customWidth="1"/>
    <col min="4" max="4" width="30" style="166" customWidth="1"/>
    <col min="5" max="5" width="12.75" style="155" bestFit="1" customWidth="1"/>
    <col min="6" max="6" width="13" style="155" bestFit="1" customWidth="1"/>
    <col min="7" max="256" width="9" style="155"/>
    <col min="257" max="257" width="31.75" style="155" customWidth="1"/>
    <col min="258" max="258" width="29.5" style="155" customWidth="1"/>
    <col min="259" max="259" width="32.375" style="155" customWidth="1"/>
    <col min="260" max="260" width="30" style="155" customWidth="1"/>
    <col min="261" max="261" width="12.75" style="155" bestFit="1" customWidth="1"/>
    <col min="262" max="512" width="9" style="155"/>
    <col min="513" max="513" width="31.75" style="155" customWidth="1"/>
    <col min="514" max="514" width="29.5" style="155" customWidth="1"/>
    <col min="515" max="515" width="32.375" style="155" customWidth="1"/>
    <col min="516" max="516" width="30" style="155" customWidth="1"/>
    <col min="517" max="517" width="12.75" style="155" bestFit="1" customWidth="1"/>
    <col min="518" max="768" width="9" style="155"/>
    <col min="769" max="769" width="31.75" style="155" customWidth="1"/>
    <col min="770" max="770" width="29.5" style="155" customWidth="1"/>
    <col min="771" max="771" width="32.375" style="155" customWidth="1"/>
    <col min="772" max="772" width="30" style="155" customWidth="1"/>
    <col min="773" max="773" width="12.75" style="155" bestFit="1" customWidth="1"/>
    <col min="774" max="1024" width="9" style="155"/>
    <col min="1025" max="1025" width="31.75" style="155" customWidth="1"/>
    <col min="1026" max="1026" width="29.5" style="155" customWidth="1"/>
    <col min="1027" max="1027" width="32.375" style="155" customWidth="1"/>
    <col min="1028" max="1028" width="30" style="155" customWidth="1"/>
    <col min="1029" max="1029" width="12.75" style="155" bestFit="1" customWidth="1"/>
    <col min="1030" max="1280" width="9" style="155"/>
    <col min="1281" max="1281" width="31.75" style="155" customWidth="1"/>
    <col min="1282" max="1282" width="29.5" style="155" customWidth="1"/>
    <col min="1283" max="1283" width="32.375" style="155" customWidth="1"/>
    <col min="1284" max="1284" width="30" style="155" customWidth="1"/>
    <col min="1285" max="1285" width="12.75" style="155" bestFit="1" customWidth="1"/>
    <col min="1286" max="1536" width="9" style="155"/>
    <col min="1537" max="1537" width="31.75" style="155" customWidth="1"/>
    <col min="1538" max="1538" width="29.5" style="155" customWidth="1"/>
    <col min="1539" max="1539" width="32.375" style="155" customWidth="1"/>
    <col min="1540" max="1540" width="30" style="155" customWidth="1"/>
    <col min="1541" max="1541" width="12.75" style="155" bestFit="1" customWidth="1"/>
    <col min="1542" max="1792" width="9" style="155"/>
    <col min="1793" max="1793" width="31.75" style="155" customWidth="1"/>
    <col min="1794" max="1794" width="29.5" style="155" customWidth="1"/>
    <col min="1795" max="1795" width="32.375" style="155" customWidth="1"/>
    <col min="1796" max="1796" width="30" style="155" customWidth="1"/>
    <col min="1797" max="1797" width="12.75" style="155" bestFit="1" customWidth="1"/>
    <col min="1798" max="2048" width="9" style="155"/>
    <col min="2049" max="2049" width="31.75" style="155" customWidth="1"/>
    <col min="2050" max="2050" width="29.5" style="155" customWidth="1"/>
    <col min="2051" max="2051" width="32.375" style="155" customWidth="1"/>
    <col min="2052" max="2052" width="30" style="155" customWidth="1"/>
    <col min="2053" max="2053" width="12.75" style="155" bestFit="1" customWidth="1"/>
    <col min="2054" max="2304" width="9" style="155"/>
    <col min="2305" max="2305" width="31.75" style="155" customWidth="1"/>
    <col min="2306" max="2306" width="29.5" style="155" customWidth="1"/>
    <col min="2307" max="2307" width="32.375" style="155" customWidth="1"/>
    <col min="2308" max="2308" width="30" style="155" customWidth="1"/>
    <col min="2309" max="2309" width="12.75" style="155" bestFit="1" customWidth="1"/>
    <col min="2310" max="2560" width="9" style="155"/>
    <col min="2561" max="2561" width="31.75" style="155" customWidth="1"/>
    <col min="2562" max="2562" width="29.5" style="155" customWidth="1"/>
    <col min="2563" max="2563" width="32.375" style="155" customWidth="1"/>
    <col min="2564" max="2564" width="30" style="155" customWidth="1"/>
    <col min="2565" max="2565" width="12.75" style="155" bestFit="1" customWidth="1"/>
    <col min="2566" max="2816" width="9" style="155"/>
    <col min="2817" max="2817" width="31.75" style="155" customWidth="1"/>
    <col min="2818" max="2818" width="29.5" style="155" customWidth="1"/>
    <col min="2819" max="2819" width="32.375" style="155" customWidth="1"/>
    <col min="2820" max="2820" width="30" style="155" customWidth="1"/>
    <col min="2821" max="2821" width="12.75" style="155" bestFit="1" customWidth="1"/>
    <col min="2822" max="3072" width="9" style="155"/>
    <col min="3073" max="3073" width="31.75" style="155" customWidth="1"/>
    <col min="3074" max="3074" width="29.5" style="155" customWidth="1"/>
    <col min="3075" max="3075" width="32.375" style="155" customWidth="1"/>
    <col min="3076" max="3076" width="30" style="155" customWidth="1"/>
    <col min="3077" max="3077" width="12.75" style="155" bestFit="1" customWidth="1"/>
    <col min="3078" max="3328" width="9" style="155"/>
    <col min="3329" max="3329" width="31.75" style="155" customWidth="1"/>
    <col min="3330" max="3330" width="29.5" style="155" customWidth="1"/>
    <col min="3331" max="3331" width="32.375" style="155" customWidth="1"/>
    <col min="3332" max="3332" width="30" style="155" customWidth="1"/>
    <col min="3333" max="3333" width="12.75" style="155" bestFit="1" customWidth="1"/>
    <col min="3334" max="3584" width="9" style="155"/>
    <col min="3585" max="3585" width="31.75" style="155" customWidth="1"/>
    <col min="3586" max="3586" width="29.5" style="155" customWidth="1"/>
    <col min="3587" max="3587" width="32.375" style="155" customWidth="1"/>
    <col min="3588" max="3588" width="30" style="155" customWidth="1"/>
    <col min="3589" max="3589" width="12.75" style="155" bestFit="1" customWidth="1"/>
    <col min="3590" max="3840" width="9" style="155"/>
    <col min="3841" max="3841" width="31.75" style="155" customWidth="1"/>
    <col min="3842" max="3842" width="29.5" style="155" customWidth="1"/>
    <col min="3843" max="3843" width="32.375" style="155" customWidth="1"/>
    <col min="3844" max="3844" width="30" style="155" customWidth="1"/>
    <col min="3845" max="3845" width="12.75" style="155" bestFit="1" customWidth="1"/>
    <col min="3846" max="4096" width="9" style="155"/>
    <col min="4097" max="4097" width="31.75" style="155" customWidth="1"/>
    <col min="4098" max="4098" width="29.5" style="155" customWidth="1"/>
    <col min="4099" max="4099" width="32.375" style="155" customWidth="1"/>
    <col min="4100" max="4100" width="30" style="155" customWidth="1"/>
    <col min="4101" max="4101" width="12.75" style="155" bestFit="1" customWidth="1"/>
    <col min="4102" max="4352" width="9" style="155"/>
    <col min="4353" max="4353" width="31.75" style="155" customWidth="1"/>
    <col min="4354" max="4354" width="29.5" style="155" customWidth="1"/>
    <col min="4355" max="4355" width="32.375" style="155" customWidth="1"/>
    <col min="4356" max="4356" width="30" style="155" customWidth="1"/>
    <col min="4357" max="4357" width="12.75" style="155" bestFit="1" customWidth="1"/>
    <col min="4358" max="4608" width="9" style="155"/>
    <col min="4609" max="4609" width="31.75" style="155" customWidth="1"/>
    <col min="4610" max="4610" width="29.5" style="155" customWidth="1"/>
    <col min="4611" max="4611" width="32.375" style="155" customWidth="1"/>
    <col min="4612" max="4612" width="30" style="155" customWidth="1"/>
    <col min="4613" max="4613" width="12.75" style="155" bestFit="1" customWidth="1"/>
    <col min="4614" max="4864" width="9" style="155"/>
    <col min="4865" max="4865" width="31.75" style="155" customWidth="1"/>
    <col min="4866" max="4866" width="29.5" style="155" customWidth="1"/>
    <col min="4867" max="4867" width="32.375" style="155" customWidth="1"/>
    <col min="4868" max="4868" width="30" style="155" customWidth="1"/>
    <col min="4869" max="4869" width="12.75" style="155" bestFit="1" customWidth="1"/>
    <col min="4870" max="5120" width="9" style="155"/>
    <col min="5121" max="5121" width="31.75" style="155" customWidth="1"/>
    <col min="5122" max="5122" width="29.5" style="155" customWidth="1"/>
    <col min="5123" max="5123" width="32.375" style="155" customWidth="1"/>
    <col min="5124" max="5124" width="30" style="155" customWidth="1"/>
    <col min="5125" max="5125" width="12.75" style="155" bestFit="1" customWidth="1"/>
    <col min="5126" max="5376" width="9" style="155"/>
    <col min="5377" max="5377" width="31.75" style="155" customWidth="1"/>
    <col min="5378" max="5378" width="29.5" style="155" customWidth="1"/>
    <col min="5379" max="5379" width="32.375" style="155" customWidth="1"/>
    <col min="5380" max="5380" width="30" style="155" customWidth="1"/>
    <col min="5381" max="5381" width="12.75" style="155" bestFit="1" customWidth="1"/>
    <col min="5382" max="5632" width="9" style="155"/>
    <col min="5633" max="5633" width="31.75" style="155" customWidth="1"/>
    <col min="5634" max="5634" width="29.5" style="155" customWidth="1"/>
    <col min="5635" max="5635" width="32.375" style="155" customWidth="1"/>
    <col min="5636" max="5636" width="30" style="155" customWidth="1"/>
    <col min="5637" max="5637" width="12.75" style="155" bestFit="1" customWidth="1"/>
    <col min="5638" max="5888" width="9" style="155"/>
    <col min="5889" max="5889" width="31.75" style="155" customWidth="1"/>
    <col min="5890" max="5890" width="29.5" style="155" customWidth="1"/>
    <col min="5891" max="5891" width="32.375" style="155" customWidth="1"/>
    <col min="5892" max="5892" width="30" style="155" customWidth="1"/>
    <col min="5893" max="5893" width="12.75" style="155" bestFit="1" customWidth="1"/>
    <col min="5894" max="6144" width="9" style="155"/>
    <col min="6145" max="6145" width="31.75" style="155" customWidth="1"/>
    <col min="6146" max="6146" width="29.5" style="155" customWidth="1"/>
    <col min="6147" max="6147" width="32.375" style="155" customWidth="1"/>
    <col min="6148" max="6148" width="30" style="155" customWidth="1"/>
    <col min="6149" max="6149" width="12.75" style="155" bestFit="1" customWidth="1"/>
    <col min="6150" max="6400" width="9" style="155"/>
    <col min="6401" max="6401" width="31.75" style="155" customWidth="1"/>
    <col min="6402" max="6402" width="29.5" style="155" customWidth="1"/>
    <col min="6403" max="6403" width="32.375" style="155" customWidth="1"/>
    <col min="6404" max="6404" width="30" style="155" customWidth="1"/>
    <col min="6405" max="6405" width="12.75" style="155" bestFit="1" customWidth="1"/>
    <col min="6406" max="6656" width="9" style="155"/>
    <col min="6657" max="6657" width="31.75" style="155" customWidth="1"/>
    <col min="6658" max="6658" width="29.5" style="155" customWidth="1"/>
    <col min="6659" max="6659" width="32.375" style="155" customWidth="1"/>
    <col min="6660" max="6660" width="30" style="155" customWidth="1"/>
    <col min="6661" max="6661" width="12.75" style="155" bestFit="1" customWidth="1"/>
    <col min="6662" max="6912" width="9" style="155"/>
    <col min="6913" max="6913" width="31.75" style="155" customWidth="1"/>
    <col min="6914" max="6914" width="29.5" style="155" customWidth="1"/>
    <col min="6915" max="6915" width="32.375" style="155" customWidth="1"/>
    <col min="6916" max="6916" width="30" style="155" customWidth="1"/>
    <col min="6917" max="6917" width="12.75" style="155" bestFit="1" customWidth="1"/>
    <col min="6918" max="7168" width="9" style="155"/>
    <col min="7169" max="7169" width="31.75" style="155" customWidth="1"/>
    <col min="7170" max="7170" width="29.5" style="155" customWidth="1"/>
    <col min="7171" max="7171" width="32.375" style="155" customWidth="1"/>
    <col min="7172" max="7172" width="30" style="155" customWidth="1"/>
    <col min="7173" max="7173" width="12.75" style="155" bestFit="1" customWidth="1"/>
    <col min="7174" max="7424" width="9" style="155"/>
    <col min="7425" max="7425" width="31.75" style="155" customWidth="1"/>
    <col min="7426" max="7426" width="29.5" style="155" customWidth="1"/>
    <col min="7427" max="7427" width="32.375" style="155" customWidth="1"/>
    <col min="7428" max="7428" width="30" style="155" customWidth="1"/>
    <col min="7429" max="7429" width="12.75" style="155" bestFit="1" customWidth="1"/>
    <col min="7430" max="7680" width="9" style="155"/>
    <col min="7681" max="7681" width="31.75" style="155" customWidth="1"/>
    <col min="7682" max="7682" width="29.5" style="155" customWidth="1"/>
    <col min="7683" max="7683" width="32.375" style="155" customWidth="1"/>
    <col min="7684" max="7684" width="30" style="155" customWidth="1"/>
    <col min="7685" max="7685" width="12.75" style="155" bestFit="1" customWidth="1"/>
    <col min="7686" max="7936" width="9" style="155"/>
    <col min="7937" max="7937" width="31.75" style="155" customWidth="1"/>
    <col min="7938" max="7938" width="29.5" style="155" customWidth="1"/>
    <col min="7939" max="7939" width="32.375" style="155" customWidth="1"/>
    <col min="7940" max="7940" width="30" style="155" customWidth="1"/>
    <col min="7941" max="7941" width="12.75" style="155" bestFit="1" customWidth="1"/>
    <col min="7942" max="8192" width="9" style="155"/>
    <col min="8193" max="8193" width="31.75" style="155" customWidth="1"/>
    <col min="8194" max="8194" width="29.5" style="155" customWidth="1"/>
    <col min="8195" max="8195" width="32.375" style="155" customWidth="1"/>
    <col min="8196" max="8196" width="30" style="155" customWidth="1"/>
    <col min="8197" max="8197" width="12.75" style="155" bestFit="1" customWidth="1"/>
    <col min="8198" max="8448" width="9" style="155"/>
    <col min="8449" max="8449" width="31.75" style="155" customWidth="1"/>
    <col min="8450" max="8450" width="29.5" style="155" customWidth="1"/>
    <col min="8451" max="8451" width="32.375" style="155" customWidth="1"/>
    <col min="8452" max="8452" width="30" style="155" customWidth="1"/>
    <col min="8453" max="8453" width="12.75" style="155" bestFit="1" customWidth="1"/>
    <col min="8454" max="8704" width="9" style="155"/>
    <col min="8705" max="8705" width="31.75" style="155" customWidth="1"/>
    <col min="8706" max="8706" width="29.5" style="155" customWidth="1"/>
    <col min="8707" max="8707" width="32.375" style="155" customWidth="1"/>
    <col min="8708" max="8708" width="30" style="155" customWidth="1"/>
    <col min="8709" max="8709" width="12.75" style="155" bestFit="1" customWidth="1"/>
    <col min="8710" max="8960" width="9" style="155"/>
    <col min="8961" max="8961" width="31.75" style="155" customWidth="1"/>
    <col min="8962" max="8962" width="29.5" style="155" customWidth="1"/>
    <col min="8963" max="8963" width="32.375" style="155" customWidth="1"/>
    <col min="8964" max="8964" width="30" style="155" customWidth="1"/>
    <col min="8965" max="8965" width="12.75" style="155" bestFit="1" customWidth="1"/>
    <col min="8966" max="9216" width="9" style="155"/>
    <col min="9217" max="9217" width="31.75" style="155" customWidth="1"/>
    <col min="9218" max="9218" width="29.5" style="155" customWidth="1"/>
    <col min="9219" max="9219" width="32.375" style="155" customWidth="1"/>
    <col min="9220" max="9220" width="30" style="155" customWidth="1"/>
    <col min="9221" max="9221" width="12.75" style="155" bestFit="1" customWidth="1"/>
    <col min="9222" max="9472" width="9" style="155"/>
    <col min="9473" max="9473" width="31.75" style="155" customWidth="1"/>
    <col min="9474" max="9474" width="29.5" style="155" customWidth="1"/>
    <col min="9475" max="9475" width="32.375" style="155" customWidth="1"/>
    <col min="9476" max="9476" width="30" style="155" customWidth="1"/>
    <col min="9477" max="9477" width="12.75" style="155" bestFit="1" customWidth="1"/>
    <col min="9478" max="9728" width="9" style="155"/>
    <col min="9729" max="9729" width="31.75" style="155" customWidth="1"/>
    <col min="9730" max="9730" width="29.5" style="155" customWidth="1"/>
    <col min="9731" max="9731" width="32.375" style="155" customWidth="1"/>
    <col min="9732" max="9732" width="30" style="155" customWidth="1"/>
    <col min="9733" max="9733" width="12.75" style="155" bestFit="1" customWidth="1"/>
    <col min="9734" max="9984" width="9" style="155"/>
    <col min="9985" max="9985" width="31.75" style="155" customWidth="1"/>
    <col min="9986" max="9986" width="29.5" style="155" customWidth="1"/>
    <col min="9987" max="9987" width="32.375" style="155" customWidth="1"/>
    <col min="9988" max="9988" width="30" style="155" customWidth="1"/>
    <col min="9989" max="9989" width="12.75" style="155" bestFit="1" customWidth="1"/>
    <col min="9990" max="10240" width="9" style="155"/>
    <col min="10241" max="10241" width="31.75" style="155" customWidth="1"/>
    <col min="10242" max="10242" width="29.5" style="155" customWidth="1"/>
    <col min="10243" max="10243" width="32.375" style="155" customWidth="1"/>
    <col min="10244" max="10244" width="30" style="155" customWidth="1"/>
    <col min="10245" max="10245" width="12.75" style="155" bestFit="1" customWidth="1"/>
    <col min="10246" max="10496" width="9" style="155"/>
    <col min="10497" max="10497" width="31.75" style="155" customWidth="1"/>
    <col min="10498" max="10498" width="29.5" style="155" customWidth="1"/>
    <col min="10499" max="10499" width="32.375" style="155" customWidth="1"/>
    <col min="10500" max="10500" width="30" style="155" customWidth="1"/>
    <col min="10501" max="10501" width="12.75" style="155" bestFit="1" customWidth="1"/>
    <col min="10502" max="10752" width="9" style="155"/>
    <col min="10753" max="10753" width="31.75" style="155" customWidth="1"/>
    <col min="10754" max="10754" width="29.5" style="155" customWidth="1"/>
    <col min="10755" max="10755" width="32.375" style="155" customWidth="1"/>
    <col min="10756" max="10756" width="30" style="155" customWidth="1"/>
    <col min="10757" max="10757" width="12.75" style="155" bestFit="1" customWidth="1"/>
    <col min="10758" max="11008" width="9" style="155"/>
    <col min="11009" max="11009" width="31.75" style="155" customWidth="1"/>
    <col min="11010" max="11010" width="29.5" style="155" customWidth="1"/>
    <col min="11011" max="11011" width="32.375" style="155" customWidth="1"/>
    <col min="11012" max="11012" width="30" style="155" customWidth="1"/>
    <col min="11013" max="11013" width="12.75" style="155" bestFit="1" customWidth="1"/>
    <col min="11014" max="11264" width="9" style="155"/>
    <col min="11265" max="11265" width="31.75" style="155" customWidth="1"/>
    <col min="11266" max="11266" width="29.5" style="155" customWidth="1"/>
    <col min="11267" max="11267" width="32.375" style="155" customWidth="1"/>
    <col min="11268" max="11268" width="30" style="155" customWidth="1"/>
    <col min="11269" max="11269" width="12.75" style="155" bestFit="1" customWidth="1"/>
    <col min="11270" max="11520" width="9" style="155"/>
    <col min="11521" max="11521" width="31.75" style="155" customWidth="1"/>
    <col min="11522" max="11522" width="29.5" style="155" customWidth="1"/>
    <col min="11523" max="11523" width="32.375" style="155" customWidth="1"/>
    <col min="11524" max="11524" width="30" style="155" customWidth="1"/>
    <col min="11525" max="11525" width="12.75" style="155" bestFit="1" customWidth="1"/>
    <col min="11526" max="11776" width="9" style="155"/>
    <col min="11777" max="11777" width="31.75" style="155" customWidth="1"/>
    <col min="11778" max="11778" width="29.5" style="155" customWidth="1"/>
    <col min="11779" max="11779" width="32.375" style="155" customWidth="1"/>
    <col min="11780" max="11780" width="30" style="155" customWidth="1"/>
    <col min="11781" max="11781" width="12.75" style="155" bestFit="1" customWidth="1"/>
    <col min="11782" max="12032" width="9" style="155"/>
    <col min="12033" max="12033" width="31.75" style="155" customWidth="1"/>
    <col min="12034" max="12034" width="29.5" style="155" customWidth="1"/>
    <col min="12035" max="12035" width="32.375" style="155" customWidth="1"/>
    <col min="12036" max="12036" width="30" style="155" customWidth="1"/>
    <col min="12037" max="12037" width="12.75" style="155" bestFit="1" customWidth="1"/>
    <col min="12038" max="12288" width="9" style="155"/>
    <col min="12289" max="12289" width="31.75" style="155" customWidth="1"/>
    <col min="12290" max="12290" width="29.5" style="155" customWidth="1"/>
    <col min="12291" max="12291" width="32.375" style="155" customWidth="1"/>
    <col min="12292" max="12292" width="30" style="155" customWidth="1"/>
    <col min="12293" max="12293" width="12.75" style="155" bestFit="1" customWidth="1"/>
    <col min="12294" max="12544" width="9" style="155"/>
    <col min="12545" max="12545" width="31.75" style="155" customWidth="1"/>
    <col min="12546" max="12546" width="29.5" style="155" customWidth="1"/>
    <col min="12547" max="12547" width="32.375" style="155" customWidth="1"/>
    <col min="12548" max="12548" width="30" style="155" customWidth="1"/>
    <col min="12549" max="12549" width="12.75" style="155" bestFit="1" customWidth="1"/>
    <col min="12550" max="12800" width="9" style="155"/>
    <col min="12801" max="12801" width="31.75" style="155" customWidth="1"/>
    <col min="12802" max="12802" width="29.5" style="155" customWidth="1"/>
    <col min="12803" max="12803" width="32.375" style="155" customWidth="1"/>
    <col min="12804" max="12804" width="30" style="155" customWidth="1"/>
    <col min="12805" max="12805" width="12.75" style="155" bestFit="1" customWidth="1"/>
    <col min="12806" max="13056" width="9" style="155"/>
    <col min="13057" max="13057" width="31.75" style="155" customWidth="1"/>
    <col min="13058" max="13058" width="29.5" style="155" customWidth="1"/>
    <col min="13059" max="13059" width="32.375" style="155" customWidth="1"/>
    <col min="13060" max="13060" width="30" style="155" customWidth="1"/>
    <col min="13061" max="13061" width="12.75" style="155" bestFit="1" customWidth="1"/>
    <col min="13062" max="13312" width="9" style="155"/>
    <col min="13313" max="13313" width="31.75" style="155" customWidth="1"/>
    <col min="13314" max="13314" width="29.5" style="155" customWidth="1"/>
    <col min="13315" max="13315" width="32.375" style="155" customWidth="1"/>
    <col min="13316" max="13316" width="30" style="155" customWidth="1"/>
    <col min="13317" max="13317" width="12.75" style="155" bestFit="1" customWidth="1"/>
    <col min="13318" max="13568" width="9" style="155"/>
    <col min="13569" max="13569" width="31.75" style="155" customWidth="1"/>
    <col min="13570" max="13570" width="29.5" style="155" customWidth="1"/>
    <col min="13571" max="13571" width="32.375" style="155" customWidth="1"/>
    <col min="13572" max="13572" width="30" style="155" customWidth="1"/>
    <col min="13573" max="13573" width="12.75" style="155" bestFit="1" customWidth="1"/>
    <col min="13574" max="13824" width="9" style="155"/>
    <col min="13825" max="13825" width="31.75" style="155" customWidth="1"/>
    <col min="13826" max="13826" width="29.5" style="155" customWidth="1"/>
    <col min="13827" max="13827" width="32.375" style="155" customWidth="1"/>
    <col min="13828" max="13828" width="30" style="155" customWidth="1"/>
    <col min="13829" max="13829" width="12.75" style="155" bestFit="1" customWidth="1"/>
    <col min="13830" max="14080" width="9" style="155"/>
    <col min="14081" max="14081" width="31.75" style="155" customWidth="1"/>
    <col min="14082" max="14082" width="29.5" style="155" customWidth="1"/>
    <col min="14083" max="14083" width="32.375" style="155" customWidth="1"/>
    <col min="14084" max="14084" width="30" style="155" customWidth="1"/>
    <col min="14085" max="14085" width="12.75" style="155" bestFit="1" customWidth="1"/>
    <col min="14086" max="14336" width="9" style="155"/>
    <col min="14337" max="14337" width="31.75" style="155" customWidth="1"/>
    <col min="14338" max="14338" width="29.5" style="155" customWidth="1"/>
    <col min="14339" max="14339" width="32.375" style="155" customWidth="1"/>
    <col min="14340" max="14340" width="30" style="155" customWidth="1"/>
    <col min="14341" max="14341" width="12.75" style="155" bestFit="1" customWidth="1"/>
    <col min="14342" max="14592" width="9" style="155"/>
    <col min="14593" max="14593" width="31.75" style="155" customWidth="1"/>
    <col min="14594" max="14594" width="29.5" style="155" customWidth="1"/>
    <col min="14595" max="14595" width="32.375" style="155" customWidth="1"/>
    <col min="14596" max="14596" width="30" style="155" customWidth="1"/>
    <col min="14597" max="14597" width="12.75" style="155" bestFit="1" customWidth="1"/>
    <col min="14598" max="14848" width="9" style="155"/>
    <col min="14849" max="14849" width="31.75" style="155" customWidth="1"/>
    <col min="14850" max="14850" width="29.5" style="155" customWidth="1"/>
    <col min="14851" max="14851" width="32.375" style="155" customWidth="1"/>
    <col min="14852" max="14852" width="30" style="155" customWidth="1"/>
    <col min="14853" max="14853" width="12.75" style="155" bestFit="1" customWidth="1"/>
    <col min="14854" max="15104" width="9" style="155"/>
    <col min="15105" max="15105" width="31.75" style="155" customWidth="1"/>
    <col min="15106" max="15106" width="29.5" style="155" customWidth="1"/>
    <col min="15107" max="15107" width="32.375" style="155" customWidth="1"/>
    <col min="15108" max="15108" width="30" style="155" customWidth="1"/>
    <col min="15109" max="15109" width="12.75" style="155" bestFit="1" customWidth="1"/>
    <col min="15110" max="15360" width="9" style="155"/>
    <col min="15361" max="15361" width="31.75" style="155" customWidth="1"/>
    <col min="15362" max="15362" width="29.5" style="155" customWidth="1"/>
    <col min="15363" max="15363" width="32.375" style="155" customWidth="1"/>
    <col min="15364" max="15364" width="30" style="155" customWidth="1"/>
    <col min="15365" max="15365" width="12.75" style="155" bestFit="1" customWidth="1"/>
    <col min="15366" max="15616" width="9" style="155"/>
    <col min="15617" max="15617" width="31.75" style="155" customWidth="1"/>
    <col min="15618" max="15618" width="29.5" style="155" customWidth="1"/>
    <col min="15619" max="15619" width="32.375" style="155" customWidth="1"/>
    <col min="15620" max="15620" width="30" style="155" customWidth="1"/>
    <col min="15621" max="15621" width="12.75" style="155" bestFit="1" customWidth="1"/>
    <col min="15622" max="15872" width="9" style="155"/>
    <col min="15873" max="15873" width="31.75" style="155" customWidth="1"/>
    <col min="15874" max="15874" width="29.5" style="155" customWidth="1"/>
    <col min="15875" max="15875" width="32.375" style="155" customWidth="1"/>
    <col min="15876" max="15876" width="30" style="155" customWidth="1"/>
    <col min="15877" max="15877" width="12.75" style="155" bestFit="1" customWidth="1"/>
    <col min="15878" max="16128" width="9" style="155"/>
    <col min="16129" max="16129" width="31.75" style="155" customWidth="1"/>
    <col min="16130" max="16130" width="29.5" style="155" customWidth="1"/>
    <col min="16131" max="16131" width="32.375" style="155" customWidth="1"/>
    <col min="16132" max="16132" width="30" style="155" customWidth="1"/>
    <col min="16133" max="16133" width="12.75" style="155" bestFit="1" customWidth="1"/>
    <col min="16134" max="16384" width="9" style="155"/>
  </cols>
  <sheetData>
    <row r="1" spans="1:6" ht="25.5">
      <c r="A1" s="2828" t="s">
        <v>160</v>
      </c>
      <c r="B1" s="2828"/>
      <c r="C1" s="2828"/>
      <c r="D1" s="2828"/>
    </row>
    <row r="2" spans="1:6" ht="8.25" customHeight="1"/>
    <row r="3" spans="1:6" s="107" customFormat="1" ht="23.25" customHeight="1">
      <c r="A3" s="107" t="s">
        <v>556</v>
      </c>
      <c r="B3" s="167"/>
      <c r="D3" s="167"/>
    </row>
    <row r="4" spans="1:6" s="107" customFormat="1" ht="24.75" customHeight="1">
      <c r="A4" s="107" t="s">
        <v>161</v>
      </c>
      <c r="B4" s="167"/>
      <c r="D4" s="167"/>
    </row>
    <row r="5" spans="1:6" ht="14.25" thickBot="1">
      <c r="D5" s="168" t="s">
        <v>162</v>
      </c>
    </row>
    <row r="6" spans="1:6" ht="19.7" customHeight="1" thickBot="1">
      <c r="A6" s="2829" t="s">
        <v>163</v>
      </c>
      <c r="B6" s="2830"/>
      <c r="C6" s="2831" t="s">
        <v>164</v>
      </c>
      <c r="D6" s="2832"/>
    </row>
    <row r="7" spans="1:6" ht="19.7" customHeight="1">
      <c r="A7" s="169" t="s">
        <v>165</v>
      </c>
      <c r="B7" s="170" t="s">
        <v>166</v>
      </c>
      <c r="C7" s="171" t="s">
        <v>165</v>
      </c>
      <c r="D7" s="172" t="s">
        <v>166</v>
      </c>
    </row>
    <row r="8" spans="1:6" ht="19.7" customHeight="1">
      <c r="A8" s="173" t="s">
        <v>167</v>
      </c>
      <c r="B8" s="174">
        <f>B9+B16+B26</f>
        <v>47211348</v>
      </c>
      <c r="C8" s="175" t="s">
        <v>167</v>
      </c>
      <c r="D8" s="176">
        <f>D9+D16+D26</f>
        <v>47211348</v>
      </c>
      <c r="E8" s="177"/>
    </row>
    <row r="9" spans="1:6" ht="19.7" customHeight="1">
      <c r="A9" s="178" t="s">
        <v>168</v>
      </c>
      <c r="B9" s="179">
        <f>B10</f>
        <v>45601358</v>
      </c>
      <c r="C9" s="180" t="s">
        <v>168</v>
      </c>
      <c r="D9" s="181">
        <f>SUM(D10:D15)</f>
        <v>45601358</v>
      </c>
    </row>
    <row r="10" spans="1:6" ht="19.7" customHeight="1">
      <c r="A10" s="182" t="s">
        <v>169</v>
      </c>
      <c r="B10" s="183">
        <f>SUM(B11:B13)</f>
        <v>45601358</v>
      </c>
      <c r="C10" s="184" t="s">
        <v>170</v>
      </c>
      <c r="D10" s="185">
        <v>0</v>
      </c>
      <c r="F10" s="177"/>
    </row>
    <row r="11" spans="1:6" ht="19.7" customHeight="1">
      <c r="A11" s="182" t="s">
        <v>171</v>
      </c>
      <c r="B11" s="183">
        <f>예산총괄표3장!C7</f>
        <v>45601358</v>
      </c>
      <c r="C11" s="184" t="s">
        <v>1010</v>
      </c>
      <c r="D11" s="185">
        <f>예산총괄표3장!C13</f>
        <v>2228418</v>
      </c>
      <c r="F11" s="177"/>
    </row>
    <row r="12" spans="1:6" ht="19.7" customHeight="1">
      <c r="A12" s="182" t="s">
        <v>172</v>
      </c>
      <c r="B12" s="183">
        <f>예산총괄표3장!C8</f>
        <v>0</v>
      </c>
      <c r="C12" s="184" t="s">
        <v>1011</v>
      </c>
      <c r="D12" s="185">
        <f>예산총괄표3장!C14</f>
        <v>1977742</v>
      </c>
    </row>
    <row r="13" spans="1:6" ht="19.7" customHeight="1">
      <c r="A13" s="182" t="s">
        <v>173</v>
      </c>
      <c r="B13" s="183">
        <v>0</v>
      </c>
      <c r="C13" s="184" t="s">
        <v>1012</v>
      </c>
      <c r="D13" s="185">
        <f>예산총괄표3장!C15</f>
        <v>25241148</v>
      </c>
    </row>
    <row r="14" spans="1:6" ht="19.7" customHeight="1">
      <c r="A14" s="182"/>
      <c r="B14" s="183"/>
      <c r="C14" s="184" t="s">
        <v>1013</v>
      </c>
      <c r="D14" s="185">
        <f>예산총괄표3장!C16</f>
        <v>16154050</v>
      </c>
    </row>
    <row r="15" spans="1:6" ht="19.7" customHeight="1">
      <c r="A15" s="182"/>
      <c r="B15" s="183"/>
      <c r="C15" s="184"/>
      <c r="D15" s="185"/>
    </row>
    <row r="16" spans="1:6" ht="19.7" customHeight="1">
      <c r="A16" s="178" t="s">
        <v>168</v>
      </c>
      <c r="B16" s="179">
        <f>B17</f>
        <v>1609990</v>
      </c>
      <c r="C16" s="180" t="s">
        <v>168</v>
      </c>
      <c r="D16" s="181">
        <f>D17</f>
        <v>1609990</v>
      </c>
    </row>
    <row r="17" spans="1:4" ht="19.7" customHeight="1">
      <c r="A17" s="182" t="s">
        <v>174</v>
      </c>
      <c r="B17" s="183">
        <f>SUM(B18:B25)</f>
        <v>1609990</v>
      </c>
      <c r="C17" s="184" t="s">
        <v>175</v>
      </c>
      <c r="D17" s="185">
        <f>SUM(D18:D25)</f>
        <v>1609990</v>
      </c>
    </row>
    <row r="18" spans="1:4" ht="19.7" customHeight="1">
      <c r="A18" s="182" t="s">
        <v>176</v>
      </c>
      <c r="B18" s="183">
        <v>0</v>
      </c>
      <c r="C18" s="184" t="s">
        <v>1010</v>
      </c>
      <c r="D18" s="185">
        <f>예산총괄표3장!E13</f>
        <v>166750</v>
      </c>
    </row>
    <row r="19" spans="1:4" ht="19.7" customHeight="1">
      <c r="A19" s="182" t="s">
        <v>177</v>
      </c>
      <c r="B19" s="183">
        <v>0</v>
      </c>
      <c r="C19" s="184" t="s">
        <v>1011</v>
      </c>
      <c r="D19" s="185">
        <f>예산총괄표3장!E14</f>
        <v>20640</v>
      </c>
    </row>
    <row r="20" spans="1:4" ht="19.7" customHeight="1">
      <c r="A20" s="182" t="s">
        <v>178</v>
      </c>
      <c r="B20" s="183">
        <v>0</v>
      </c>
      <c r="C20" s="184" t="s">
        <v>1012</v>
      </c>
      <c r="D20" s="185">
        <f>예산총괄표3장!E15</f>
        <v>914600</v>
      </c>
    </row>
    <row r="21" spans="1:4" ht="19.7" customHeight="1">
      <c r="A21" s="182" t="s">
        <v>179</v>
      </c>
      <c r="B21" s="183">
        <v>0</v>
      </c>
      <c r="C21" s="184" t="s">
        <v>1015</v>
      </c>
      <c r="D21" s="185">
        <f>예산총괄표3장!E16</f>
        <v>8000</v>
      </c>
    </row>
    <row r="22" spans="1:4" ht="19.7" customHeight="1">
      <c r="A22" s="182" t="s">
        <v>180</v>
      </c>
      <c r="B22" s="183">
        <v>0</v>
      </c>
      <c r="C22" s="184" t="s">
        <v>1014</v>
      </c>
      <c r="D22" s="185">
        <f>예산총괄표3장!E18</f>
        <v>500000</v>
      </c>
    </row>
    <row r="23" spans="1:4" ht="19.7" customHeight="1">
      <c r="A23" s="182" t="s">
        <v>181</v>
      </c>
      <c r="B23" s="183">
        <f>'3-2.자본예산총괄표'!C17</f>
        <v>1109990</v>
      </c>
      <c r="C23" s="184"/>
      <c r="D23" s="185"/>
    </row>
    <row r="24" spans="1:4" ht="19.7" customHeight="1">
      <c r="A24" s="182" t="s">
        <v>182</v>
      </c>
      <c r="B24" s="183">
        <f>'3-2.자본예산총괄표'!C21</f>
        <v>500000</v>
      </c>
      <c r="C24" s="184"/>
      <c r="D24" s="185"/>
    </row>
    <row r="25" spans="1:4" ht="19.7" customHeight="1" thickBot="1">
      <c r="A25" s="186" t="s">
        <v>183</v>
      </c>
      <c r="B25" s="187">
        <v>0</v>
      </c>
      <c r="C25" s="188"/>
      <c r="D25" s="189"/>
    </row>
    <row r="26" spans="1:4" ht="17.25" hidden="1" customHeight="1">
      <c r="A26" s="190" t="s">
        <v>168</v>
      </c>
      <c r="B26" s="191">
        <f>B27</f>
        <v>0</v>
      </c>
      <c r="C26" s="192" t="s">
        <v>168</v>
      </c>
      <c r="D26" s="193">
        <f>D28</f>
        <v>0</v>
      </c>
    </row>
    <row r="27" spans="1:4" ht="17.25" hidden="1" customHeight="1">
      <c r="A27" s="182" t="s">
        <v>184</v>
      </c>
      <c r="B27" s="194">
        <f>SUM(B28:B29)</f>
        <v>0</v>
      </c>
      <c r="C27" s="184"/>
      <c r="D27" s="195"/>
    </row>
    <row r="28" spans="1:4" ht="17.25" hidden="1" customHeight="1">
      <c r="A28" s="182" t="s">
        <v>185</v>
      </c>
      <c r="B28" s="194"/>
      <c r="C28" s="184"/>
      <c r="D28" s="195"/>
    </row>
    <row r="29" spans="1:4" ht="13.5" hidden="1" customHeight="1" thickBot="1">
      <c r="A29" s="186" t="s">
        <v>186</v>
      </c>
      <c r="B29" s="187">
        <v>0</v>
      </c>
      <c r="C29" s="196"/>
      <c r="D29" s="197"/>
    </row>
    <row r="30" spans="1:4" s="107" customFormat="1" ht="33" customHeight="1" thickBot="1">
      <c r="A30" s="102" t="s">
        <v>187</v>
      </c>
      <c r="B30" s="167"/>
      <c r="D30" s="167"/>
    </row>
    <row r="31" spans="1:4" s="107" customFormat="1" ht="32.25" customHeight="1" thickBot="1">
      <c r="A31" s="2833" t="s">
        <v>188</v>
      </c>
      <c r="B31" s="2834"/>
      <c r="C31" s="2835" t="s">
        <v>189</v>
      </c>
      <c r="D31" s="2836"/>
    </row>
    <row r="32" spans="1:4" s="107" customFormat="1" ht="32.25" customHeight="1">
      <c r="A32" s="979" t="s">
        <v>190</v>
      </c>
      <c r="B32" s="980" t="s">
        <v>191</v>
      </c>
      <c r="C32" s="982" t="s">
        <v>192</v>
      </c>
      <c r="D32" s="983" t="s">
        <v>193</v>
      </c>
    </row>
    <row r="33" spans="1:4" s="107" customFormat="1" ht="32.25" customHeight="1" thickBot="1">
      <c r="A33" s="1010" t="str">
        <f>TEXT(B8,"#,##0")&amp;"천원"</f>
        <v>47,211,348천원</v>
      </c>
      <c r="B33" s="981" t="str">
        <f>TEXT(B8,"#,##0")&amp;"천원"</f>
        <v>47,211,348천원</v>
      </c>
      <c r="C33" s="198" t="str">
        <f>TEXT(D8,"#,##0")&amp;"천원"</f>
        <v>47,211,348천원</v>
      </c>
      <c r="D33" s="1011" t="str">
        <f>TEXT(D8,"#,##0")&amp;"천원"</f>
        <v>47,211,348천원</v>
      </c>
    </row>
    <row r="34" spans="1:4" ht="17.25" customHeight="1">
      <c r="A34" s="107"/>
      <c r="B34" s="199"/>
      <c r="C34" s="107"/>
      <c r="D34" s="199"/>
    </row>
    <row r="35" spans="1:4" ht="16.5" customHeight="1">
      <c r="A35" s="155" t="s">
        <v>194</v>
      </c>
    </row>
    <row r="36" spans="1:4" ht="16.5" customHeight="1">
      <c r="A36" s="155" t="s">
        <v>195</v>
      </c>
    </row>
    <row r="37" spans="1:4" ht="16.5" customHeight="1">
      <c r="A37" s="155" t="s">
        <v>196</v>
      </c>
    </row>
    <row r="38" spans="1:4" ht="16.5" customHeight="1">
      <c r="A38" s="155" t="s">
        <v>197</v>
      </c>
    </row>
    <row r="39" spans="1:4" ht="18.75" customHeight="1">
      <c r="A39" s="2837" t="s">
        <v>198</v>
      </c>
      <c r="B39" s="2837"/>
      <c r="C39" s="2837"/>
      <c r="D39" s="2837"/>
    </row>
    <row r="40" spans="1:4" ht="18.75" customHeight="1">
      <c r="A40" s="2837"/>
      <c r="B40" s="2837"/>
      <c r="C40" s="2837"/>
      <c r="D40" s="2837"/>
    </row>
    <row r="41" spans="1:4" ht="16.5" customHeight="1">
      <c r="A41" s="2824"/>
      <c r="B41" s="2824"/>
      <c r="C41" s="2824"/>
      <c r="D41" s="2824"/>
    </row>
    <row r="42" spans="1:4" ht="16.5" customHeight="1">
      <c r="A42" s="200"/>
      <c r="B42" s="200"/>
      <c r="C42" s="200"/>
      <c r="D42" s="200"/>
    </row>
    <row r="43" spans="1:4" ht="16.5" customHeight="1">
      <c r="A43" s="200"/>
      <c r="B43" s="200"/>
      <c r="C43" s="200"/>
      <c r="D43" s="200"/>
    </row>
    <row r="44" spans="1:4" ht="16.5" customHeight="1"/>
    <row r="45" spans="1:4" s="201" customFormat="1" ht="16.5" customHeight="1">
      <c r="B45" s="202"/>
      <c r="C45" s="2825" t="s">
        <v>2492</v>
      </c>
      <c r="D45" s="2825"/>
    </row>
    <row r="46" spans="1:4" ht="18.75" customHeight="1"/>
    <row r="47" spans="1:4" ht="20.25">
      <c r="B47" s="2826" t="s">
        <v>512</v>
      </c>
      <c r="C47" s="2826"/>
      <c r="D47" s="2826"/>
    </row>
    <row r="50" spans="1:4" ht="13.5" customHeight="1">
      <c r="A50" s="2827"/>
      <c r="B50" s="2827"/>
      <c r="C50" s="2827"/>
      <c r="D50" s="2827"/>
    </row>
    <row r="51" spans="1:4">
      <c r="A51" s="2827"/>
      <c r="B51" s="2827"/>
      <c r="C51" s="2827"/>
      <c r="D51" s="2827"/>
    </row>
    <row r="52" spans="1:4">
      <c r="B52" s="203"/>
      <c r="C52" s="203"/>
    </row>
  </sheetData>
  <mergeCells count="10">
    <mergeCell ref="A41:D41"/>
    <mergeCell ref="C45:D45"/>
    <mergeCell ref="B47:D47"/>
    <mergeCell ref="A50:D51"/>
    <mergeCell ref="A1:D1"/>
    <mergeCell ref="A6:B6"/>
    <mergeCell ref="C6:D6"/>
    <mergeCell ref="A31:B31"/>
    <mergeCell ref="C31:D31"/>
    <mergeCell ref="A39:D40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94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6" tint="0.39997558519241921"/>
  </sheetPr>
  <dimension ref="A1:M58"/>
  <sheetViews>
    <sheetView zoomScaleNormal="100" workbookViewId="0">
      <selection activeCell="J20" sqref="J20"/>
    </sheetView>
  </sheetViews>
  <sheetFormatPr defaultRowHeight="13.5"/>
  <cols>
    <col min="1" max="1" width="26.875" style="98" customWidth="1"/>
    <col min="2" max="2" width="8.25" style="98" customWidth="1"/>
    <col min="3" max="256" width="9" style="98"/>
    <col min="257" max="257" width="26.875" style="98" customWidth="1"/>
    <col min="258" max="258" width="8.25" style="98" customWidth="1"/>
    <col min="259" max="512" width="9" style="98"/>
    <col min="513" max="513" width="26.875" style="98" customWidth="1"/>
    <col min="514" max="514" width="8.25" style="98" customWidth="1"/>
    <col min="515" max="768" width="9" style="98"/>
    <col min="769" max="769" width="26.875" style="98" customWidth="1"/>
    <col min="770" max="770" width="8.25" style="98" customWidth="1"/>
    <col min="771" max="1024" width="9" style="98"/>
    <col min="1025" max="1025" width="26.875" style="98" customWidth="1"/>
    <col min="1026" max="1026" width="8.25" style="98" customWidth="1"/>
    <col min="1027" max="1280" width="9" style="98"/>
    <col min="1281" max="1281" width="26.875" style="98" customWidth="1"/>
    <col min="1282" max="1282" width="8.25" style="98" customWidth="1"/>
    <col min="1283" max="1536" width="9" style="98"/>
    <col min="1537" max="1537" width="26.875" style="98" customWidth="1"/>
    <col min="1538" max="1538" width="8.25" style="98" customWidth="1"/>
    <col min="1539" max="1792" width="9" style="98"/>
    <col min="1793" max="1793" width="26.875" style="98" customWidth="1"/>
    <col min="1794" max="1794" width="8.25" style="98" customWidth="1"/>
    <col min="1795" max="2048" width="9" style="98"/>
    <col min="2049" max="2049" width="26.875" style="98" customWidth="1"/>
    <col min="2050" max="2050" width="8.25" style="98" customWidth="1"/>
    <col min="2051" max="2304" width="9" style="98"/>
    <col min="2305" max="2305" width="26.875" style="98" customWidth="1"/>
    <col min="2306" max="2306" width="8.25" style="98" customWidth="1"/>
    <col min="2307" max="2560" width="9" style="98"/>
    <col min="2561" max="2561" width="26.875" style="98" customWidth="1"/>
    <col min="2562" max="2562" width="8.25" style="98" customWidth="1"/>
    <col min="2563" max="2816" width="9" style="98"/>
    <col min="2817" max="2817" width="26.875" style="98" customWidth="1"/>
    <col min="2818" max="2818" width="8.25" style="98" customWidth="1"/>
    <col min="2819" max="3072" width="9" style="98"/>
    <col min="3073" max="3073" width="26.875" style="98" customWidth="1"/>
    <col min="3074" max="3074" width="8.25" style="98" customWidth="1"/>
    <col min="3075" max="3328" width="9" style="98"/>
    <col min="3329" max="3329" width="26.875" style="98" customWidth="1"/>
    <col min="3330" max="3330" width="8.25" style="98" customWidth="1"/>
    <col min="3331" max="3584" width="9" style="98"/>
    <col min="3585" max="3585" width="26.875" style="98" customWidth="1"/>
    <col min="3586" max="3586" width="8.25" style="98" customWidth="1"/>
    <col min="3587" max="3840" width="9" style="98"/>
    <col min="3841" max="3841" width="26.875" style="98" customWidth="1"/>
    <col min="3842" max="3842" width="8.25" style="98" customWidth="1"/>
    <col min="3843" max="4096" width="9" style="98"/>
    <col min="4097" max="4097" width="26.875" style="98" customWidth="1"/>
    <col min="4098" max="4098" width="8.25" style="98" customWidth="1"/>
    <col min="4099" max="4352" width="9" style="98"/>
    <col min="4353" max="4353" width="26.875" style="98" customWidth="1"/>
    <col min="4354" max="4354" width="8.25" style="98" customWidth="1"/>
    <col min="4355" max="4608" width="9" style="98"/>
    <col min="4609" max="4609" width="26.875" style="98" customWidth="1"/>
    <col min="4610" max="4610" width="8.25" style="98" customWidth="1"/>
    <col min="4611" max="4864" width="9" style="98"/>
    <col min="4865" max="4865" width="26.875" style="98" customWidth="1"/>
    <col min="4866" max="4866" width="8.25" style="98" customWidth="1"/>
    <col min="4867" max="5120" width="9" style="98"/>
    <col min="5121" max="5121" width="26.875" style="98" customWidth="1"/>
    <col min="5122" max="5122" width="8.25" style="98" customWidth="1"/>
    <col min="5123" max="5376" width="9" style="98"/>
    <col min="5377" max="5377" width="26.875" style="98" customWidth="1"/>
    <col min="5378" max="5378" width="8.25" style="98" customWidth="1"/>
    <col min="5379" max="5632" width="9" style="98"/>
    <col min="5633" max="5633" width="26.875" style="98" customWidth="1"/>
    <col min="5634" max="5634" width="8.25" style="98" customWidth="1"/>
    <col min="5635" max="5888" width="9" style="98"/>
    <col min="5889" max="5889" width="26.875" style="98" customWidth="1"/>
    <col min="5890" max="5890" width="8.25" style="98" customWidth="1"/>
    <col min="5891" max="6144" width="9" style="98"/>
    <col min="6145" max="6145" width="26.875" style="98" customWidth="1"/>
    <col min="6146" max="6146" width="8.25" style="98" customWidth="1"/>
    <col min="6147" max="6400" width="9" style="98"/>
    <col min="6401" max="6401" width="26.875" style="98" customWidth="1"/>
    <col min="6402" max="6402" width="8.25" style="98" customWidth="1"/>
    <col min="6403" max="6656" width="9" style="98"/>
    <col min="6657" max="6657" width="26.875" style="98" customWidth="1"/>
    <col min="6658" max="6658" width="8.25" style="98" customWidth="1"/>
    <col min="6659" max="6912" width="9" style="98"/>
    <col min="6913" max="6913" width="26.875" style="98" customWidth="1"/>
    <col min="6914" max="6914" width="8.25" style="98" customWidth="1"/>
    <col min="6915" max="7168" width="9" style="98"/>
    <col min="7169" max="7169" width="26.875" style="98" customWidth="1"/>
    <col min="7170" max="7170" width="8.25" style="98" customWidth="1"/>
    <col min="7171" max="7424" width="9" style="98"/>
    <col min="7425" max="7425" width="26.875" style="98" customWidth="1"/>
    <col min="7426" max="7426" width="8.25" style="98" customWidth="1"/>
    <col min="7427" max="7680" width="9" style="98"/>
    <col min="7681" max="7681" width="26.875" style="98" customWidth="1"/>
    <col min="7682" max="7682" width="8.25" style="98" customWidth="1"/>
    <col min="7683" max="7936" width="9" style="98"/>
    <col min="7937" max="7937" width="26.875" style="98" customWidth="1"/>
    <col min="7938" max="7938" width="8.25" style="98" customWidth="1"/>
    <col min="7939" max="8192" width="9" style="98"/>
    <col min="8193" max="8193" width="26.875" style="98" customWidth="1"/>
    <col min="8194" max="8194" width="8.25" style="98" customWidth="1"/>
    <col min="8195" max="8448" width="9" style="98"/>
    <col min="8449" max="8449" width="26.875" style="98" customWidth="1"/>
    <col min="8450" max="8450" width="8.25" style="98" customWidth="1"/>
    <col min="8451" max="8704" width="9" style="98"/>
    <col min="8705" max="8705" width="26.875" style="98" customWidth="1"/>
    <col min="8706" max="8706" width="8.25" style="98" customWidth="1"/>
    <col min="8707" max="8960" width="9" style="98"/>
    <col min="8961" max="8961" width="26.875" style="98" customWidth="1"/>
    <col min="8962" max="8962" width="8.25" style="98" customWidth="1"/>
    <col min="8963" max="9216" width="9" style="98"/>
    <col min="9217" max="9217" width="26.875" style="98" customWidth="1"/>
    <col min="9218" max="9218" width="8.25" style="98" customWidth="1"/>
    <col min="9219" max="9472" width="9" style="98"/>
    <col min="9473" max="9473" width="26.875" style="98" customWidth="1"/>
    <col min="9474" max="9474" width="8.25" style="98" customWidth="1"/>
    <col min="9475" max="9728" width="9" style="98"/>
    <col min="9729" max="9729" width="26.875" style="98" customWidth="1"/>
    <col min="9730" max="9730" width="8.25" style="98" customWidth="1"/>
    <col min="9731" max="9984" width="9" style="98"/>
    <col min="9985" max="9985" width="26.875" style="98" customWidth="1"/>
    <col min="9986" max="9986" width="8.25" style="98" customWidth="1"/>
    <col min="9987" max="10240" width="9" style="98"/>
    <col min="10241" max="10241" width="26.875" style="98" customWidth="1"/>
    <col min="10242" max="10242" width="8.25" style="98" customWidth="1"/>
    <col min="10243" max="10496" width="9" style="98"/>
    <col min="10497" max="10497" width="26.875" style="98" customWidth="1"/>
    <col min="10498" max="10498" width="8.25" style="98" customWidth="1"/>
    <col min="10499" max="10752" width="9" style="98"/>
    <col min="10753" max="10753" width="26.875" style="98" customWidth="1"/>
    <col min="10754" max="10754" width="8.25" style="98" customWidth="1"/>
    <col min="10755" max="11008" width="9" style="98"/>
    <col min="11009" max="11009" width="26.875" style="98" customWidth="1"/>
    <col min="11010" max="11010" width="8.25" style="98" customWidth="1"/>
    <col min="11011" max="11264" width="9" style="98"/>
    <col min="11265" max="11265" width="26.875" style="98" customWidth="1"/>
    <col min="11266" max="11266" width="8.25" style="98" customWidth="1"/>
    <col min="11267" max="11520" width="9" style="98"/>
    <col min="11521" max="11521" width="26.875" style="98" customWidth="1"/>
    <col min="11522" max="11522" width="8.25" style="98" customWidth="1"/>
    <col min="11523" max="11776" width="9" style="98"/>
    <col min="11777" max="11777" width="26.875" style="98" customWidth="1"/>
    <col min="11778" max="11778" width="8.25" style="98" customWidth="1"/>
    <col min="11779" max="12032" width="9" style="98"/>
    <col min="12033" max="12033" width="26.875" style="98" customWidth="1"/>
    <col min="12034" max="12034" width="8.25" style="98" customWidth="1"/>
    <col min="12035" max="12288" width="9" style="98"/>
    <col min="12289" max="12289" width="26.875" style="98" customWidth="1"/>
    <col min="12290" max="12290" width="8.25" style="98" customWidth="1"/>
    <col min="12291" max="12544" width="9" style="98"/>
    <col min="12545" max="12545" width="26.875" style="98" customWidth="1"/>
    <col min="12546" max="12546" width="8.25" style="98" customWidth="1"/>
    <col min="12547" max="12800" width="9" style="98"/>
    <col min="12801" max="12801" width="26.875" style="98" customWidth="1"/>
    <col min="12802" max="12802" width="8.25" style="98" customWidth="1"/>
    <col min="12803" max="13056" width="9" style="98"/>
    <col min="13057" max="13057" width="26.875" style="98" customWidth="1"/>
    <col min="13058" max="13058" width="8.25" style="98" customWidth="1"/>
    <col min="13059" max="13312" width="9" style="98"/>
    <col min="13313" max="13313" width="26.875" style="98" customWidth="1"/>
    <col min="13314" max="13314" width="8.25" style="98" customWidth="1"/>
    <col min="13315" max="13568" width="9" style="98"/>
    <col min="13569" max="13569" width="26.875" style="98" customWidth="1"/>
    <col min="13570" max="13570" width="8.25" style="98" customWidth="1"/>
    <col min="13571" max="13824" width="9" style="98"/>
    <col min="13825" max="13825" width="26.875" style="98" customWidth="1"/>
    <col min="13826" max="13826" width="8.25" style="98" customWidth="1"/>
    <col min="13827" max="14080" width="9" style="98"/>
    <col min="14081" max="14081" width="26.875" style="98" customWidth="1"/>
    <col min="14082" max="14082" width="8.25" style="98" customWidth="1"/>
    <col min="14083" max="14336" width="9" style="98"/>
    <col min="14337" max="14337" width="26.875" style="98" customWidth="1"/>
    <col min="14338" max="14338" width="8.25" style="98" customWidth="1"/>
    <col min="14339" max="14592" width="9" style="98"/>
    <col min="14593" max="14593" width="26.875" style="98" customWidth="1"/>
    <col min="14594" max="14594" width="8.25" style="98" customWidth="1"/>
    <col min="14595" max="14848" width="9" style="98"/>
    <col min="14849" max="14849" width="26.875" style="98" customWidth="1"/>
    <col min="14850" max="14850" width="8.25" style="98" customWidth="1"/>
    <col min="14851" max="15104" width="9" style="98"/>
    <col min="15105" max="15105" width="26.875" style="98" customWidth="1"/>
    <col min="15106" max="15106" width="8.25" style="98" customWidth="1"/>
    <col min="15107" max="15360" width="9" style="98"/>
    <col min="15361" max="15361" width="26.875" style="98" customWidth="1"/>
    <col min="15362" max="15362" width="8.25" style="98" customWidth="1"/>
    <col min="15363" max="15616" width="9" style="98"/>
    <col min="15617" max="15617" width="26.875" style="98" customWidth="1"/>
    <col min="15618" max="15618" width="8.25" style="98" customWidth="1"/>
    <col min="15619" max="15872" width="9" style="98"/>
    <col min="15873" max="15873" width="26.875" style="98" customWidth="1"/>
    <col min="15874" max="15874" width="8.25" style="98" customWidth="1"/>
    <col min="15875" max="16128" width="9" style="98"/>
    <col min="16129" max="16129" width="26.875" style="98" customWidth="1"/>
    <col min="16130" max="16130" width="8.25" style="98" customWidth="1"/>
    <col min="16131" max="16384" width="9" style="98"/>
  </cols>
  <sheetData>
    <row r="1" spans="1:1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4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</row>
    <row r="7" spans="1:13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</row>
    <row r="8" spans="1:13">
      <c r="A8" s="97"/>
      <c r="B8" s="97"/>
      <c r="K8" s="97"/>
      <c r="L8" s="97"/>
      <c r="M8" s="97"/>
    </row>
    <row r="9" spans="1:13" ht="46.5">
      <c r="A9" s="97"/>
      <c r="B9" s="2811" t="s">
        <v>199</v>
      </c>
      <c r="C9" s="2811"/>
      <c r="D9" s="2811"/>
      <c r="E9" s="2811"/>
      <c r="F9" s="2811"/>
      <c r="G9" s="2811"/>
      <c r="H9" s="2811"/>
      <c r="I9" s="2811"/>
      <c r="J9" s="103"/>
      <c r="K9" s="97"/>
      <c r="L9" s="97"/>
      <c r="M9" s="97"/>
    </row>
    <row r="10" spans="1:13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</row>
    <row r="11" spans="1:13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</row>
    <row r="12" spans="1:13" ht="46.5">
      <c r="A12" s="97"/>
      <c r="B12" s="97"/>
      <c r="K12" s="103"/>
      <c r="L12" s="97"/>
      <c r="M12" s="97"/>
    </row>
    <row r="13" spans="1:13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</row>
    <row r="14" spans="1:1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3" ht="29.25" customHeight="1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</row>
    <row r="16" spans="1:13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</row>
    <row r="17" spans="1:13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</row>
    <row r="18" spans="1:13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13" ht="30" customHeigh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13" ht="50.25" customHeight="1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</row>
    <row r="21" spans="1:13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13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</row>
    <row r="23" spans="1:13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</row>
    <row r="24" spans="1:13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</row>
    <row r="25" spans="1:13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3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3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</row>
    <row r="30" spans="1:1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</row>
    <row r="31" spans="1:1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</row>
    <row r="32" spans="1:13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</row>
    <row r="33" spans="1:1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</row>
    <row r="34" spans="1:13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</row>
    <row r="35" spans="1:13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</row>
    <row r="37" spans="1:13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</row>
    <row r="38" spans="1:13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  <row r="39" spans="1:13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</row>
    <row r="40" spans="1:13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</row>
    <row r="41" spans="1:13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</row>
    <row r="42" spans="1:13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</row>
    <row r="43" spans="1:13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</row>
    <row r="44" spans="1:13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</row>
    <row r="45" spans="1:13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</row>
    <row r="48" spans="1:13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</row>
    <row r="49" spans="1:13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</row>
    <row r="50" spans="1:13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</row>
    <row r="51" spans="1:13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</row>
    <row r="52" spans="1:13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</row>
    <row r="53" spans="1:13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</row>
    <row r="54" spans="1:13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</row>
    <row r="55" spans="1:13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</row>
    <row r="56" spans="1:13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</row>
    <row r="57" spans="1:13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</row>
    <row r="58" spans="1:13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</row>
  </sheetData>
  <mergeCells count="1">
    <mergeCell ref="B9:I9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39997558519241921"/>
  </sheetPr>
  <dimension ref="A1:I22"/>
  <sheetViews>
    <sheetView zoomScaleNormal="100" workbookViewId="0">
      <selection activeCell="J20" sqref="J20"/>
    </sheetView>
  </sheetViews>
  <sheetFormatPr defaultRowHeight="13.5"/>
  <cols>
    <col min="1" max="1" width="9" style="155"/>
    <col min="2" max="2" width="33.875" style="155" bestFit="1" customWidth="1"/>
    <col min="3" max="3" width="21.25" style="166" customWidth="1"/>
    <col min="4" max="4" width="33.875" style="155" bestFit="1" customWidth="1"/>
    <col min="5" max="5" width="21.25" style="166" customWidth="1"/>
    <col min="6" max="6" width="33.875" style="166" bestFit="1" customWidth="1"/>
    <col min="7" max="7" width="21.25" style="166" customWidth="1"/>
    <col min="8" max="257" width="9" style="155"/>
    <col min="258" max="263" width="21.25" style="155" customWidth="1"/>
    <col min="264" max="513" width="9" style="155"/>
    <col min="514" max="519" width="21.25" style="155" customWidth="1"/>
    <col min="520" max="769" width="9" style="155"/>
    <col min="770" max="775" width="21.25" style="155" customWidth="1"/>
    <col min="776" max="1025" width="9" style="155"/>
    <col min="1026" max="1031" width="21.25" style="155" customWidth="1"/>
    <col min="1032" max="1281" width="9" style="155"/>
    <col min="1282" max="1287" width="21.25" style="155" customWidth="1"/>
    <col min="1288" max="1537" width="9" style="155"/>
    <col min="1538" max="1543" width="21.25" style="155" customWidth="1"/>
    <col min="1544" max="1793" width="9" style="155"/>
    <col min="1794" max="1799" width="21.25" style="155" customWidth="1"/>
    <col min="1800" max="2049" width="9" style="155"/>
    <col min="2050" max="2055" width="21.25" style="155" customWidth="1"/>
    <col min="2056" max="2305" width="9" style="155"/>
    <col min="2306" max="2311" width="21.25" style="155" customWidth="1"/>
    <col min="2312" max="2561" width="9" style="155"/>
    <col min="2562" max="2567" width="21.25" style="155" customWidth="1"/>
    <col min="2568" max="2817" width="9" style="155"/>
    <col min="2818" max="2823" width="21.25" style="155" customWidth="1"/>
    <col min="2824" max="3073" width="9" style="155"/>
    <col min="3074" max="3079" width="21.25" style="155" customWidth="1"/>
    <col min="3080" max="3329" width="9" style="155"/>
    <col min="3330" max="3335" width="21.25" style="155" customWidth="1"/>
    <col min="3336" max="3585" width="9" style="155"/>
    <col min="3586" max="3591" width="21.25" style="155" customWidth="1"/>
    <col min="3592" max="3841" width="9" style="155"/>
    <col min="3842" max="3847" width="21.25" style="155" customWidth="1"/>
    <col min="3848" max="4097" width="9" style="155"/>
    <col min="4098" max="4103" width="21.25" style="155" customWidth="1"/>
    <col min="4104" max="4353" width="9" style="155"/>
    <col min="4354" max="4359" width="21.25" style="155" customWidth="1"/>
    <col min="4360" max="4609" width="9" style="155"/>
    <col min="4610" max="4615" width="21.25" style="155" customWidth="1"/>
    <col min="4616" max="4865" width="9" style="155"/>
    <col min="4866" max="4871" width="21.25" style="155" customWidth="1"/>
    <col min="4872" max="5121" width="9" style="155"/>
    <col min="5122" max="5127" width="21.25" style="155" customWidth="1"/>
    <col min="5128" max="5377" width="9" style="155"/>
    <col min="5378" max="5383" width="21.25" style="155" customWidth="1"/>
    <col min="5384" max="5633" width="9" style="155"/>
    <col min="5634" max="5639" width="21.25" style="155" customWidth="1"/>
    <col min="5640" max="5889" width="9" style="155"/>
    <col min="5890" max="5895" width="21.25" style="155" customWidth="1"/>
    <col min="5896" max="6145" width="9" style="155"/>
    <col min="6146" max="6151" width="21.25" style="155" customWidth="1"/>
    <col min="6152" max="6401" width="9" style="155"/>
    <col min="6402" max="6407" width="21.25" style="155" customWidth="1"/>
    <col min="6408" max="6657" width="9" style="155"/>
    <col min="6658" max="6663" width="21.25" style="155" customWidth="1"/>
    <col min="6664" max="6913" width="9" style="155"/>
    <col min="6914" max="6919" width="21.25" style="155" customWidth="1"/>
    <col min="6920" max="7169" width="9" style="155"/>
    <col min="7170" max="7175" width="21.25" style="155" customWidth="1"/>
    <col min="7176" max="7425" width="9" style="155"/>
    <col min="7426" max="7431" width="21.25" style="155" customWidth="1"/>
    <col min="7432" max="7681" width="9" style="155"/>
    <col min="7682" max="7687" width="21.25" style="155" customWidth="1"/>
    <col min="7688" max="7937" width="9" style="155"/>
    <col min="7938" max="7943" width="21.25" style="155" customWidth="1"/>
    <col min="7944" max="8193" width="9" style="155"/>
    <col min="8194" max="8199" width="21.25" style="155" customWidth="1"/>
    <col min="8200" max="8449" width="9" style="155"/>
    <col min="8450" max="8455" width="21.25" style="155" customWidth="1"/>
    <col min="8456" max="8705" width="9" style="155"/>
    <col min="8706" max="8711" width="21.25" style="155" customWidth="1"/>
    <col min="8712" max="8961" width="9" style="155"/>
    <col min="8962" max="8967" width="21.25" style="155" customWidth="1"/>
    <col min="8968" max="9217" width="9" style="155"/>
    <col min="9218" max="9223" width="21.25" style="155" customWidth="1"/>
    <col min="9224" max="9473" width="9" style="155"/>
    <col min="9474" max="9479" width="21.25" style="155" customWidth="1"/>
    <col min="9480" max="9729" width="9" style="155"/>
    <col min="9730" max="9735" width="21.25" style="155" customWidth="1"/>
    <col min="9736" max="9985" width="9" style="155"/>
    <col min="9986" max="9991" width="21.25" style="155" customWidth="1"/>
    <col min="9992" max="10241" width="9" style="155"/>
    <col min="10242" max="10247" width="21.25" style="155" customWidth="1"/>
    <col min="10248" max="10497" width="9" style="155"/>
    <col min="10498" max="10503" width="21.25" style="155" customWidth="1"/>
    <col min="10504" max="10753" width="9" style="155"/>
    <col min="10754" max="10759" width="21.25" style="155" customWidth="1"/>
    <col min="10760" max="11009" width="9" style="155"/>
    <col min="11010" max="11015" width="21.25" style="155" customWidth="1"/>
    <col min="11016" max="11265" width="9" style="155"/>
    <col min="11266" max="11271" width="21.25" style="155" customWidth="1"/>
    <col min="11272" max="11521" width="9" style="155"/>
    <col min="11522" max="11527" width="21.25" style="155" customWidth="1"/>
    <col min="11528" max="11777" width="9" style="155"/>
    <col min="11778" max="11783" width="21.25" style="155" customWidth="1"/>
    <col min="11784" max="12033" width="9" style="155"/>
    <col min="12034" max="12039" width="21.25" style="155" customWidth="1"/>
    <col min="12040" max="12289" width="9" style="155"/>
    <col min="12290" max="12295" width="21.25" style="155" customWidth="1"/>
    <col min="12296" max="12545" width="9" style="155"/>
    <col min="12546" max="12551" width="21.25" style="155" customWidth="1"/>
    <col min="12552" max="12801" width="9" style="155"/>
    <col min="12802" max="12807" width="21.25" style="155" customWidth="1"/>
    <col min="12808" max="13057" width="9" style="155"/>
    <col min="13058" max="13063" width="21.25" style="155" customWidth="1"/>
    <col min="13064" max="13313" width="9" style="155"/>
    <col min="13314" max="13319" width="21.25" style="155" customWidth="1"/>
    <col min="13320" max="13569" width="9" style="155"/>
    <col min="13570" max="13575" width="21.25" style="155" customWidth="1"/>
    <col min="13576" max="13825" width="9" style="155"/>
    <col min="13826" max="13831" width="21.25" style="155" customWidth="1"/>
    <col min="13832" max="14081" width="9" style="155"/>
    <col min="14082" max="14087" width="21.25" style="155" customWidth="1"/>
    <col min="14088" max="14337" width="9" style="155"/>
    <col min="14338" max="14343" width="21.25" style="155" customWidth="1"/>
    <col min="14344" max="14593" width="9" style="155"/>
    <col min="14594" max="14599" width="21.25" style="155" customWidth="1"/>
    <col min="14600" max="14849" width="9" style="155"/>
    <col min="14850" max="14855" width="21.25" style="155" customWidth="1"/>
    <col min="14856" max="15105" width="9" style="155"/>
    <col min="15106" max="15111" width="21.25" style="155" customWidth="1"/>
    <col min="15112" max="15361" width="9" style="155"/>
    <col min="15362" max="15367" width="21.25" style="155" customWidth="1"/>
    <col min="15368" max="15617" width="9" style="155"/>
    <col min="15618" max="15623" width="21.25" style="155" customWidth="1"/>
    <col min="15624" max="15873" width="9" style="155"/>
    <col min="15874" max="15879" width="21.25" style="155" customWidth="1"/>
    <col min="15880" max="16129" width="9" style="155"/>
    <col min="16130" max="16135" width="21.25" style="155" customWidth="1"/>
    <col min="16136" max="16384" width="9" style="155"/>
  </cols>
  <sheetData>
    <row r="1" spans="1:9" ht="25.5">
      <c r="A1" s="204" t="s">
        <v>200</v>
      </c>
      <c r="B1" s="204"/>
      <c r="C1" s="204"/>
      <c r="D1" s="204"/>
      <c r="E1" s="204"/>
      <c r="F1" s="204"/>
      <c r="G1" s="204"/>
    </row>
    <row r="4" spans="1:9" ht="14.25" thickBot="1">
      <c r="A4" s="205" t="s">
        <v>201</v>
      </c>
      <c r="C4" s="206"/>
      <c r="D4" s="2840" t="s">
        <v>202</v>
      </c>
      <c r="E4" s="2840"/>
      <c r="F4" s="206"/>
      <c r="G4" s="168" t="s">
        <v>162</v>
      </c>
    </row>
    <row r="5" spans="1:9" s="107" customFormat="1" ht="24" customHeight="1" thickBot="1">
      <c r="A5" s="207" t="s">
        <v>203</v>
      </c>
      <c r="B5" s="2841" t="s">
        <v>204</v>
      </c>
      <c r="C5" s="2842"/>
      <c r="D5" s="2843" t="s">
        <v>205</v>
      </c>
      <c r="E5" s="2844"/>
      <c r="F5" s="2845" t="s">
        <v>206</v>
      </c>
      <c r="G5" s="2846"/>
    </row>
    <row r="6" spans="1:9" s="107" customFormat="1" ht="24" customHeight="1" thickBot="1">
      <c r="A6" s="2838" t="s">
        <v>207</v>
      </c>
      <c r="B6" s="1665" t="s">
        <v>208</v>
      </c>
      <c r="C6" s="1666">
        <f>SUM(C7:C10)</f>
        <v>45601358</v>
      </c>
      <c r="D6" s="1667" t="s">
        <v>209</v>
      </c>
      <c r="E6" s="1668">
        <f>SUM(E7:E11)</f>
        <v>1609990</v>
      </c>
      <c r="F6" s="1683" t="s">
        <v>210</v>
      </c>
      <c r="G6" s="1668">
        <f>SUM(G7:G11)</f>
        <v>47211348</v>
      </c>
      <c r="I6" s="232">
        <f>G6-E6-C6</f>
        <v>0</v>
      </c>
    </row>
    <row r="7" spans="1:9" s="107" customFormat="1" ht="24" customHeight="1" thickBot="1">
      <c r="A7" s="2839"/>
      <c r="B7" s="1669" t="s">
        <v>211</v>
      </c>
      <c r="C7" s="1670">
        <f>'3-1.사업예산총괄표'!C6</f>
        <v>45601358</v>
      </c>
      <c r="D7" s="1671" t="s">
        <v>841</v>
      </c>
      <c r="E7" s="1672">
        <v>0</v>
      </c>
      <c r="F7" s="1684" t="s">
        <v>211</v>
      </c>
      <c r="G7" s="1672">
        <f>C7</f>
        <v>45601358</v>
      </c>
    </row>
    <row r="8" spans="1:9" s="107" customFormat="1" ht="24" customHeight="1" thickBot="1">
      <c r="A8" s="2839"/>
      <c r="B8" s="1673" t="s">
        <v>213</v>
      </c>
      <c r="C8" s="1674">
        <f>'3-1.사업예산총괄표'!C13</f>
        <v>0</v>
      </c>
      <c r="D8" s="1675" t="s">
        <v>214</v>
      </c>
      <c r="E8" s="1676">
        <v>0</v>
      </c>
      <c r="F8" s="1685" t="s">
        <v>215</v>
      </c>
      <c r="G8" s="1676">
        <f>C8</f>
        <v>0</v>
      </c>
    </row>
    <row r="9" spans="1:9" s="107" customFormat="1" ht="24" customHeight="1" thickBot="1">
      <c r="A9" s="2839"/>
      <c r="B9" s="1673"/>
      <c r="C9" s="1674"/>
      <c r="D9" s="1675" t="s">
        <v>216</v>
      </c>
      <c r="E9" s="1676">
        <v>0</v>
      </c>
      <c r="F9" s="1685" t="s">
        <v>216</v>
      </c>
      <c r="G9" s="1676">
        <f>C9</f>
        <v>0</v>
      </c>
    </row>
    <row r="10" spans="1:9" s="107" customFormat="1" ht="24" customHeight="1">
      <c r="A10" s="2847"/>
      <c r="B10" s="1673"/>
      <c r="C10" s="1674"/>
      <c r="D10" s="1675" t="s">
        <v>217</v>
      </c>
      <c r="E10" s="1676">
        <f>'3-2.자본예산총괄표'!C17</f>
        <v>1109990</v>
      </c>
      <c r="F10" s="1685" t="s">
        <v>217</v>
      </c>
      <c r="G10" s="1676">
        <f>E10</f>
        <v>1109990</v>
      </c>
    </row>
    <row r="11" spans="1:9" s="107" customFormat="1" ht="24" customHeight="1" thickBot="1">
      <c r="A11" s="208"/>
      <c r="B11" s="1677"/>
      <c r="C11" s="1678"/>
      <c r="D11" s="1679" t="s">
        <v>218</v>
      </c>
      <c r="E11" s="1682">
        <f>'3-2.자본예산총괄표'!C21</f>
        <v>500000</v>
      </c>
      <c r="F11" s="1686" t="s">
        <v>219</v>
      </c>
      <c r="G11" s="1676">
        <f>E11</f>
        <v>500000</v>
      </c>
    </row>
    <row r="12" spans="1:9" s="107" customFormat="1" ht="24" customHeight="1" thickBot="1">
      <c r="A12" s="2838" t="s">
        <v>220</v>
      </c>
      <c r="B12" s="1665" t="s">
        <v>221</v>
      </c>
      <c r="C12" s="1666">
        <f>SUM(C13:C20)</f>
        <v>45601358</v>
      </c>
      <c r="D12" s="1667" t="s">
        <v>222</v>
      </c>
      <c r="E12" s="1668">
        <f>SUM(E13:E21)</f>
        <v>1609990</v>
      </c>
      <c r="F12" s="1683" t="s">
        <v>223</v>
      </c>
      <c r="G12" s="1668">
        <f>SUM(G13:G21)</f>
        <v>47211348</v>
      </c>
      <c r="I12" s="232">
        <f>G12-E12-C12</f>
        <v>0</v>
      </c>
    </row>
    <row r="13" spans="1:9" s="107" customFormat="1" ht="24" customHeight="1" thickBot="1">
      <c r="A13" s="2839"/>
      <c r="B13" s="1669" t="s">
        <v>1008</v>
      </c>
      <c r="C13" s="1670">
        <f>'나. 지출예산 총괄표'!H8</f>
        <v>2228418</v>
      </c>
      <c r="D13" s="1687" t="s">
        <v>1008</v>
      </c>
      <c r="E13" s="1672">
        <f>'나. 지출예산 총괄표'!H260</f>
        <v>166750</v>
      </c>
      <c r="F13" s="1669" t="s">
        <v>1008</v>
      </c>
      <c r="G13" s="1672">
        <f>C13+E13</f>
        <v>2395168</v>
      </c>
    </row>
    <row r="14" spans="1:9" s="107" customFormat="1" ht="24" customHeight="1" thickBot="1">
      <c r="A14" s="2839"/>
      <c r="B14" s="1673" t="s">
        <v>619</v>
      </c>
      <c r="C14" s="1680">
        <f>'나. 지출예산 총괄표'!H87</f>
        <v>1977742</v>
      </c>
      <c r="D14" s="1688" t="s">
        <v>619</v>
      </c>
      <c r="E14" s="1676">
        <f>'나. 지출예산 총괄표'!H273</f>
        <v>20640</v>
      </c>
      <c r="F14" s="1673" t="s">
        <v>619</v>
      </c>
      <c r="G14" s="1676">
        <f>C14+E14</f>
        <v>1998382</v>
      </c>
    </row>
    <row r="15" spans="1:9" s="107" customFormat="1" ht="24" customHeight="1" thickBot="1">
      <c r="A15" s="2839"/>
      <c r="B15" s="1673" t="s">
        <v>590</v>
      </c>
      <c r="C15" s="1681">
        <f>'나. 지출예산 총괄표'!H138</f>
        <v>25241148</v>
      </c>
      <c r="D15" s="1688" t="s">
        <v>590</v>
      </c>
      <c r="E15" s="1676">
        <f>'나. 지출예산 총괄표'!H286</f>
        <v>914600</v>
      </c>
      <c r="F15" s="1673" t="s">
        <v>590</v>
      </c>
      <c r="G15" s="1676">
        <f>C15+E15</f>
        <v>26155748</v>
      </c>
    </row>
    <row r="16" spans="1:9" s="107" customFormat="1" ht="30" customHeight="1" thickBot="1">
      <c r="A16" s="2839"/>
      <c r="B16" s="1673" t="s">
        <v>618</v>
      </c>
      <c r="C16" s="1674">
        <f>'나. 지출예산 총괄표'!H202</f>
        <v>16154050</v>
      </c>
      <c r="D16" s="1675" t="s">
        <v>1009</v>
      </c>
      <c r="E16" s="1676">
        <f>'나. 지출예산 총괄표'!H309</f>
        <v>8000</v>
      </c>
      <c r="F16" s="1688" t="s">
        <v>618</v>
      </c>
      <c r="G16" s="1676">
        <f t="shared" ref="G16:G21" si="0">C16+E16</f>
        <v>16162050</v>
      </c>
    </row>
    <row r="17" spans="1:7" s="107" customFormat="1" ht="24" customHeight="1" thickBot="1">
      <c r="A17" s="2839"/>
      <c r="B17" s="1673" t="s">
        <v>228</v>
      </c>
      <c r="C17" s="1674">
        <f>'3-1.사업예산총괄표'!F17</f>
        <v>0</v>
      </c>
      <c r="D17" s="1675"/>
      <c r="E17" s="1676"/>
      <c r="F17" s="1685" t="s">
        <v>228</v>
      </c>
      <c r="G17" s="1676">
        <f t="shared" si="0"/>
        <v>0</v>
      </c>
    </row>
    <row r="18" spans="1:7" s="107" customFormat="1" ht="24" customHeight="1" thickBot="1">
      <c r="A18" s="2839"/>
      <c r="B18" s="1673" t="s">
        <v>229</v>
      </c>
      <c r="C18" s="1674">
        <f>'3-1.사업예산총괄표'!F19</f>
        <v>0</v>
      </c>
      <c r="D18" s="1675" t="s">
        <v>229</v>
      </c>
      <c r="E18" s="1676">
        <v>500000</v>
      </c>
      <c r="F18" s="1685" t="s">
        <v>229</v>
      </c>
      <c r="G18" s="1676">
        <f>C18+E18</f>
        <v>500000</v>
      </c>
    </row>
    <row r="19" spans="1:7" s="107" customFormat="1" ht="24" customHeight="1" thickBot="1">
      <c r="A19" s="2839"/>
      <c r="B19" s="1673" t="s">
        <v>230</v>
      </c>
      <c r="C19" s="1674"/>
      <c r="D19" s="1675" t="s">
        <v>212</v>
      </c>
      <c r="E19" s="286">
        <v>0</v>
      </c>
      <c r="F19" s="1685" t="s">
        <v>212</v>
      </c>
      <c r="G19" s="1676">
        <f t="shared" si="0"/>
        <v>0</v>
      </c>
    </row>
    <row r="20" spans="1:7" s="107" customFormat="1" ht="24" customHeight="1" thickBot="1">
      <c r="A20" s="2839"/>
      <c r="B20" s="1673"/>
      <c r="C20" s="1674"/>
      <c r="D20" s="1675" t="s">
        <v>231</v>
      </c>
      <c r="E20" s="1676">
        <v>0</v>
      </c>
      <c r="F20" s="1685" t="s">
        <v>231</v>
      </c>
      <c r="G20" s="1676">
        <f t="shared" si="0"/>
        <v>0</v>
      </c>
    </row>
    <row r="21" spans="1:7" s="107" customFormat="1" ht="24" customHeight="1" thickBot="1">
      <c r="A21" s="2839"/>
      <c r="B21" s="1677"/>
      <c r="C21" s="1678"/>
      <c r="D21" s="1679" t="s">
        <v>232</v>
      </c>
      <c r="E21" s="1682">
        <f>'3-2.자본예산총괄표'!F24</f>
        <v>0</v>
      </c>
      <c r="F21" s="1686" t="s">
        <v>232</v>
      </c>
      <c r="G21" s="1682">
        <f t="shared" si="0"/>
        <v>0</v>
      </c>
    </row>
    <row r="22" spans="1:7" s="210" customFormat="1" ht="24" customHeight="1" thickBot="1">
      <c r="A22" s="209"/>
      <c r="B22" s="1689" t="s">
        <v>233</v>
      </c>
      <c r="C22" s="1690">
        <f>SUM(C6-C12)</f>
        <v>0</v>
      </c>
      <c r="D22" s="1691" t="s">
        <v>234</v>
      </c>
      <c r="E22" s="1692">
        <f>SUM(E6-E12)</f>
        <v>0</v>
      </c>
      <c r="F22" s="1693" t="s">
        <v>235</v>
      </c>
      <c r="G22" s="1694">
        <f>SUM(G6-G12)</f>
        <v>0</v>
      </c>
    </row>
  </sheetData>
  <mergeCells count="6">
    <mergeCell ref="A12:A21"/>
    <mergeCell ref="D4:E4"/>
    <mergeCell ref="B5:C5"/>
    <mergeCell ref="D5:E5"/>
    <mergeCell ref="F5:G5"/>
    <mergeCell ref="A6:A10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67" orientation="landscape" useFirstPageNumber="1" r:id="rId1"/>
  <headerFooter alignWithMargins="0">
    <oddHeader xml:space="preserve">&amp;L&amp;"돋움,굵게"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F0"/>
  </sheetPr>
  <dimension ref="A1:H54"/>
  <sheetViews>
    <sheetView zoomScaleNormal="100" workbookViewId="0">
      <selection activeCell="J20" sqref="J20"/>
    </sheetView>
  </sheetViews>
  <sheetFormatPr defaultRowHeight="13.5"/>
  <cols>
    <col min="1" max="2" width="21.125" style="107" customWidth="1"/>
    <col min="3" max="3" width="21.125" style="167" customWidth="1"/>
    <col min="4" max="4" width="21.75" style="107" customWidth="1"/>
    <col min="5" max="6" width="21.125" style="167" customWidth="1"/>
    <col min="7" max="7" width="9" style="107"/>
    <col min="8" max="8" width="11" style="107" bestFit="1" customWidth="1"/>
    <col min="9" max="256" width="9" style="107"/>
    <col min="257" max="259" width="21.125" style="107" customWidth="1"/>
    <col min="260" max="260" width="21.75" style="107" customWidth="1"/>
    <col min="261" max="262" width="21.125" style="107" customWidth="1"/>
    <col min="263" max="263" width="9" style="107"/>
    <col min="264" max="264" width="11" style="107" bestFit="1" customWidth="1"/>
    <col min="265" max="512" width="9" style="107"/>
    <col min="513" max="515" width="21.125" style="107" customWidth="1"/>
    <col min="516" max="516" width="21.75" style="107" customWidth="1"/>
    <col min="517" max="518" width="21.125" style="107" customWidth="1"/>
    <col min="519" max="519" width="9" style="107"/>
    <col min="520" max="520" width="11" style="107" bestFit="1" customWidth="1"/>
    <col min="521" max="768" width="9" style="107"/>
    <col min="769" max="771" width="21.125" style="107" customWidth="1"/>
    <col min="772" max="772" width="21.75" style="107" customWidth="1"/>
    <col min="773" max="774" width="21.125" style="107" customWidth="1"/>
    <col min="775" max="775" width="9" style="107"/>
    <col min="776" max="776" width="11" style="107" bestFit="1" customWidth="1"/>
    <col min="777" max="1024" width="9" style="107"/>
    <col min="1025" max="1027" width="21.125" style="107" customWidth="1"/>
    <col min="1028" max="1028" width="21.75" style="107" customWidth="1"/>
    <col min="1029" max="1030" width="21.125" style="107" customWidth="1"/>
    <col min="1031" max="1031" width="9" style="107"/>
    <col min="1032" max="1032" width="11" style="107" bestFit="1" customWidth="1"/>
    <col min="1033" max="1280" width="9" style="107"/>
    <col min="1281" max="1283" width="21.125" style="107" customWidth="1"/>
    <col min="1284" max="1284" width="21.75" style="107" customWidth="1"/>
    <col min="1285" max="1286" width="21.125" style="107" customWidth="1"/>
    <col min="1287" max="1287" width="9" style="107"/>
    <col min="1288" max="1288" width="11" style="107" bestFit="1" customWidth="1"/>
    <col min="1289" max="1536" width="9" style="107"/>
    <col min="1537" max="1539" width="21.125" style="107" customWidth="1"/>
    <col min="1540" max="1540" width="21.75" style="107" customWidth="1"/>
    <col min="1541" max="1542" width="21.125" style="107" customWidth="1"/>
    <col min="1543" max="1543" width="9" style="107"/>
    <col min="1544" max="1544" width="11" style="107" bestFit="1" customWidth="1"/>
    <col min="1545" max="1792" width="9" style="107"/>
    <col min="1793" max="1795" width="21.125" style="107" customWidth="1"/>
    <col min="1796" max="1796" width="21.75" style="107" customWidth="1"/>
    <col min="1797" max="1798" width="21.125" style="107" customWidth="1"/>
    <col min="1799" max="1799" width="9" style="107"/>
    <col min="1800" max="1800" width="11" style="107" bestFit="1" customWidth="1"/>
    <col min="1801" max="2048" width="9" style="107"/>
    <col min="2049" max="2051" width="21.125" style="107" customWidth="1"/>
    <col min="2052" max="2052" width="21.75" style="107" customWidth="1"/>
    <col min="2053" max="2054" width="21.125" style="107" customWidth="1"/>
    <col min="2055" max="2055" width="9" style="107"/>
    <col min="2056" max="2056" width="11" style="107" bestFit="1" customWidth="1"/>
    <col min="2057" max="2304" width="9" style="107"/>
    <col min="2305" max="2307" width="21.125" style="107" customWidth="1"/>
    <col min="2308" max="2308" width="21.75" style="107" customWidth="1"/>
    <col min="2309" max="2310" width="21.125" style="107" customWidth="1"/>
    <col min="2311" max="2311" width="9" style="107"/>
    <col min="2312" max="2312" width="11" style="107" bestFit="1" customWidth="1"/>
    <col min="2313" max="2560" width="9" style="107"/>
    <col min="2561" max="2563" width="21.125" style="107" customWidth="1"/>
    <col min="2564" max="2564" width="21.75" style="107" customWidth="1"/>
    <col min="2565" max="2566" width="21.125" style="107" customWidth="1"/>
    <col min="2567" max="2567" width="9" style="107"/>
    <col min="2568" max="2568" width="11" style="107" bestFit="1" customWidth="1"/>
    <col min="2569" max="2816" width="9" style="107"/>
    <col min="2817" max="2819" width="21.125" style="107" customWidth="1"/>
    <col min="2820" max="2820" width="21.75" style="107" customWidth="1"/>
    <col min="2821" max="2822" width="21.125" style="107" customWidth="1"/>
    <col min="2823" max="2823" width="9" style="107"/>
    <col min="2824" max="2824" width="11" style="107" bestFit="1" customWidth="1"/>
    <col min="2825" max="3072" width="9" style="107"/>
    <col min="3073" max="3075" width="21.125" style="107" customWidth="1"/>
    <col min="3076" max="3076" width="21.75" style="107" customWidth="1"/>
    <col min="3077" max="3078" width="21.125" style="107" customWidth="1"/>
    <col min="3079" max="3079" width="9" style="107"/>
    <col min="3080" max="3080" width="11" style="107" bestFit="1" customWidth="1"/>
    <col min="3081" max="3328" width="9" style="107"/>
    <col min="3329" max="3331" width="21.125" style="107" customWidth="1"/>
    <col min="3332" max="3332" width="21.75" style="107" customWidth="1"/>
    <col min="3333" max="3334" width="21.125" style="107" customWidth="1"/>
    <col min="3335" max="3335" width="9" style="107"/>
    <col min="3336" max="3336" width="11" style="107" bestFit="1" customWidth="1"/>
    <col min="3337" max="3584" width="9" style="107"/>
    <col min="3585" max="3587" width="21.125" style="107" customWidth="1"/>
    <col min="3588" max="3588" width="21.75" style="107" customWidth="1"/>
    <col min="3589" max="3590" width="21.125" style="107" customWidth="1"/>
    <col min="3591" max="3591" width="9" style="107"/>
    <col min="3592" max="3592" width="11" style="107" bestFit="1" customWidth="1"/>
    <col min="3593" max="3840" width="9" style="107"/>
    <col min="3841" max="3843" width="21.125" style="107" customWidth="1"/>
    <col min="3844" max="3844" width="21.75" style="107" customWidth="1"/>
    <col min="3845" max="3846" width="21.125" style="107" customWidth="1"/>
    <col min="3847" max="3847" width="9" style="107"/>
    <col min="3848" max="3848" width="11" style="107" bestFit="1" customWidth="1"/>
    <col min="3849" max="4096" width="9" style="107"/>
    <col min="4097" max="4099" width="21.125" style="107" customWidth="1"/>
    <col min="4100" max="4100" width="21.75" style="107" customWidth="1"/>
    <col min="4101" max="4102" width="21.125" style="107" customWidth="1"/>
    <col min="4103" max="4103" width="9" style="107"/>
    <col min="4104" max="4104" width="11" style="107" bestFit="1" customWidth="1"/>
    <col min="4105" max="4352" width="9" style="107"/>
    <col min="4353" max="4355" width="21.125" style="107" customWidth="1"/>
    <col min="4356" max="4356" width="21.75" style="107" customWidth="1"/>
    <col min="4357" max="4358" width="21.125" style="107" customWidth="1"/>
    <col min="4359" max="4359" width="9" style="107"/>
    <col min="4360" max="4360" width="11" style="107" bestFit="1" customWidth="1"/>
    <col min="4361" max="4608" width="9" style="107"/>
    <col min="4609" max="4611" width="21.125" style="107" customWidth="1"/>
    <col min="4612" max="4612" width="21.75" style="107" customWidth="1"/>
    <col min="4613" max="4614" width="21.125" style="107" customWidth="1"/>
    <col min="4615" max="4615" width="9" style="107"/>
    <col min="4616" max="4616" width="11" style="107" bestFit="1" customWidth="1"/>
    <col min="4617" max="4864" width="9" style="107"/>
    <col min="4865" max="4867" width="21.125" style="107" customWidth="1"/>
    <col min="4868" max="4868" width="21.75" style="107" customWidth="1"/>
    <col min="4869" max="4870" width="21.125" style="107" customWidth="1"/>
    <col min="4871" max="4871" width="9" style="107"/>
    <col min="4872" max="4872" width="11" style="107" bestFit="1" customWidth="1"/>
    <col min="4873" max="5120" width="9" style="107"/>
    <col min="5121" max="5123" width="21.125" style="107" customWidth="1"/>
    <col min="5124" max="5124" width="21.75" style="107" customWidth="1"/>
    <col min="5125" max="5126" width="21.125" style="107" customWidth="1"/>
    <col min="5127" max="5127" width="9" style="107"/>
    <col min="5128" max="5128" width="11" style="107" bestFit="1" customWidth="1"/>
    <col min="5129" max="5376" width="9" style="107"/>
    <col min="5377" max="5379" width="21.125" style="107" customWidth="1"/>
    <col min="5380" max="5380" width="21.75" style="107" customWidth="1"/>
    <col min="5381" max="5382" width="21.125" style="107" customWidth="1"/>
    <col min="5383" max="5383" width="9" style="107"/>
    <col min="5384" max="5384" width="11" style="107" bestFit="1" customWidth="1"/>
    <col min="5385" max="5632" width="9" style="107"/>
    <col min="5633" max="5635" width="21.125" style="107" customWidth="1"/>
    <col min="5636" max="5636" width="21.75" style="107" customWidth="1"/>
    <col min="5637" max="5638" width="21.125" style="107" customWidth="1"/>
    <col min="5639" max="5639" width="9" style="107"/>
    <col min="5640" max="5640" width="11" style="107" bestFit="1" customWidth="1"/>
    <col min="5641" max="5888" width="9" style="107"/>
    <col min="5889" max="5891" width="21.125" style="107" customWidth="1"/>
    <col min="5892" max="5892" width="21.75" style="107" customWidth="1"/>
    <col min="5893" max="5894" width="21.125" style="107" customWidth="1"/>
    <col min="5895" max="5895" width="9" style="107"/>
    <col min="5896" max="5896" width="11" style="107" bestFit="1" customWidth="1"/>
    <col min="5897" max="6144" width="9" style="107"/>
    <col min="6145" max="6147" width="21.125" style="107" customWidth="1"/>
    <col min="6148" max="6148" width="21.75" style="107" customWidth="1"/>
    <col min="6149" max="6150" width="21.125" style="107" customWidth="1"/>
    <col min="6151" max="6151" width="9" style="107"/>
    <col min="6152" max="6152" width="11" style="107" bestFit="1" customWidth="1"/>
    <col min="6153" max="6400" width="9" style="107"/>
    <col min="6401" max="6403" width="21.125" style="107" customWidth="1"/>
    <col min="6404" max="6404" width="21.75" style="107" customWidth="1"/>
    <col min="6405" max="6406" width="21.125" style="107" customWidth="1"/>
    <col min="6407" max="6407" width="9" style="107"/>
    <col min="6408" max="6408" width="11" style="107" bestFit="1" customWidth="1"/>
    <col min="6409" max="6656" width="9" style="107"/>
    <col min="6657" max="6659" width="21.125" style="107" customWidth="1"/>
    <col min="6660" max="6660" width="21.75" style="107" customWidth="1"/>
    <col min="6661" max="6662" width="21.125" style="107" customWidth="1"/>
    <col min="6663" max="6663" width="9" style="107"/>
    <col min="6664" max="6664" width="11" style="107" bestFit="1" customWidth="1"/>
    <col min="6665" max="6912" width="9" style="107"/>
    <col min="6913" max="6915" width="21.125" style="107" customWidth="1"/>
    <col min="6916" max="6916" width="21.75" style="107" customWidth="1"/>
    <col min="6917" max="6918" width="21.125" style="107" customWidth="1"/>
    <col min="6919" max="6919" width="9" style="107"/>
    <col min="6920" max="6920" width="11" style="107" bestFit="1" customWidth="1"/>
    <col min="6921" max="7168" width="9" style="107"/>
    <col min="7169" max="7171" width="21.125" style="107" customWidth="1"/>
    <col min="7172" max="7172" width="21.75" style="107" customWidth="1"/>
    <col min="7173" max="7174" width="21.125" style="107" customWidth="1"/>
    <col min="7175" max="7175" width="9" style="107"/>
    <col min="7176" max="7176" width="11" style="107" bestFit="1" customWidth="1"/>
    <col min="7177" max="7424" width="9" style="107"/>
    <col min="7425" max="7427" width="21.125" style="107" customWidth="1"/>
    <col min="7428" max="7428" width="21.75" style="107" customWidth="1"/>
    <col min="7429" max="7430" width="21.125" style="107" customWidth="1"/>
    <col min="7431" max="7431" width="9" style="107"/>
    <col min="7432" max="7432" width="11" style="107" bestFit="1" customWidth="1"/>
    <col min="7433" max="7680" width="9" style="107"/>
    <col min="7681" max="7683" width="21.125" style="107" customWidth="1"/>
    <col min="7684" max="7684" width="21.75" style="107" customWidth="1"/>
    <col min="7685" max="7686" width="21.125" style="107" customWidth="1"/>
    <col min="7687" max="7687" width="9" style="107"/>
    <col min="7688" max="7688" width="11" style="107" bestFit="1" customWidth="1"/>
    <col min="7689" max="7936" width="9" style="107"/>
    <col min="7937" max="7939" width="21.125" style="107" customWidth="1"/>
    <col min="7940" max="7940" width="21.75" style="107" customWidth="1"/>
    <col min="7941" max="7942" width="21.125" style="107" customWidth="1"/>
    <col min="7943" max="7943" width="9" style="107"/>
    <col min="7944" max="7944" width="11" style="107" bestFit="1" customWidth="1"/>
    <col min="7945" max="8192" width="9" style="107"/>
    <col min="8193" max="8195" width="21.125" style="107" customWidth="1"/>
    <col min="8196" max="8196" width="21.75" style="107" customWidth="1"/>
    <col min="8197" max="8198" width="21.125" style="107" customWidth="1"/>
    <col min="8199" max="8199" width="9" style="107"/>
    <col min="8200" max="8200" width="11" style="107" bestFit="1" customWidth="1"/>
    <col min="8201" max="8448" width="9" style="107"/>
    <col min="8449" max="8451" width="21.125" style="107" customWidth="1"/>
    <col min="8452" max="8452" width="21.75" style="107" customWidth="1"/>
    <col min="8453" max="8454" width="21.125" style="107" customWidth="1"/>
    <col min="8455" max="8455" width="9" style="107"/>
    <col min="8456" max="8456" width="11" style="107" bestFit="1" customWidth="1"/>
    <col min="8457" max="8704" width="9" style="107"/>
    <col min="8705" max="8707" width="21.125" style="107" customWidth="1"/>
    <col min="8708" max="8708" width="21.75" style="107" customWidth="1"/>
    <col min="8709" max="8710" width="21.125" style="107" customWidth="1"/>
    <col min="8711" max="8711" width="9" style="107"/>
    <col min="8712" max="8712" width="11" style="107" bestFit="1" customWidth="1"/>
    <col min="8713" max="8960" width="9" style="107"/>
    <col min="8961" max="8963" width="21.125" style="107" customWidth="1"/>
    <col min="8964" max="8964" width="21.75" style="107" customWidth="1"/>
    <col min="8965" max="8966" width="21.125" style="107" customWidth="1"/>
    <col min="8967" max="8967" width="9" style="107"/>
    <col min="8968" max="8968" width="11" style="107" bestFit="1" customWidth="1"/>
    <col min="8969" max="9216" width="9" style="107"/>
    <col min="9217" max="9219" width="21.125" style="107" customWidth="1"/>
    <col min="9220" max="9220" width="21.75" style="107" customWidth="1"/>
    <col min="9221" max="9222" width="21.125" style="107" customWidth="1"/>
    <col min="9223" max="9223" width="9" style="107"/>
    <col min="9224" max="9224" width="11" style="107" bestFit="1" customWidth="1"/>
    <col min="9225" max="9472" width="9" style="107"/>
    <col min="9473" max="9475" width="21.125" style="107" customWidth="1"/>
    <col min="9476" max="9476" width="21.75" style="107" customWidth="1"/>
    <col min="9477" max="9478" width="21.125" style="107" customWidth="1"/>
    <col min="9479" max="9479" width="9" style="107"/>
    <col min="9480" max="9480" width="11" style="107" bestFit="1" customWidth="1"/>
    <col min="9481" max="9728" width="9" style="107"/>
    <col min="9729" max="9731" width="21.125" style="107" customWidth="1"/>
    <col min="9732" max="9732" width="21.75" style="107" customWidth="1"/>
    <col min="9733" max="9734" width="21.125" style="107" customWidth="1"/>
    <col min="9735" max="9735" width="9" style="107"/>
    <col min="9736" max="9736" width="11" style="107" bestFit="1" customWidth="1"/>
    <col min="9737" max="9984" width="9" style="107"/>
    <col min="9985" max="9987" width="21.125" style="107" customWidth="1"/>
    <col min="9988" max="9988" width="21.75" style="107" customWidth="1"/>
    <col min="9989" max="9990" width="21.125" style="107" customWidth="1"/>
    <col min="9991" max="9991" width="9" style="107"/>
    <col min="9992" max="9992" width="11" style="107" bestFit="1" customWidth="1"/>
    <col min="9993" max="10240" width="9" style="107"/>
    <col min="10241" max="10243" width="21.125" style="107" customWidth="1"/>
    <col min="10244" max="10244" width="21.75" style="107" customWidth="1"/>
    <col min="10245" max="10246" width="21.125" style="107" customWidth="1"/>
    <col min="10247" max="10247" width="9" style="107"/>
    <col min="10248" max="10248" width="11" style="107" bestFit="1" customWidth="1"/>
    <col min="10249" max="10496" width="9" style="107"/>
    <col min="10497" max="10499" width="21.125" style="107" customWidth="1"/>
    <col min="10500" max="10500" width="21.75" style="107" customWidth="1"/>
    <col min="10501" max="10502" width="21.125" style="107" customWidth="1"/>
    <col min="10503" max="10503" width="9" style="107"/>
    <col min="10504" max="10504" width="11" style="107" bestFit="1" customWidth="1"/>
    <col min="10505" max="10752" width="9" style="107"/>
    <col min="10753" max="10755" width="21.125" style="107" customWidth="1"/>
    <col min="10756" max="10756" width="21.75" style="107" customWidth="1"/>
    <col min="10757" max="10758" width="21.125" style="107" customWidth="1"/>
    <col min="10759" max="10759" width="9" style="107"/>
    <col min="10760" max="10760" width="11" style="107" bestFit="1" customWidth="1"/>
    <col min="10761" max="11008" width="9" style="107"/>
    <col min="11009" max="11011" width="21.125" style="107" customWidth="1"/>
    <col min="11012" max="11012" width="21.75" style="107" customWidth="1"/>
    <col min="11013" max="11014" width="21.125" style="107" customWidth="1"/>
    <col min="11015" max="11015" width="9" style="107"/>
    <col min="11016" max="11016" width="11" style="107" bestFit="1" customWidth="1"/>
    <col min="11017" max="11264" width="9" style="107"/>
    <col min="11265" max="11267" width="21.125" style="107" customWidth="1"/>
    <col min="11268" max="11268" width="21.75" style="107" customWidth="1"/>
    <col min="11269" max="11270" width="21.125" style="107" customWidth="1"/>
    <col min="11271" max="11271" width="9" style="107"/>
    <col min="11272" max="11272" width="11" style="107" bestFit="1" customWidth="1"/>
    <col min="11273" max="11520" width="9" style="107"/>
    <col min="11521" max="11523" width="21.125" style="107" customWidth="1"/>
    <col min="11524" max="11524" width="21.75" style="107" customWidth="1"/>
    <col min="11525" max="11526" width="21.125" style="107" customWidth="1"/>
    <col min="11527" max="11527" width="9" style="107"/>
    <col min="11528" max="11528" width="11" style="107" bestFit="1" customWidth="1"/>
    <col min="11529" max="11776" width="9" style="107"/>
    <col min="11777" max="11779" width="21.125" style="107" customWidth="1"/>
    <col min="11780" max="11780" width="21.75" style="107" customWidth="1"/>
    <col min="11781" max="11782" width="21.125" style="107" customWidth="1"/>
    <col min="11783" max="11783" width="9" style="107"/>
    <col min="11784" max="11784" width="11" style="107" bestFit="1" customWidth="1"/>
    <col min="11785" max="12032" width="9" style="107"/>
    <col min="12033" max="12035" width="21.125" style="107" customWidth="1"/>
    <col min="12036" max="12036" width="21.75" style="107" customWidth="1"/>
    <col min="12037" max="12038" width="21.125" style="107" customWidth="1"/>
    <col min="12039" max="12039" width="9" style="107"/>
    <col min="12040" max="12040" width="11" style="107" bestFit="1" customWidth="1"/>
    <col min="12041" max="12288" width="9" style="107"/>
    <col min="12289" max="12291" width="21.125" style="107" customWidth="1"/>
    <col min="12292" max="12292" width="21.75" style="107" customWidth="1"/>
    <col min="12293" max="12294" width="21.125" style="107" customWidth="1"/>
    <col min="12295" max="12295" width="9" style="107"/>
    <col min="12296" max="12296" width="11" style="107" bestFit="1" customWidth="1"/>
    <col min="12297" max="12544" width="9" style="107"/>
    <col min="12545" max="12547" width="21.125" style="107" customWidth="1"/>
    <col min="12548" max="12548" width="21.75" style="107" customWidth="1"/>
    <col min="12549" max="12550" width="21.125" style="107" customWidth="1"/>
    <col min="12551" max="12551" width="9" style="107"/>
    <col min="12552" max="12552" width="11" style="107" bestFit="1" customWidth="1"/>
    <col min="12553" max="12800" width="9" style="107"/>
    <col min="12801" max="12803" width="21.125" style="107" customWidth="1"/>
    <col min="12804" max="12804" width="21.75" style="107" customWidth="1"/>
    <col min="12805" max="12806" width="21.125" style="107" customWidth="1"/>
    <col min="12807" max="12807" width="9" style="107"/>
    <col min="12808" max="12808" width="11" style="107" bestFit="1" customWidth="1"/>
    <col min="12809" max="13056" width="9" style="107"/>
    <col min="13057" max="13059" width="21.125" style="107" customWidth="1"/>
    <col min="13060" max="13060" width="21.75" style="107" customWidth="1"/>
    <col min="13061" max="13062" width="21.125" style="107" customWidth="1"/>
    <col min="13063" max="13063" width="9" style="107"/>
    <col min="13064" max="13064" width="11" style="107" bestFit="1" customWidth="1"/>
    <col min="13065" max="13312" width="9" style="107"/>
    <col min="13313" max="13315" width="21.125" style="107" customWidth="1"/>
    <col min="13316" max="13316" width="21.75" style="107" customWidth="1"/>
    <col min="13317" max="13318" width="21.125" style="107" customWidth="1"/>
    <col min="13319" max="13319" width="9" style="107"/>
    <col min="13320" max="13320" width="11" style="107" bestFit="1" customWidth="1"/>
    <col min="13321" max="13568" width="9" style="107"/>
    <col min="13569" max="13571" width="21.125" style="107" customWidth="1"/>
    <col min="13572" max="13572" width="21.75" style="107" customWidth="1"/>
    <col min="13573" max="13574" width="21.125" style="107" customWidth="1"/>
    <col min="13575" max="13575" width="9" style="107"/>
    <col min="13576" max="13576" width="11" style="107" bestFit="1" customWidth="1"/>
    <col min="13577" max="13824" width="9" style="107"/>
    <col min="13825" max="13827" width="21.125" style="107" customWidth="1"/>
    <col min="13828" max="13828" width="21.75" style="107" customWidth="1"/>
    <col min="13829" max="13830" width="21.125" style="107" customWidth="1"/>
    <col min="13831" max="13831" width="9" style="107"/>
    <col min="13832" max="13832" width="11" style="107" bestFit="1" customWidth="1"/>
    <col min="13833" max="14080" width="9" style="107"/>
    <col min="14081" max="14083" width="21.125" style="107" customWidth="1"/>
    <col min="14084" max="14084" width="21.75" style="107" customWidth="1"/>
    <col min="14085" max="14086" width="21.125" style="107" customWidth="1"/>
    <col min="14087" max="14087" width="9" style="107"/>
    <col min="14088" max="14088" width="11" style="107" bestFit="1" customWidth="1"/>
    <col min="14089" max="14336" width="9" style="107"/>
    <col min="14337" max="14339" width="21.125" style="107" customWidth="1"/>
    <col min="14340" max="14340" width="21.75" style="107" customWidth="1"/>
    <col min="14341" max="14342" width="21.125" style="107" customWidth="1"/>
    <col min="14343" max="14343" width="9" style="107"/>
    <col min="14344" max="14344" width="11" style="107" bestFit="1" customWidth="1"/>
    <col min="14345" max="14592" width="9" style="107"/>
    <col min="14593" max="14595" width="21.125" style="107" customWidth="1"/>
    <col min="14596" max="14596" width="21.75" style="107" customWidth="1"/>
    <col min="14597" max="14598" width="21.125" style="107" customWidth="1"/>
    <col min="14599" max="14599" width="9" style="107"/>
    <col min="14600" max="14600" width="11" style="107" bestFit="1" customWidth="1"/>
    <col min="14601" max="14848" width="9" style="107"/>
    <col min="14849" max="14851" width="21.125" style="107" customWidth="1"/>
    <col min="14852" max="14852" width="21.75" style="107" customWidth="1"/>
    <col min="14853" max="14854" width="21.125" style="107" customWidth="1"/>
    <col min="14855" max="14855" width="9" style="107"/>
    <col min="14856" max="14856" width="11" style="107" bestFit="1" customWidth="1"/>
    <col min="14857" max="15104" width="9" style="107"/>
    <col min="15105" max="15107" width="21.125" style="107" customWidth="1"/>
    <col min="15108" max="15108" width="21.75" style="107" customWidth="1"/>
    <col min="15109" max="15110" width="21.125" style="107" customWidth="1"/>
    <col min="15111" max="15111" width="9" style="107"/>
    <col min="15112" max="15112" width="11" style="107" bestFit="1" customWidth="1"/>
    <col min="15113" max="15360" width="9" style="107"/>
    <col min="15361" max="15363" width="21.125" style="107" customWidth="1"/>
    <col min="15364" max="15364" width="21.75" style="107" customWidth="1"/>
    <col min="15365" max="15366" width="21.125" style="107" customWidth="1"/>
    <col min="15367" max="15367" width="9" style="107"/>
    <col min="15368" max="15368" width="11" style="107" bestFit="1" customWidth="1"/>
    <col min="15369" max="15616" width="9" style="107"/>
    <col min="15617" max="15619" width="21.125" style="107" customWidth="1"/>
    <col min="15620" max="15620" width="21.75" style="107" customWidth="1"/>
    <col min="15621" max="15622" width="21.125" style="107" customWidth="1"/>
    <col min="15623" max="15623" width="9" style="107"/>
    <col min="15624" max="15624" width="11" style="107" bestFit="1" customWidth="1"/>
    <col min="15625" max="15872" width="9" style="107"/>
    <col min="15873" max="15875" width="21.125" style="107" customWidth="1"/>
    <col min="15876" max="15876" width="21.75" style="107" customWidth="1"/>
    <col min="15877" max="15878" width="21.125" style="107" customWidth="1"/>
    <col min="15879" max="15879" width="9" style="107"/>
    <col min="15880" max="15880" width="11" style="107" bestFit="1" customWidth="1"/>
    <col min="15881" max="16128" width="9" style="107"/>
    <col min="16129" max="16131" width="21.125" style="107" customWidth="1"/>
    <col min="16132" max="16132" width="21.75" style="107" customWidth="1"/>
    <col min="16133" max="16134" width="21.125" style="107" customWidth="1"/>
    <col min="16135" max="16135" width="9" style="107"/>
    <col min="16136" max="16136" width="11" style="107" bestFit="1" customWidth="1"/>
    <col min="16137" max="16384" width="9" style="107"/>
  </cols>
  <sheetData>
    <row r="1" spans="1:8" ht="37.5" customHeight="1">
      <c r="A1" s="211" t="s">
        <v>236</v>
      </c>
      <c r="E1" s="107"/>
    </row>
    <row r="2" spans="1:8" ht="20.100000000000001" customHeight="1" thickBot="1">
      <c r="A2" s="2854"/>
      <c r="B2" s="2854"/>
      <c r="C2" s="212"/>
      <c r="D2" s="213"/>
      <c r="E2" s="213"/>
      <c r="F2" s="214" t="s">
        <v>162</v>
      </c>
    </row>
    <row r="3" spans="1:8" ht="24.95" customHeight="1" thickBot="1">
      <c r="A3" s="2855" t="s">
        <v>237</v>
      </c>
      <c r="B3" s="2856"/>
      <c r="C3" s="2857"/>
      <c r="D3" s="2858" t="s">
        <v>238</v>
      </c>
      <c r="E3" s="2856"/>
      <c r="F3" s="2859"/>
    </row>
    <row r="4" spans="1:8" ht="24.95" customHeight="1">
      <c r="A4" s="2860" t="s">
        <v>239</v>
      </c>
      <c r="B4" s="2861"/>
      <c r="C4" s="215" t="s">
        <v>240</v>
      </c>
      <c r="D4" s="2862" t="s">
        <v>239</v>
      </c>
      <c r="E4" s="2863"/>
      <c r="F4" s="216" t="s">
        <v>240</v>
      </c>
    </row>
    <row r="5" spans="1:8" ht="24.95" customHeight="1">
      <c r="A5" s="2864" t="s">
        <v>241</v>
      </c>
      <c r="B5" s="2865"/>
      <c r="C5" s="217">
        <f>SUM(C6+C13)</f>
        <v>45601358</v>
      </c>
      <c r="D5" s="2866" t="s">
        <v>242</v>
      </c>
      <c r="E5" s="2865"/>
      <c r="F5" s="218">
        <f>SUM(F6,F13,F15,F17,F19)</f>
        <v>45601358</v>
      </c>
    </row>
    <row r="6" spans="1:8" ht="24.95" customHeight="1">
      <c r="A6" s="219" t="s">
        <v>211</v>
      </c>
      <c r="B6" s="220" t="s">
        <v>243</v>
      </c>
      <c r="C6" s="221">
        <f>SUM(C7:C12)</f>
        <v>45601358</v>
      </c>
      <c r="D6" s="222" t="s">
        <v>224</v>
      </c>
      <c r="E6" s="223" t="s">
        <v>243</v>
      </c>
      <c r="F6" s="224">
        <f>F7+F8+F9+F10</f>
        <v>45601358</v>
      </c>
    </row>
    <row r="7" spans="1:8" ht="24.95" customHeight="1">
      <c r="A7" s="225"/>
      <c r="B7" s="226" t="s">
        <v>244</v>
      </c>
      <c r="C7" s="227">
        <v>0</v>
      </c>
      <c r="D7" s="228"/>
      <c r="E7" s="229" t="s">
        <v>245</v>
      </c>
      <c r="F7" s="230">
        <v>0</v>
      </c>
    </row>
    <row r="8" spans="1:8" ht="24.95" customHeight="1">
      <c r="A8" s="225"/>
      <c r="B8" s="226" t="s">
        <v>246</v>
      </c>
      <c r="C8" s="227">
        <f>+C29+C51</f>
        <v>0</v>
      </c>
      <c r="D8" s="228"/>
      <c r="E8" s="229" t="s">
        <v>247</v>
      </c>
      <c r="F8" s="230">
        <v>0</v>
      </c>
    </row>
    <row r="9" spans="1:8" ht="24.95" customHeight="1">
      <c r="A9" s="225"/>
      <c r="B9" s="231" t="s">
        <v>248</v>
      </c>
      <c r="C9" s="227">
        <f>'가. 수입예산 총괄표(사업수익+자본적수입)'!F10</f>
        <v>29447308</v>
      </c>
      <c r="D9" s="228"/>
      <c r="E9" s="229" t="s">
        <v>249</v>
      </c>
      <c r="F9" s="230">
        <f>'가. 수입예산 총괄표(사업수익+자본적수입)'!F10</f>
        <v>29447308</v>
      </c>
      <c r="H9" s="232"/>
    </row>
    <row r="10" spans="1:8" ht="24.95" customHeight="1">
      <c r="A10" s="225"/>
      <c r="B10" s="231" t="s">
        <v>250</v>
      </c>
      <c r="C10" s="233">
        <f>'가. 수입예산 총괄표(사업수익+자본적수입)'!F21</f>
        <v>16154050</v>
      </c>
      <c r="D10" s="228"/>
      <c r="E10" s="229" t="s">
        <v>251</v>
      </c>
      <c r="F10" s="230">
        <f>'가. 수입예산 총괄표(사업수익+자본적수입)'!F21</f>
        <v>16154050</v>
      </c>
    </row>
    <row r="11" spans="1:8" ht="24.95" customHeight="1">
      <c r="A11" s="225"/>
      <c r="B11" s="234"/>
      <c r="C11" s="233"/>
      <c r="D11" s="228"/>
      <c r="E11" s="235"/>
      <c r="F11" s="236"/>
    </row>
    <row r="12" spans="1:8" ht="24.95" customHeight="1">
      <c r="A12" s="237"/>
      <c r="B12" s="238"/>
      <c r="C12" s="239"/>
      <c r="D12" s="240"/>
      <c r="E12" s="238"/>
      <c r="F12" s="241"/>
    </row>
    <row r="13" spans="1:8" ht="24.95" customHeight="1">
      <c r="A13" s="219" t="s">
        <v>215</v>
      </c>
      <c r="B13" s="242" t="s">
        <v>243</v>
      </c>
      <c r="C13" s="243">
        <f>SUM(C14:C18)</f>
        <v>0</v>
      </c>
      <c r="D13" s="222" t="s">
        <v>225</v>
      </c>
      <c r="E13" s="242" t="s">
        <v>243</v>
      </c>
      <c r="F13" s="244">
        <f>SUM(F14)</f>
        <v>0</v>
      </c>
    </row>
    <row r="14" spans="1:8" ht="24.95" customHeight="1">
      <c r="A14" s="225"/>
      <c r="B14" s="226" t="s">
        <v>252</v>
      </c>
      <c r="C14" s="227">
        <v>0</v>
      </c>
      <c r="D14" s="245"/>
      <c r="E14" s="231" t="s">
        <v>253</v>
      </c>
      <c r="F14" s="246">
        <f>'가. 수입예산 총괄표(사업수익+자본적수입)'!F24</f>
        <v>0</v>
      </c>
    </row>
    <row r="15" spans="1:8" ht="24.95" customHeight="1">
      <c r="A15" s="225"/>
      <c r="B15" s="226" t="s">
        <v>254</v>
      </c>
      <c r="C15" s="227">
        <f>'가. 수입예산 총괄표(사업수익+자본적수입)'!F24</f>
        <v>0</v>
      </c>
      <c r="D15" s="222" t="s">
        <v>226</v>
      </c>
      <c r="E15" s="247" t="s">
        <v>243</v>
      </c>
      <c r="F15" s="248">
        <f>F16</f>
        <v>0</v>
      </c>
    </row>
    <row r="16" spans="1:8" ht="24.95" customHeight="1">
      <c r="A16" s="225"/>
      <c r="B16" s="249"/>
      <c r="C16" s="250"/>
      <c r="D16" s="245"/>
      <c r="E16" s="238" t="s">
        <v>226</v>
      </c>
      <c r="F16" s="241"/>
    </row>
    <row r="17" spans="1:6" ht="24.95" customHeight="1">
      <c r="A17" s="225"/>
      <c r="B17" s="226"/>
      <c r="C17" s="227"/>
      <c r="D17" s="222" t="s">
        <v>228</v>
      </c>
      <c r="E17" s="247" t="s">
        <v>243</v>
      </c>
      <c r="F17" s="248">
        <f>SUM(F18)</f>
        <v>0</v>
      </c>
    </row>
    <row r="18" spans="1:6" ht="24.95" customHeight="1">
      <c r="A18" s="225"/>
      <c r="B18" s="226"/>
      <c r="C18" s="227"/>
      <c r="D18" s="245"/>
      <c r="E18" s="238" t="s">
        <v>228</v>
      </c>
      <c r="F18" s="241">
        <v>0</v>
      </c>
    </row>
    <row r="19" spans="1:6" ht="24.95" customHeight="1">
      <c r="A19" s="225"/>
      <c r="B19" s="226"/>
      <c r="C19" s="107"/>
      <c r="D19" s="222" t="s">
        <v>255</v>
      </c>
      <c r="E19" s="251" t="s">
        <v>256</v>
      </c>
      <c r="F19" s="248">
        <v>0</v>
      </c>
    </row>
    <row r="20" spans="1:6" ht="24.95" customHeight="1">
      <c r="A20" s="252"/>
      <c r="B20" s="253"/>
      <c r="C20" s="254"/>
      <c r="D20" s="240"/>
      <c r="E20" s="255"/>
      <c r="F20" s="256"/>
    </row>
    <row r="21" spans="1:6" ht="24.95" customHeight="1" thickBot="1">
      <c r="A21" s="2848" t="s">
        <v>257</v>
      </c>
      <c r="B21" s="2849"/>
      <c r="C21" s="2850"/>
      <c r="D21" s="2851">
        <f>C5-F5</f>
        <v>0</v>
      </c>
      <c r="E21" s="2852"/>
      <c r="F21" s="2853"/>
    </row>
    <row r="22" spans="1:6" ht="20.100000000000001" customHeight="1">
      <c r="C22" s="257"/>
      <c r="E22" s="257"/>
      <c r="F22" s="257"/>
    </row>
    <row r="23" spans="1:6" ht="20.100000000000001" customHeight="1">
      <c r="C23" s="257"/>
      <c r="E23" s="257"/>
      <c r="F23" s="257"/>
    </row>
    <row r="24" spans="1:6" ht="20.100000000000001" customHeight="1">
      <c r="C24" s="257"/>
      <c r="E24" s="257"/>
      <c r="F24" s="257"/>
    </row>
    <row r="25" spans="1:6" ht="20.100000000000001" customHeight="1">
      <c r="C25" s="257"/>
      <c r="E25" s="257"/>
      <c r="F25" s="257"/>
    </row>
    <row r="26" spans="1:6" ht="24.75" customHeight="1">
      <c r="C26" s="257"/>
      <c r="E26" s="257"/>
      <c r="F26" s="257"/>
    </row>
    <row r="27" spans="1:6" ht="24.75" customHeight="1">
      <c r="C27" s="257"/>
      <c r="E27" s="257"/>
      <c r="F27" s="257"/>
    </row>
    <row r="28" spans="1:6" ht="24.75" customHeight="1">
      <c r="C28" s="257"/>
      <c r="E28" s="257"/>
      <c r="F28" s="257"/>
    </row>
    <row r="29" spans="1:6" ht="24.75" customHeight="1">
      <c r="C29" s="257"/>
      <c r="E29" s="257"/>
      <c r="F29" s="257"/>
    </row>
    <row r="30" spans="1:6" ht="24.75" customHeight="1">
      <c r="C30" s="257"/>
      <c r="E30" s="257"/>
      <c r="F30" s="257"/>
    </row>
    <row r="31" spans="1:6" ht="24.75" customHeight="1"/>
    <row r="32" spans="1:6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</sheetData>
  <mergeCells count="9">
    <mergeCell ref="A21:C21"/>
    <mergeCell ref="D21:F21"/>
    <mergeCell ref="A2:B2"/>
    <mergeCell ref="A3:C3"/>
    <mergeCell ref="D3:F3"/>
    <mergeCell ref="A4:B4"/>
    <mergeCell ref="D4:E4"/>
    <mergeCell ref="A5:B5"/>
    <mergeCell ref="D5:E5"/>
  </mergeCells>
  <phoneticPr fontId="15" type="noConversion"/>
  <pageMargins left="0.94488188976377963" right="0.78740157480314965" top="0.6692913385826772" bottom="0.98425196850393704" header="0.51181102362204722" footer="0.51181102362204722"/>
  <pageSetup paperSize="9" scale="88" orientation="landscape" useFirstPageNumber="1" r:id="rId1"/>
  <headerFooter alignWithMargins="0">
    <oddHeader xml:space="preserve">&amp;L&amp;"돋움,굵게"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27</vt:i4>
      </vt:variant>
    </vt:vector>
  </HeadingPairs>
  <TitlesOfParts>
    <vt:vector size="48" baseType="lpstr">
      <vt:lpstr>표지</vt:lpstr>
      <vt:lpstr>목차</vt:lpstr>
      <vt:lpstr>1.사업운영계획</vt:lpstr>
      <vt:lpstr>사업운영계획1장</vt:lpstr>
      <vt:lpstr>2.예산총칙</vt:lpstr>
      <vt:lpstr>예산총칙</vt:lpstr>
      <vt:lpstr>3.예산총괄표</vt:lpstr>
      <vt:lpstr>예산총괄표3장</vt:lpstr>
      <vt:lpstr>3-1.사업예산총괄표</vt:lpstr>
      <vt:lpstr>3-2.자본예산총괄표</vt:lpstr>
      <vt:lpstr>가. 수입예산 총괄표(사업수익+자본적수입)</vt:lpstr>
      <vt:lpstr>나. 지출예산 총괄표</vt:lpstr>
      <vt:lpstr>경영본부</vt:lpstr>
      <vt:lpstr>교통휴양시설부</vt:lpstr>
      <vt:lpstr>도시미화부</vt:lpstr>
      <vt:lpstr>체육시설부</vt:lpstr>
      <vt:lpstr>환경자원사업소</vt:lpstr>
      <vt:lpstr>4.자금운영계획</vt:lpstr>
      <vt:lpstr>자금운용수입4장</vt:lpstr>
      <vt:lpstr>자금운용지출5장</vt:lpstr>
      <vt:lpstr>사고이월</vt:lpstr>
      <vt:lpstr>'1.사업운영계획'!Print_Area</vt:lpstr>
      <vt:lpstr>'2.예산총칙'!Print_Area</vt:lpstr>
      <vt:lpstr>'3.예산총괄표'!Print_Area</vt:lpstr>
      <vt:lpstr>'3-1.사업예산총괄표'!Print_Area</vt:lpstr>
      <vt:lpstr>'3-2.자본예산총괄표'!Print_Area</vt:lpstr>
      <vt:lpstr>'4.자금운영계획'!Print_Area</vt:lpstr>
      <vt:lpstr>경영본부!Print_Area</vt:lpstr>
      <vt:lpstr>교통휴양시설부!Print_Area</vt:lpstr>
      <vt:lpstr>'나. 지출예산 총괄표'!Print_Area</vt:lpstr>
      <vt:lpstr>도시미화부!Print_Area</vt:lpstr>
      <vt:lpstr>목차!Print_Area</vt:lpstr>
      <vt:lpstr>사업운영계획1장!Print_Area</vt:lpstr>
      <vt:lpstr>예산총괄표3장!Print_Area</vt:lpstr>
      <vt:lpstr>예산총칙!Print_Area</vt:lpstr>
      <vt:lpstr>자금운용수입4장!Print_Area</vt:lpstr>
      <vt:lpstr>자금운용지출5장!Print_Area</vt:lpstr>
      <vt:lpstr>체육시설부!Print_Area</vt:lpstr>
      <vt:lpstr>표지!Print_Area</vt:lpstr>
      <vt:lpstr>환경자원사업소!Print_Area</vt:lpstr>
      <vt:lpstr>경영본부!Print_Titles</vt:lpstr>
      <vt:lpstr>교통휴양시설부!Print_Titles</vt:lpstr>
      <vt:lpstr>'나. 지출예산 총괄표'!Print_Titles</vt:lpstr>
      <vt:lpstr>도시미화부!Print_Titles</vt:lpstr>
      <vt:lpstr>자금운용수입4장!Print_Titles</vt:lpstr>
      <vt:lpstr>자금운용지출5장!Print_Titles</vt:lpstr>
      <vt:lpstr>체육시설부!Print_Titles</vt:lpstr>
      <vt:lpstr>환경자원사업소!Print_Titles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</cp:lastModifiedBy>
  <cp:revision>14</cp:revision>
  <cp:lastPrinted>2024-12-24T09:28:31Z</cp:lastPrinted>
  <dcterms:created xsi:type="dcterms:W3CDTF">2022-08-16T06:55:23Z</dcterms:created>
  <dcterms:modified xsi:type="dcterms:W3CDTF">2025-01-02T06:48:55Z</dcterms:modified>
  <cp:version>0906.0100.01</cp:version>
</cp:coreProperties>
</file>